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DUSSAN\INFORME DE GESTIÓN 2020\MINISTERIO\"/>
    </mc:Choice>
  </mc:AlternateContent>
  <bookViews>
    <workbookView xWindow="0" yWindow="0" windowWidth="24000" windowHeight="8535" firstSheet="1" activeTab="2"/>
  </bookViews>
  <sheets>
    <sheet name="MATRIZ GENERAL CONSOLIDADA" sheetId="19" state="hidden" r:id="rId1"/>
    <sheet name="Anexo 1 Matriz SINA Inf Gestión" sheetId="9" r:id="rId2"/>
    <sheet name="Anexo 2 Matriz Inf. Ejecución" sheetId="23" r:id="rId3"/>
    <sheet name="CUATRIENIO" sheetId="29" state="hidden" r:id="rId4"/>
    <sheet name="INGRESOS " sheetId="38" state="hidden" r:id="rId5"/>
    <sheet name="GASTOS " sheetId="39" state="hidden" r:id="rId6"/>
    <sheet name="ANEXO 5.1 ING" sheetId="27" state="hidden" r:id="rId7"/>
    <sheet name="Anexo 3 Matriz Ind Min Jun" sheetId="18" state="hidden" r:id="rId8"/>
    <sheet name="Anexo 5-2 Gastos" sheetId="22" state="hidden" r:id="rId9"/>
    <sheet name="Anexo 2 Protocolo Inf Gestión" sheetId="11" state="hidden" r:id="rId10"/>
    <sheet name="Anexo 4 ProtocoloMatrizINdica" sheetId="10" state="hidden" r:id="rId11"/>
    <sheet name="Hoja1" sheetId="17" state="hidden" r:id="rId12"/>
    <sheet name="Hoja2" sheetId="24"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1">'Anexo 1 Matriz SINA Inf Gestión'!$A$2:$R$82</definedName>
    <definedName name="_xlnm.Print_Area" localSheetId="2">'Anexo 2 Matriz Inf. Ejecución'!$A$1:$Q$132</definedName>
    <definedName name="_xlnm.Print_Area" localSheetId="9">'Anexo 2 Protocolo Inf Gestión'!$A$1:$B$23</definedName>
    <definedName name="_xlnm.Print_Area" localSheetId="10">'Anexo 4 ProtocoloMatrizINdica'!$A$1:$B$15</definedName>
    <definedName name="_xlnm.Print_Area" localSheetId="8">'Anexo 5-2 Gastos'!$A$1:$G$55</definedName>
    <definedName name="_xlnm.Print_Area" localSheetId="3">CUATRIENIO!$A$1:$R$177</definedName>
    <definedName name="_xlnm.Print_Titles" localSheetId="1">'Anexo 1 Matriz SINA Inf Gestión'!$4:$5</definedName>
    <definedName name="_xlnm.Print_Titles" localSheetId="2">'Anexo 2 Matriz Inf. Ejecución'!$7:$8</definedName>
    <definedName name="_xlnm.Print_Titles" localSheetId="7">'Anexo 3 Matriz Ind Min Jun'!$7:$7</definedName>
    <definedName name="_xlnm.Print_Titles" localSheetId="8">'Anexo 5-2 Gastos'!$7:$8</definedName>
    <definedName name="_xlnm.Print_Titles" localSheetId="0">'MATRIZ GENERAL CONSOLIDADA'!$3:$4</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6" i="9" l="1"/>
  <c r="C66" i="9"/>
  <c r="F99" i="23" s="1"/>
  <c r="H49" i="9"/>
  <c r="F36" i="9"/>
  <c r="G36" i="9"/>
  <c r="C27" i="9"/>
  <c r="C26" i="9"/>
  <c r="C25" i="9"/>
  <c r="C24" i="9"/>
  <c r="C23" i="9"/>
  <c r="C22" i="9"/>
  <c r="C21" i="9"/>
  <c r="C20" i="9"/>
  <c r="C19" i="9"/>
  <c r="C76" i="9"/>
  <c r="F114" i="23" s="1"/>
  <c r="D81" i="9" l="1"/>
  <c r="D80" i="9"/>
  <c r="C74" i="9"/>
  <c r="F112" i="23" s="1"/>
  <c r="F61" i="19" l="1"/>
  <c r="I62" i="9" s="1"/>
  <c r="H55" i="9"/>
  <c r="D50" i="9"/>
  <c r="D51" i="9"/>
  <c r="D52" i="9"/>
  <c r="D53" i="9"/>
  <c r="D54" i="9"/>
  <c r="D55" i="9"/>
  <c r="D56" i="9"/>
  <c r="D57" i="9"/>
  <c r="D58" i="9"/>
  <c r="D59" i="9"/>
  <c r="D60" i="9"/>
  <c r="D61" i="9"/>
  <c r="D62" i="9"/>
  <c r="D63" i="9"/>
  <c r="D64" i="9"/>
  <c r="D65" i="9"/>
  <c r="D67" i="9"/>
  <c r="D68" i="9"/>
  <c r="D69" i="9"/>
  <c r="D70" i="9"/>
  <c r="D71" i="9"/>
  <c r="D49" i="9"/>
  <c r="G103" i="23"/>
  <c r="D46" i="9"/>
  <c r="D44" i="9"/>
  <c r="D43" i="9"/>
  <c r="D39" i="9"/>
  <c r="D40" i="9"/>
  <c r="D41" i="9"/>
  <c r="D38" i="9"/>
  <c r="D20" i="9"/>
  <c r="D21" i="9"/>
  <c r="D22" i="9"/>
  <c r="D23" i="9"/>
  <c r="E23" i="9" s="1"/>
  <c r="D24" i="9"/>
  <c r="D25" i="9"/>
  <c r="D26" i="9"/>
  <c r="D27" i="9"/>
  <c r="D19" i="9"/>
  <c r="F54" i="19"/>
  <c r="I55" i="9" s="1"/>
  <c r="D35" i="9" l="1"/>
  <c r="D34" i="9"/>
  <c r="D32" i="9"/>
  <c r="G42" i="23" s="1"/>
  <c r="D31" i="9"/>
  <c r="G41" i="23" s="1"/>
  <c r="D30" i="9"/>
  <c r="G40" i="23" s="1"/>
  <c r="A48" i="9" l="1"/>
  <c r="A47" i="9"/>
  <c r="A82" i="23" s="1"/>
  <c r="M81" i="9" l="1"/>
  <c r="I124" i="23" s="1"/>
  <c r="M80" i="9"/>
  <c r="I123" i="23" s="1"/>
  <c r="M74" i="9"/>
  <c r="I112" i="23" s="1"/>
  <c r="M75" i="9"/>
  <c r="I113" i="23" s="1"/>
  <c r="M76" i="9"/>
  <c r="I114" i="23" s="1"/>
  <c r="M77" i="9"/>
  <c r="I115" i="23" s="1"/>
  <c r="M78" i="9"/>
  <c r="I116" i="23" s="1"/>
  <c r="M73" i="9"/>
  <c r="I111" i="23" s="1"/>
  <c r="I126" i="23" l="1"/>
  <c r="L54" i="9"/>
  <c r="H87" i="23" s="1"/>
  <c r="M50" i="9"/>
  <c r="I83" i="23" s="1"/>
  <c r="M51" i="9"/>
  <c r="I84" i="23" s="1"/>
  <c r="M52" i="9"/>
  <c r="I85" i="23" s="1"/>
  <c r="M53" i="9"/>
  <c r="I86" i="23" s="1"/>
  <c r="M54" i="9"/>
  <c r="I87" i="23" s="1"/>
  <c r="M55" i="9"/>
  <c r="I88" i="23" s="1"/>
  <c r="M56" i="9"/>
  <c r="I89" i="23" s="1"/>
  <c r="M57" i="9"/>
  <c r="I90" i="23" s="1"/>
  <c r="M58" i="9"/>
  <c r="I91" i="23" s="1"/>
  <c r="M59" i="9"/>
  <c r="I92" i="23" s="1"/>
  <c r="M60" i="9"/>
  <c r="I93" i="23" s="1"/>
  <c r="M61" i="9"/>
  <c r="I94" i="23" s="1"/>
  <c r="M62" i="9"/>
  <c r="I95" i="23" s="1"/>
  <c r="M63" i="9"/>
  <c r="I96" i="23" s="1"/>
  <c r="M64" i="9"/>
  <c r="I97" i="23" s="1"/>
  <c r="M65" i="9"/>
  <c r="I98" i="23" s="1"/>
  <c r="M66" i="9"/>
  <c r="I99" i="23" s="1"/>
  <c r="M67" i="9"/>
  <c r="I100" i="23" s="1"/>
  <c r="M68" i="9"/>
  <c r="I101" i="23" s="1"/>
  <c r="M69" i="9"/>
  <c r="I102" i="23" s="1"/>
  <c r="M70" i="9"/>
  <c r="I103" i="23" s="1"/>
  <c r="M71" i="9"/>
  <c r="I104" i="23" s="1"/>
  <c r="M49" i="9"/>
  <c r="I82" i="23" s="1"/>
  <c r="M46" i="9"/>
  <c r="I75" i="23" s="1"/>
  <c r="M44" i="9"/>
  <c r="I68" i="23" s="1"/>
  <c r="M43" i="9"/>
  <c r="I67" i="23" s="1"/>
  <c r="M39" i="9"/>
  <c r="I58" i="23" s="1"/>
  <c r="M40" i="9"/>
  <c r="I59" i="23" s="1"/>
  <c r="M41" i="9"/>
  <c r="I60" i="23" s="1"/>
  <c r="M38" i="9"/>
  <c r="I57" i="23" s="1"/>
  <c r="M35" i="9"/>
  <c r="I50" i="23" s="1"/>
  <c r="M34" i="9"/>
  <c r="M31" i="9"/>
  <c r="I41" i="23" s="1"/>
  <c r="M32" i="9"/>
  <c r="I42" i="23" s="1"/>
  <c r="M30" i="9"/>
  <c r="I40" i="23" s="1"/>
  <c r="M20" i="9"/>
  <c r="I26" i="23" s="1"/>
  <c r="M21" i="9"/>
  <c r="I27" i="23" s="1"/>
  <c r="M22" i="9"/>
  <c r="I28" i="23" s="1"/>
  <c r="M23" i="9"/>
  <c r="I29" i="23" s="1"/>
  <c r="M24" i="9"/>
  <c r="I30" i="23" s="1"/>
  <c r="M25" i="9"/>
  <c r="I31" i="23" s="1"/>
  <c r="M26" i="9"/>
  <c r="I32" i="23" s="1"/>
  <c r="M27" i="9"/>
  <c r="I33" i="23" s="1"/>
  <c r="M19" i="9"/>
  <c r="I25" i="23" s="1"/>
  <c r="M9" i="9"/>
  <c r="I10" i="23" s="1"/>
  <c r="M10" i="9"/>
  <c r="I11" i="23" s="1"/>
  <c r="M11" i="9"/>
  <c r="M12" i="9"/>
  <c r="I13" i="23" s="1"/>
  <c r="M13" i="9"/>
  <c r="I14" i="23" s="1"/>
  <c r="M14" i="9"/>
  <c r="I15" i="23" s="1"/>
  <c r="M15" i="9"/>
  <c r="I16" i="23" s="1"/>
  <c r="M16" i="9"/>
  <c r="I17" i="23" s="1"/>
  <c r="M17" i="9"/>
  <c r="I18" i="23" s="1"/>
  <c r="M8" i="9"/>
  <c r="I9" i="23" s="1"/>
  <c r="I12" i="23"/>
  <c r="I49" i="23" l="1"/>
  <c r="M33" i="9"/>
  <c r="I78" i="9"/>
  <c r="F72" i="19"/>
  <c r="I73" i="9" s="1"/>
  <c r="H81" i="9"/>
  <c r="H80" i="9"/>
  <c r="H74" i="9"/>
  <c r="H75" i="9"/>
  <c r="H76" i="9"/>
  <c r="H77" i="9"/>
  <c r="H78" i="9"/>
  <c r="H73" i="9"/>
  <c r="M79" i="9"/>
  <c r="C81" i="9"/>
  <c r="F124" i="23" s="1"/>
  <c r="C80" i="9"/>
  <c r="F123" i="23" s="1"/>
  <c r="L81" i="9"/>
  <c r="H124" i="23" s="1"/>
  <c r="L80" i="9"/>
  <c r="H123" i="23" s="1"/>
  <c r="B81" i="9"/>
  <c r="E124" i="23" s="1"/>
  <c r="B80" i="9"/>
  <c r="E123" i="23" s="1"/>
  <c r="A81" i="9"/>
  <c r="D124" i="23" s="1"/>
  <c r="A80" i="9"/>
  <c r="D123" i="23" s="1"/>
  <c r="A79" i="9"/>
  <c r="B123" i="23" s="1"/>
  <c r="L74" i="9"/>
  <c r="J112" i="23" s="1"/>
  <c r="L75" i="9"/>
  <c r="H113" i="23" s="1"/>
  <c r="J113" i="23" s="1"/>
  <c r="L76" i="9"/>
  <c r="L77" i="9"/>
  <c r="H115" i="23" s="1"/>
  <c r="J115" i="23" s="1"/>
  <c r="L78" i="9"/>
  <c r="N78" i="9" s="1"/>
  <c r="L73" i="9"/>
  <c r="H111" i="23" s="1"/>
  <c r="P76" i="9"/>
  <c r="P77" i="9"/>
  <c r="D74" i="9"/>
  <c r="D75" i="9"/>
  <c r="D76" i="9"/>
  <c r="D77" i="9"/>
  <c r="D78" i="9"/>
  <c r="D73" i="9"/>
  <c r="G111" i="23" s="1"/>
  <c r="C75" i="9"/>
  <c r="C77" i="9"/>
  <c r="F115" i="23" s="1"/>
  <c r="C78" i="9"/>
  <c r="F116" i="23" s="1"/>
  <c r="C73" i="9"/>
  <c r="F111" i="23" s="1"/>
  <c r="B74" i="9"/>
  <c r="E112" i="23" s="1"/>
  <c r="B75" i="9"/>
  <c r="E113" i="23" s="1"/>
  <c r="B76" i="9"/>
  <c r="E114" i="23" s="1"/>
  <c r="B77" i="9"/>
  <c r="E115" i="23" s="1"/>
  <c r="B78" i="9"/>
  <c r="E116" i="23" s="1"/>
  <c r="B73" i="9"/>
  <c r="E111" i="23" s="1"/>
  <c r="A77" i="9"/>
  <c r="D115" i="23" s="1"/>
  <c r="A78" i="9"/>
  <c r="D116" i="23" s="1"/>
  <c r="A74" i="9"/>
  <c r="D112" i="23" s="1"/>
  <c r="A75" i="9"/>
  <c r="D113" i="23" s="1"/>
  <c r="A76" i="9"/>
  <c r="D114" i="23" s="1"/>
  <c r="A73" i="9"/>
  <c r="D111" i="23" s="1"/>
  <c r="A72" i="9"/>
  <c r="B111" i="23" s="1"/>
  <c r="H46" i="9"/>
  <c r="H45" i="9" s="1"/>
  <c r="P46" i="9"/>
  <c r="P45" i="9" s="1"/>
  <c r="L46" i="9"/>
  <c r="H75" i="23" s="1"/>
  <c r="H76" i="23" s="1"/>
  <c r="I46" i="9"/>
  <c r="I45" i="9" s="1"/>
  <c r="C46" i="9"/>
  <c r="F75" i="23" s="1"/>
  <c r="B46" i="9"/>
  <c r="E75" i="23" s="1"/>
  <c r="A46" i="9"/>
  <c r="D75" i="23" s="1"/>
  <c r="A45" i="9"/>
  <c r="B75" i="23" s="1"/>
  <c r="P65" i="9"/>
  <c r="P66" i="9"/>
  <c r="P67" i="9"/>
  <c r="P68" i="9"/>
  <c r="P69" i="9"/>
  <c r="P70" i="9"/>
  <c r="I65" i="9"/>
  <c r="I66" i="9"/>
  <c r="I67" i="9"/>
  <c r="I68" i="9"/>
  <c r="I69" i="9"/>
  <c r="I70" i="9"/>
  <c r="I71" i="9"/>
  <c r="H66" i="9"/>
  <c r="H67" i="9"/>
  <c r="H68" i="9"/>
  <c r="H69" i="9"/>
  <c r="H70" i="9"/>
  <c r="H71" i="9"/>
  <c r="C50" i="9"/>
  <c r="F83" i="23" s="1"/>
  <c r="C51" i="9"/>
  <c r="F84" i="23" s="1"/>
  <c r="C52" i="9"/>
  <c r="F85" i="23" s="1"/>
  <c r="C53" i="9"/>
  <c r="F86" i="23" s="1"/>
  <c r="C54" i="9"/>
  <c r="F87" i="23" s="1"/>
  <c r="C55" i="9"/>
  <c r="C56" i="9"/>
  <c r="F89" i="23" s="1"/>
  <c r="C57" i="9"/>
  <c r="F90" i="23" s="1"/>
  <c r="C58" i="9"/>
  <c r="F91" i="23" s="1"/>
  <c r="C59" i="9"/>
  <c r="F92" i="23" s="1"/>
  <c r="C60" i="9"/>
  <c r="F93" i="23" s="1"/>
  <c r="C61" i="9"/>
  <c r="C62" i="9"/>
  <c r="F95" i="23" s="1"/>
  <c r="C63" i="9"/>
  <c r="F96" i="23" s="1"/>
  <c r="C64" i="9"/>
  <c r="C65" i="9"/>
  <c r="F98" i="23" s="1"/>
  <c r="C67" i="9"/>
  <c r="F100" i="23" s="1"/>
  <c r="C68" i="9"/>
  <c r="F101" i="23" s="1"/>
  <c r="C69" i="9"/>
  <c r="F102" i="23" s="1"/>
  <c r="C70" i="9"/>
  <c r="F103" i="23" s="1"/>
  <c r="C71" i="9"/>
  <c r="F104" i="23" s="1"/>
  <c r="C49" i="9"/>
  <c r="B50" i="9"/>
  <c r="E83" i="23" s="1"/>
  <c r="B51" i="9"/>
  <c r="E84" i="23" s="1"/>
  <c r="B52" i="9"/>
  <c r="E85" i="23" s="1"/>
  <c r="B53" i="9"/>
  <c r="E86" i="23" s="1"/>
  <c r="B54" i="9"/>
  <c r="E87" i="23" s="1"/>
  <c r="B55" i="9"/>
  <c r="B56" i="9"/>
  <c r="E89" i="23" s="1"/>
  <c r="B57" i="9"/>
  <c r="E90" i="23" s="1"/>
  <c r="B58" i="9"/>
  <c r="E91" i="23" s="1"/>
  <c r="B59" i="9"/>
  <c r="E92" i="23" s="1"/>
  <c r="B60" i="9"/>
  <c r="E93" i="23" s="1"/>
  <c r="B61" i="9"/>
  <c r="E94" i="23" s="1"/>
  <c r="B62" i="9"/>
  <c r="E95" i="23" s="1"/>
  <c r="B63" i="9"/>
  <c r="E96" i="23" s="1"/>
  <c r="B64" i="9"/>
  <c r="E97" i="23" s="1"/>
  <c r="B65" i="9"/>
  <c r="E98" i="23" s="1"/>
  <c r="B66" i="9"/>
  <c r="E99" i="23" s="1"/>
  <c r="B67" i="9"/>
  <c r="E100" i="23" s="1"/>
  <c r="B68" i="9"/>
  <c r="E101" i="23" s="1"/>
  <c r="B69" i="9"/>
  <c r="E102" i="23" s="1"/>
  <c r="B70" i="9"/>
  <c r="E103" i="23" s="1"/>
  <c r="B71" i="9"/>
  <c r="E104" i="23" s="1"/>
  <c r="B49" i="9"/>
  <c r="E82" i="23" s="1"/>
  <c r="L50" i="9"/>
  <c r="H83" i="23" s="1"/>
  <c r="L51" i="9"/>
  <c r="H84" i="23" s="1"/>
  <c r="L52" i="9"/>
  <c r="H85" i="23" s="1"/>
  <c r="L53" i="9"/>
  <c r="L55" i="9"/>
  <c r="H88" i="23" s="1"/>
  <c r="L56" i="9"/>
  <c r="H89" i="23" s="1"/>
  <c r="L57" i="9"/>
  <c r="H90" i="23" s="1"/>
  <c r="L58" i="9"/>
  <c r="H91" i="23" s="1"/>
  <c r="L59" i="9"/>
  <c r="H92" i="23" s="1"/>
  <c r="L60" i="9"/>
  <c r="H93" i="23" s="1"/>
  <c r="L61" i="9"/>
  <c r="H94" i="23" s="1"/>
  <c r="L62" i="9"/>
  <c r="H95" i="23" s="1"/>
  <c r="L63" i="9"/>
  <c r="H96" i="23" s="1"/>
  <c r="L64" i="9"/>
  <c r="H97" i="23" s="1"/>
  <c r="L65" i="9"/>
  <c r="H98" i="23" s="1"/>
  <c r="L66" i="9"/>
  <c r="H99" i="23" s="1"/>
  <c r="L67" i="9"/>
  <c r="H100" i="23" s="1"/>
  <c r="L68" i="9"/>
  <c r="H101" i="23" s="1"/>
  <c r="L69" i="9"/>
  <c r="H102" i="23" s="1"/>
  <c r="L70" i="9"/>
  <c r="H103" i="23" s="1"/>
  <c r="L71" i="9"/>
  <c r="H104" i="23" s="1"/>
  <c r="L49" i="9"/>
  <c r="H82" i="23" s="1"/>
  <c r="F94" i="23"/>
  <c r="A70" i="9"/>
  <c r="D103" i="23" s="1"/>
  <c r="A71" i="9"/>
  <c r="D104" i="23" s="1"/>
  <c r="A66" i="9"/>
  <c r="D99" i="23" s="1"/>
  <c r="A67" i="9"/>
  <c r="D100" i="23" s="1"/>
  <c r="A68" i="9"/>
  <c r="D101" i="23" s="1"/>
  <c r="A69" i="9"/>
  <c r="D102" i="23" s="1"/>
  <c r="A58" i="9"/>
  <c r="D91" i="23" s="1"/>
  <c r="A59" i="9"/>
  <c r="D92" i="23" s="1"/>
  <c r="A60" i="9"/>
  <c r="D93" i="23" s="1"/>
  <c r="A61" i="9"/>
  <c r="D94" i="23" s="1"/>
  <c r="A62" i="9"/>
  <c r="D95" i="23" s="1"/>
  <c r="A63" i="9"/>
  <c r="D96" i="23" s="1"/>
  <c r="A64" i="9"/>
  <c r="D97" i="23" s="1"/>
  <c r="A65" i="9"/>
  <c r="D98" i="23" s="1"/>
  <c r="A57" i="9"/>
  <c r="D90" i="23" s="1"/>
  <c r="A54" i="9"/>
  <c r="D87" i="23" s="1"/>
  <c r="A55" i="9"/>
  <c r="D88" i="23" s="1"/>
  <c r="A56" i="9"/>
  <c r="D89" i="23" s="1"/>
  <c r="A53" i="9"/>
  <c r="D86" i="23" s="1"/>
  <c r="A52" i="9"/>
  <c r="D85" i="23" s="1"/>
  <c r="A51" i="9"/>
  <c r="D84" i="23" s="1"/>
  <c r="A50" i="9"/>
  <c r="D83" i="23" s="1"/>
  <c r="A49" i="9"/>
  <c r="D82" i="23" s="1"/>
  <c r="B82" i="23"/>
  <c r="L44" i="9"/>
  <c r="H68" i="23" s="1"/>
  <c r="L43" i="9"/>
  <c r="H67" i="23" s="1"/>
  <c r="C44" i="9"/>
  <c r="F68" i="23" s="1"/>
  <c r="C43" i="9"/>
  <c r="F67" i="23" s="1"/>
  <c r="B44" i="9"/>
  <c r="E68" i="23" s="1"/>
  <c r="B43" i="9"/>
  <c r="E67" i="23" s="1"/>
  <c r="A44" i="9"/>
  <c r="D68" i="23" s="1"/>
  <c r="A43" i="9"/>
  <c r="D67" i="23" s="1"/>
  <c r="A42" i="9"/>
  <c r="B67" i="23" s="1"/>
  <c r="E60" i="23"/>
  <c r="I41" i="9"/>
  <c r="H40" i="9"/>
  <c r="A41" i="9"/>
  <c r="D60" i="23" s="1"/>
  <c r="L39" i="9"/>
  <c r="L40" i="9"/>
  <c r="L41" i="9"/>
  <c r="L38" i="9"/>
  <c r="H57" i="23" s="1"/>
  <c r="C39" i="9"/>
  <c r="F58" i="23" s="1"/>
  <c r="C40" i="9"/>
  <c r="F59" i="23" s="1"/>
  <c r="C38" i="9"/>
  <c r="F57" i="23" s="1"/>
  <c r="B39" i="9"/>
  <c r="E58" i="23" s="1"/>
  <c r="B40" i="9"/>
  <c r="E59" i="23" s="1"/>
  <c r="B38" i="9"/>
  <c r="E57" i="23" s="1"/>
  <c r="A39" i="9"/>
  <c r="D58" i="23" s="1"/>
  <c r="A40" i="9"/>
  <c r="D59" i="23" s="1"/>
  <c r="A38" i="9"/>
  <c r="D57" i="23" s="1"/>
  <c r="A37" i="9"/>
  <c r="B57" i="23" s="1"/>
  <c r="A36" i="9"/>
  <c r="A57" i="23" s="1"/>
  <c r="A18" i="9"/>
  <c r="B25" i="23" s="1"/>
  <c r="A7" i="9"/>
  <c r="B9" i="23" s="1"/>
  <c r="A6" i="9"/>
  <c r="A9" i="23" s="1"/>
  <c r="A33" i="9"/>
  <c r="B49" i="23" s="1"/>
  <c r="A29" i="9"/>
  <c r="B40" i="23" s="1"/>
  <c r="L35" i="9"/>
  <c r="L34" i="9"/>
  <c r="C35" i="9"/>
  <c r="C34" i="9"/>
  <c r="E34" i="9" s="1"/>
  <c r="B35" i="9"/>
  <c r="B34" i="9"/>
  <c r="A35" i="9"/>
  <c r="D50" i="23" s="1"/>
  <c r="A34" i="9"/>
  <c r="D49" i="23" s="1"/>
  <c r="L31" i="9"/>
  <c r="H41" i="23" s="1"/>
  <c r="L32" i="9"/>
  <c r="H42" i="23" s="1"/>
  <c r="L30" i="9"/>
  <c r="H40" i="23" s="1"/>
  <c r="C31" i="9"/>
  <c r="F41" i="23" s="1"/>
  <c r="C32" i="9"/>
  <c r="F42" i="23" s="1"/>
  <c r="C30" i="9"/>
  <c r="F40" i="23" s="1"/>
  <c r="B32" i="9"/>
  <c r="E42" i="23" s="1"/>
  <c r="B31" i="9"/>
  <c r="E41" i="23" s="1"/>
  <c r="B30" i="9"/>
  <c r="E40" i="23" s="1"/>
  <c r="A32" i="9"/>
  <c r="D42" i="23" s="1"/>
  <c r="A31" i="9"/>
  <c r="D41" i="23" s="1"/>
  <c r="A30" i="9"/>
  <c r="D40" i="23" s="1"/>
  <c r="L20" i="9"/>
  <c r="H26" i="23" s="1"/>
  <c r="L21" i="9"/>
  <c r="H27" i="23" s="1"/>
  <c r="L22" i="9"/>
  <c r="H28" i="23" s="1"/>
  <c r="L23" i="9"/>
  <c r="H29" i="23" s="1"/>
  <c r="L24" i="9"/>
  <c r="H30" i="23" s="1"/>
  <c r="L25" i="9"/>
  <c r="H31" i="23" s="1"/>
  <c r="L26" i="9"/>
  <c r="H32" i="23" s="1"/>
  <c r="L27" i="9"/>
  <c r="H33" i="23" s="1"/>
  <c r="L19" i="9"/>
  <c r="H25" i="23" s="1"/>
  <c r="F26" i="23"/>
  <c r="F27" i="23"/>
  <c r="F28" i="23"/>
  <c r="F29" i="23"/>
  <c r="F30" i="23"/>
  <c r="F31" i="23"/>
  <c r="F32" i="23"/>
  <c r="F33" i="23"/>
  <c r="F25" i="23"/>
  <c r="B20" i="9"/>
  <c r="E26" i="23" s="1"/>
  <c r="B21" i="9"/>
  <c r="E27" i="23" s="1"/>
  <c r="B22" i="9"/>
  <c r="E28" i="23" s="1"/>
  <c r="B23" i="9"/>
  <c r="E29" i="23" s="1"/>
  <c r="B24" i="9"/>
  <c r="E30" i="23" s="1"/>
  <c r="B25" i="9"/>
  <c r="E31" i="23" s="1"/>
  <c r="B26" i="9"/>
  <c r="E32" i="23" s="1"/>
  <c r="B27" i="9"/>
  <c r="E33" i="23" s="1"/>
  <c r="B19" i="9"/>
  <c r="E25" i="23" s="1"/>
  <c r="C6" i="9"/>
  <c r="D6" i="9"/>
  <c r="A21" i="9"/>
  <c r="D27" i="23" s="1"/>
  <c r="A22" i="9"/>
  <c r="D28" i="23" s="1"/>
  <c r="A23" i="9"/>
  <c r="D29" i="23" s="1"/>
  <c r="A24" i="9"/>
  <c r="D30" i="23" s="1"/>
  <c r="A25" i="9"/>
  <c r="D31" i="23" s="1"/>
  <c r="A26" i="9"/>
  <c r="D32" i="23" s="1"/>
  <c r="A27" i="9"/>
  <c r="D33" i="23" s="1"/>
  <c r="A20" i="9"/>
  <c r="D26" i="23" s="1"/>
  <c r="A19" i="9"/>
  <c r="D25" i="23" s="1"/>
  <c r="D9" i="9"/>
  <c r="D10" i="9"/>
  <c r="D11" i="9"/>
  <c r="D12" i="9"/>
  <c r="D13" i="9"/>
  <c r="D14" i="9"/>
  <c r="D15" i="9"/>
  <c r="D16" i="9"/>
  <c r="D17" i="9"/>
  <c r="D8" i="9"/>
  <c r="F6" i="9"/>
  <c r="F82" i="9" s="1"/>
  <c r="G6" i="9"/>
  <c r="G82" i="9" s="1"/>
  <c r="K6" i="9"/>
  <c r="K82" i="9" s="1"/>
  <c r="C10" i="9"/>
  <c r="F11" i="23" s="1"/>
  <c r="C11" i="9"/>
  <c r="F12" i="23" s="1"/>
  <c r="C12" i="9"/>
  <c r="F13" i="23" s="1"/>
  <c r="C13" i="9"/>
  <c r="F14" i="23" s="1"/>
  <c r="C14" i="9"/>
  <c r="F15" i="23" s="1"/>
  <c r="C15" i="9"/>
  <c r="F16" i="23" s="1"/>
  <c r="C16" i="9"/>
  <c r="F17" i="23" s="1"/>
  <c r="C17" i="9"/>
  <c r="F18" i="23" s="1"/>
  <c r="C9" i="9"/>
  <c r="F10" i="23" s="1"/>
  <c r="B17" i="9"/>
  <c r="E18" i="23" s="1"/>
  <c r="B10" i="9"/>
  <c r="E11" i="23" s="1"/>
  <c r="B11" i="9"/>
  <c r="E12" i="23" s="1"/>
  <c r="B12" i="9"/>
  <c r="E13" i="23" s="1"/>
  <c r="B13" i="9"/>
  <c r="E14" i="23" s="1"/>
  <c r="B14" i="9"/>
  <c r="E15" i="23" s="1"/>
  <c r="B15" i="9"/>
  <c r="E16" i="23" s="1"/>
  <c r="B16" i="9"/>
  <c r="E17" i="23" s="1"/>
  <c r="B9" i="9"/>
  <c r="E10" i="23" s="1"/>
  <c r="B8" i="9"/>
  <c r="E9" i="23" s="1"/>
  <c r="A17" i="9"/>
  <c r="D18" i="23" s="1"/>
  <c r="A16" i="9"/>
  <c r="D17" i="23" s="1"/>
  <c r="A15" i="9"/>
  <c r="D16" i="23" s="1"/>
  <c r="A14" i="9"/>
  <c r="D15" i="23" s="1"/>
  <c r="A13" i="9"/>
  <c r="D14" i="23" s="1"/>
  <c r="A12" i="9"/>
  <c r="D13" i="23" s="1"/>
  <c r="A11" i="9"/>
  <c r="D12" i="23" s="1"/>
  <c r="A10" i="9"/>
  <c r="D11" i="23" s="1"/>
  <c r="A9" i="9"/>
  <c r="D10" i="23" s="1"/>
  <c r="A8" i="9"/>
  <c r="D9" i="23" s="1"/>
  <c r="L9" i="9"/>
  <c r="H10" i="23" s="1"/>
  <c r="L10" i="9"/>
  <c r="H11" i="23" s="1"/>
  <c r="L11" i="9"/>
  <c r="H12" i="23" s="1"/>
  <c r="L12" i="9"/>
  <c r="H13" i="23" s="1"/>
  <c r="L13" i="9"/>
  <c r="H14" i="23" s="1"/>
  <c r="L14" i="9"/>
  <c r="H15" i="23" s="1"/>
  <c r="L15" i="9"/>
  <c r="H16" i="23" s="1"/>
  <c r="L16" i="9"/>
  <c r="H17" i="23" s="1"/>
  <c r="L17" i="9"/>
  <c r="H18" i="23" s="1"/>
  <c r="L8" i="9"/>
  <c r="H9" i="23" s="1"/>
  <c r="E11" i="19"/>
  <c r="F53" i="19"/>
  <c r="I54" i="9" s="1"/>
  <c r="E70" i="19"/>
  <c r="O71" i="9" s="1"/>
  <c r="E69" i="19"/>
  <c r="O70" i="9" s="1"/>
  <c r="E68" i="19"/>
  <c r="O69" i="9" s="1"/>
  <c r="E67" i="19"/>
  <c r="O68" i="9" s="1"/>
  <c r="E66" i="19"/>
  <c r="O67" i="9" s="1"/>
  <c r="E48" i="19"/>
  <c r="E53" i="19"/>
  <c r="O54" i="9" s="1"/>
  <c r="E54" i="19"/>
  <c r="O55" i="9" s="1"/>
  <c r="E80" i="19"/>
  <c r="O81" i="9" s="1"/>
  <c r="E79" i="19"/>
  <c r="O80" i="9" s="1"/>
  <c r="U47" i="19"/>
  <c r="R46" i="19"/>
  <c r="T46" i="19"/>
  <c r="N46" i="19"/>
  <c r="P46" i="19"/>
  <c r="Q78" i="19"/>
  <c r="V5" i="19"/>
  <c r="V81" i="19" s="1"/>
  <c r="Q47" i="19"/>
  <c r="Q44" i="19"/>
  <c r="Q41" i="19"/>
  <c r="Q36" i="19"/>
  <c r="Q32" i="19"/>
  <c r="Q28" i="19"/>
  <c r="Q27" i="19" s="1"/>
  <c r="Q17" i="19"/>
  <c r="Q6" i="19"/>
  <c r="N35" i="19"/>
  <c r="P35" i="19"/>
  <c r="R35" i="19"/>
  <c r="T35" i="19"/>
  <c r="M44" i="19"/>
  <c r="J46" i="19"/>
  <c r="L46" i="19"/>
  <c r="N5" i="19"/>
  <c r="P5" i="19"/>
  <c r="R5" i="19"/>
  <c r="T5" i="19"/>
  <c r="N27" i="19"/>
  <c r="P27" i="19"/>
  <c r="R27" i="19"/>
  <c r="T27" i="19"/>
  <c r="M78" i="19"/>
  <c r="F5" i="19"/>
  <c r="H5" i="19"/>
  <c r="F27" i="19"/>
  <c r="H27" i="19"/>
  <c r="F35" i="19"/>
  <c r="H35" i="19"/>
  <c r="F46" i="19"/>
  <c r="H46" i="19"/>
  <c r="G54" i="19"/>
  <c r="P55" i="9" s="1"/>
  <c r="I47" i="19"/>
  <c r="U44" i="19"/>
  <c r="I44" i="19"/>
  <c r="M32" i="19"/>
  <c r="I17" i="19"/>
  <c r="M17" i="19"/>
  <c r="J5" i="19"/>
  <c r="L5" i="19"/>
  <c r="Q5" i="19" l="1"/>
  <c r="E78" i="19"/>
  <c r="H81" i="19"/>
  <c r="J81" i="19"/>
  <c r="F97" i="23"/>
  <c r="E64" i="9"/>
  <c r="G97" i="23" s="1"/>
  <c r="L81" i="19"/>
  <c r="P81" i="19"/>
  <c r="F82" i="23"/>
  <c r="E49" i="9"/>
  <c r="F88" i="23"/>
  <c r="E55" i="9"/>
  <c r="G88" i="23" s="1"/>
  <c r="E75" i="9"/>
  <c r="G113" i="23"/>
  <c r="E9" i="9"/>
  <c r="E74" i="9"/>
  <c r="G112" i="23"/>
  <c r="G114" i="23"/>
  <c r="E76" i="9"/>
  <c r="E21" i="9"/>
  <c r="G27" i="23" s="1"/>
  <c r="L79" i="9"/>
  <c r="N79" i="9" s="1"/>
  <c r="I127" i="23" s="1"/>
  <c r="N75" i="9"/>
  <c r="G29" i="23"/>
  <c r="O79" i="9"/>
  <c r="E22" i="9"/>
  <c r="N53" i="9"/>
  <c r="H86" i="23"/>
  <c r="L48" i="9"/>
  <c r="L72" i="9"/>
  <c r="E78" i="9"/>
  <c r="N77" i="9"/>
  <c r="J78" i="9"/>
  <c r="L45" i="9"/>
  <c r="E77" i="9"/>
  <c r="H116" i="23"/>
  <c r="J116" i="23" s="1"/>
  <c r="N76" i="9"/>
  <c r="H114" i="23"/>
  <c r="J114" i="23" s="1"/>
  <c r="N46" i="9"/>
  <c r="M45" i="9"/>
  <c r="E46" i="9"/>
  <c r="E56" i="9"/>
  <c r="G89" i="23" s="1"/>
  <c r="J102" i="23"/>
  <c r="J99" i="23"/>
  <c r="G104" i="23"/>
  <c r="E63" i="9"/>
  <c r="G96" i="23" s="1"/>
  <c r="E68" i="9"/>
  <c r="G101" i="23" s="1"/>
  <c r="E60" i="9"/>
  <c r="G93" i="23" s="1"/>
  <c r="N65" i="9"/>
  <c r="E65" i="9"/>
  <c r="E57" i="9"/>
  <c r="G90" i="23" s="1"/>
  <c r="E66" i="9"/>
  <c r="G99" i="23" s="1"/>
  <c r="E58" i="9"/>
  <c r="G91" i="23" s="1"/>
  <c r="J98" i="23"/>
  <c r="N66" i="9"/>
  <c r="N58" i="9"/>
  <c r="J97" i="23"/>
  <c r="N63" i="9"/>
  <c r="G95" i="23"/>
  <c r="J104" i="23"/>
  <c r="E69" i="9"/>
  <c r="G102" i="23" s="1"/>
  <c r="E61" i="9"/>
  <c r="G94" i="23" s="1"/>
  <c r="N61" i="9"/>
  <c r="E67" i="9"/>
  <c r="G100" i="23" s="1"/>
  <c r="E59" i="9"/>
  <c r="G92" i="23" s="1"/>
  <c r="N68" i="9"/>
  <c r="N57" i="9"/>
  <c r="N55" i="9"/>
  <c r="N64" i="9"/>
  <c r="N71" i="9"/>
  <c r="N62" i="9"/>
  <c r="N69" i="9"/>
  <c r="N56" i="9"/>
  <c r="J103" i="23"/>
  <c r="J101" i="23"/>
  <c r="N60" i="9"/>
  <c r="J100" i="23"/>
  <c r="N67" i="9"/>
  <c r="N59" i="9"/>
  <c r="L33" i="9"/>
  <c r="N33" i="9" s="1"/>
  <c r="H34" i="23"/>
  <c r="E15" i="9"/>
  <c r="G16" i="23" s="1"/>
  <c r="E14" i="9"/>
  <c r="G15" i="23" s="1"/>
  <c r="H19" i="23"/>
  <c r="Q35" i="19"/>
  <c r="T81" i="19"/>
  <c r="N81" i="19"/>
  <c r="R81" i="19"/>
  <c r="F81" i="19"/>
  <c r="D14" i="24"/>
  <c r="D13" i="24"/>
  <c r="D11" i="24"/>
  <c r="D9" i="24"/>
  <c r="D5" i="24"/>
  <c r="D2" i="24"/>
  <c r="E18" i="17"/>
  <c r="F59" i="22"/>
  <c r="G53" i="22"/>
  <c r="F53" i="22"/>
  <c r="G52" i="22"/>
  <c r="F52" i="22"/>
  <c r="G51" i="22"/>
  <c r="F51" i="22"/>
  <c r="G50" i="22"/>
  <c r="F50" i="22"/>
  <c r="G49" i="22"/>
  <c r="F49" i="22"/>
  <c r="E49" i="22"/>
  <c r="D49" i="22"/>
  <c r="C49" i="22"/>
  <c r="B49" i="22"/>
  <c r="G48" i="22"/>
  <c r="F48" i="22"/>
  <c r="G47" i="22"/>
  <c r="F47" i="22"/>
  <c r="E47" i="22"/>
  <c r="D47" i="22"/>
  <c r="C47" i="22"/>
  <c r="B47" i="22"/>
  <c r="G46" i="22"/>
  <c r="F46" i="22"/>
  <c r="G45" i="22"/>
  <c r="G44" i="22" s="1"/>
  <c r="F45" i="22"/>
  <c r="F44" i="22" s="1"/>
  <c r="E44" i="22"/>
  <c r="D44" i="22"/>
  <c r="C44" i="22"/>
  <c r="B44" i="22"/>
  <c r="G43" i="22"/>
  <c r="G40" i="22" s="1"/>
  <c r="F43" i="22"/>
  <c r="F40" i="22" s="1"/>
  <c r="G42" i="22"/>
  <c r="F42" i="22"/>
  <c r="G41" i="22"/>
  <c r="F41" i="22"/>
  <c r="E40" i="22"/>
  <c r="D40" i="22"/>
  <c r="C40" i="22"/>
  <c r="B40" i="22"/>
  <c r="G39" i="22"/>
  <c r="F39" i="22"/>
  <c r="G38" i="22"/>
  <c r="F38" i="22"/>
  <c r="G37" i="22"/>
  <c r="G34" i="22" s="1"/>
  <c r="F37" i="22"/>
  <c r="F34" i="22" s="1"/>
  <c r="G36" i="22"/>
  <c r="F36" i="22"/>
  <c r="G35" i="22"/>
  <c r="F35" i="22"/>
  <c r="E34" i="22"/>
  <c r="D34" i="22"/>
  <c r="C34" i="22"/>
  <c r="B34" i="22"/>
  <c r="G33" i="22"/>
  <c r="F33" i="22"/>
  <c r="G32" i="22"/>
  <c r="F32" i="22"/>
  <c r="G31" i="22"/>
  <c r="F31" i="22"/>
  <c r="G30" i="22"/>
  <c r="F30" i="22"/>
  <c r="F29" i="22"/>
  <c r="E29" i="22"/>
  <c r="D29" i="22"/>
  <c r="C29" i="22"/>
  <c r="G29" i="22" s="1"/>
  <c r="B29" i="22"/>
  <c r="B28" i="22" s="1"/>
  <c r="F28" i="22" s="1"/>
  <c r="E28" i="22"/>
  <c r="D28" i="22"/>
  <c r="G24" i="22"/>
  <c r="F24" i="22"/>
  <c r="G23" i="22"/>
  <c r="F23" i="22"/>
  <c r="E23" i="22"/>
  <c r="D23" i="22"/>
  <c r="C23" i="22"/>
  <c r="B23" i="22"/>
  <c r="G21" i="22"/>
  <c r="F21" i="22"/>
  <c r="G20" i="22"/>
  <c r="G19" i="22" s="1"/>
  <c r="F20" i="22"/>
  <c r="F19" i="22" s="1"/>
  <c r="E19" i="22"/>
  <c r="D19" i="22"/>
  <c r="C19" i="22"/>
  <c r="B19" i="22"/>
  <c r="G18" i="22"/>
  <c r="B18" i="22"/>
  <c r="B15" i="22" s="1"/>
  <c r="B14" i="22" s="1"/>
  <c r="G17" i="22"/>
  <c r="F17" i="22"/>
  <c r="F16" i="22"/>
  <c r="E16" i="22"/>
  <c r="G16" i="22" s="1"/>
  <c r="G15" i="22" s="1"/>
  <c r="G14" i="22" s="1"/>
  <c r="D15" i="22"/>
  <c r="C15" i="22"/>
  <c r="D14" i="22"/>
  <c r="D26" i="22" s="1"/>
  <c r="D55" i="22" s="1"/>
  <c r="C14" i="22"/>
  <c r="G13" i="22"/>
  <c r="F13" i="22"/>
  <c r="G12" i="22"/>
  <c r="F12" i="22"/>
  <c r="G11" i="22"/>
  <c r="F11" i="22"/>
  <c r="G10" i="22"/>
  <c r="F10" i="22"/>
  <c r="E10" i="22"/>
  <c r="D10" i="22"/>
  <c r="C10" i="22"/>
  <c r="C26" i="22" s="1"/>
  <c r="B10" i="22"/>
  <c r="G9" i="22"/>
  <c r="F9" i="22"/>
  <c r="J47" i="18"/>
  <c r="J46" i="18"/>
  <c r="J44" i="18"/>
  <c r="D44" i="18"/>
  <c r="J43" i="18"/>
  <c r="D43" i="18"/>
  <c r="J41" i="18"/>
  <c r="J40" i="18"/>
  <c r="D40" i="18"/>
  <c r="J39" i="18"/>
  <c r="D39" i="18"/>
  <c r="J37" i="18"/>
  <c r="J36" i="18"/>
  <c r="J35" i="18"/>
  <c r="D35" i="18"/>
  <c r="J34" i="18"/>
  <c r="D34" i="18"/>
  <c r="J32" i="18"/>
  <c r="D32" i="18"/>
  <c r="J31" i="18"/>
  <c r="D31" i="18"/>
  <c r="J29" i="18"/>
  <c r="D29" i="18"/>
  <c r="A29" i="18"/>
  <c r="A31" i="18" s="1"/>
  <c r="A32" i="18" s="1"/>
  <c r="A34" i="18" s="1"/>
  <c r="A35" i="18" s="1"/>
  <c r="A36" i="18" s="1"/>
  <c r="A37" i="18" s="1"/>
  <c r="A39" i="18" s="1"/>
  <c r="A40" i="18" s="1"/>
  <c r="A41" i="18" s="1"/>
  <c r="A43" i="18" s="1"/>
  <c r="A44" i="18" s="1"/>
  <c r="A46" i="18" s="1"/>
  <c r="A47" i="18" s="1"/>
  <c r="J28" i="18"/>
  <c r="D28" i="18"/>
  <c r="J27" i="18"/>
  <c r="J25" i="18"/>
  <c r="J24" i="18"/>
  <c r="D24" i="18"/>
  <c r="J23" i="18"/>
  <c r="D23" i="18"/>
  <c r="J22" i="18"/>
  <c r="D22" i="18"/>
  <c r="J21" i="18"/>
  <c r="D21" i="18"/>
  <c r="J20" i="18"/>
  <c r="A20" i="18"/>
  <c r="A21" i="18" s="1"/>
  <c r="A23" i="18" s="1"/>
  <c r="A25" i="18" s="1"/>
  <c r="J19" i="18"/>
  <c r="D19" i="18"/>
  <c r="J17" i="18"/>
  <c r="J15" i="18"/>
  <c r="D15" i="18"/>
  <c r="J14" i="18"/>
  <c r="D14" i="18"/>
  <c r="J13" i="18"/>
  <c r="D13" i="18"/>
  <c r="J12" i="18"/>
  <c r="D12" i="18"/>
  <c r="J10" i="18"/>
  <c r="D10" i="18"/>
  <c r="A10" i="18"/>
  <c r="J9" i="18"/>
  <c r="C50" i="27"/>
  <c r="C49" i="27" s="1"/>
  <c r="D49" i="27"/>
  <c r="C45" i="27"/>
  <c r="C44" i="27"/>
  <c r="D44" i="27" s="1"/>
  <c r="C43" i="27"/>
  <c r="D43" i="27" s="1"/>
  <c r="D41" i="27" s="1"/>
  <c r="D33" i="27" s="1"/>
  <c r="C40" i="27"/>
  <c r="C32" i="27"/>
  <c r="C31" i="27"/>
  <c r="C29" i="27"/>
  <c r="C28" i="27"/>
  <c r="C26" i="27"/>
  <c r="D25" i="27"/>
  <c r="C21" i="27"/>
  <c r="C20" i="27" s="1"/>
  <c r="D20" i="27"/>
  <c r="C15" i="27"/>
  <c r="C13" i="27" s="1"/>
  <c r="D13" i="27"/>
  <c r="D12" i="27"/>
  <c r="C10" i="27"/>
  <c r="C8" i="27" s="1"/>
  <c r="D8" i="27"/>
  <c r="D7" i="27"/>
  <c r="J77" i="39"/>
  <c r="I77" i="39"/>
  <c r="H77" i="39"/>
  <c r="G77" i="39"/>
  <c r="F77" i="39"/>
  <c r="E77" i="39"/>
  <c r="D77" i="39"/>
  <c r="C77" i="39"/>
  <c r="B77" i="39"/>
  <c r="J76" i="39"/>
  <c r="I76" i="39"/>
  <c r="H76" i="39"/>
  <c r="A3" i="39"/>
  <c r="D54" i="38"/>
  <c r="C54" i="38"/>
  <c r="T174" i="29"/>
  <c r="I169" i="29"/>
  <c r="H169" i="29"/>
  <c r="G169" i="29"/>
  <c r="F169" i="29"/>
  <c r="J168" i="29"/>
  <c r="I168" i="29"/>
  <c r="H168" i="29"/>
  <c r="G168" i="29"/>
  <c r="F168" i="29"/>
  <c r="I167" i="29"/>
  <c r="J167" i="29" s="1"/>
  <c r="H167" i="29"/>
  <c r="G167" i="29"/>
  <c r="F167" i="29"/>
  <c r="I166" i="29"/>
  <c r="H166" i="29"/>
  <c r="G166" i="29"/>
  <c r="F166" i="29"/>
  <c r="I165" i="29"/>
  <c r="H165" i="29"/>
  <c r="G165" i="29"/>
  <c r="F165" i="29"/>
  <c r="I164" i="29"/>
  <c r="I171" i="29" s="1"/>
  <c r="H164" i="29"/>
  <c r="H170" i="29" s="1"/>
  <c r="G164" i="29"/>
  <c r="F164" i="29"/>
  <c r="I157" i="29"/>
  <c r="J157" i="29" s="1"/>
  <c r="H157" i="29"/>
  <c r="F157" i="29"/>
  <c r="I156" i="29"/>
  <c r="H156" i="29"/>
  <c r="G156" i="29"/>
  <c r="F156" i="29"/>
  <c r="I155" i="29"/>
  <c r="J155" i="29" s="1"/>
  <c r="H155" i="29"/>
  <c r="G155" i="29"/>
  <c r="F155" i="29"/>
  <c r="I154" i="29"/>
  <c r="H154" i="29"/>
  <c r="G154" i="29"/>
  <c r="F154" i="29"/>
  <c r="I153" i="29"/>
  <c r="H153" i="29"/>
  <c r="G153" i="29"/>
  <c r="F153" i="29"/>
  <c r="I152" i="29"/>
  <c r="H152" i="29"/>
  <c r="G152" i="29"/>
  <c r="F152" i="29"/>
  <c r="I151" i="29"/>
  <c r="H151" i="29"/>
  <c r="G151" i="29"/>
  <c r="F151" i="29"/>
  <c r="I150" i="29"/>
  <c r="J150" i="29" s="1"/>
  <c r="H150" i="29"/>
  <c r="G150" i="29"/>
  <c r="F150" i="29"/>
  <c r="J149" i="29"/>
  <c r="I149" i="29"/>
  <c r="I159" i="29" s="1"/>
  <c r="H149" i="29"/>
  <c r="H158" i="29" s="1"/>
  <c r="G149" i="29"/>
  <c r="F149" i="29"/>
  <c r="I142" i="29"/>
  <c r="H142" i="29"/>
  <c r="G142" i="29"/>
  <c r="F142" i="29"/>
  <c r="I141" i="29"/>
  <c r="J141" i="29" s="1"/>
  <c r="H141" i="29"/>
  <c r="G141" i="29"/>
  <c r="F141" i="29"/>
  <c r="F140" i="29"/>
  <c r="F139" i="29"/>
  <c r="G132" i="29"/>
  <c r="F132" i="29"/>
  <c r="F131" i="29"/>
  <c r="F130" i="29"/>
  <c r="F129" i="29"/>
  <c r="F128" i="29"/>
  <c r="F127" i="29"/>
  <c r="G120" i="29"/>
  <c r="F120" i="29"/>
  <c r="F105" i="29"/>
  <c r="I98" i="29"/>
  <c r="H98" i="29"/>
  <c r="G98" i="29"/>
  <c r="F98" i="29"/>
  <c r="I97" i="29"/>
  <c r="H97" i="29"/>
  <c r="G97" i="29"/>
  <c r="F97" i="29"/>
  <c r="F96" i="29"/>
  <c r="F95" i="29"/>
  <c r="I88" i="29"/>
  <c r="J88" i="29" s="1"/>
  <c r="H88" i="29"/>
  <c r="G88" i="29"/>
  <c r="F88" i="29"/>
  <c r="I86" i="29"/>
  <c r="H86" i="29"/>
  <c r="J86" i="29" s="1"/>
  <c r="G86" i="29"/>
  <c r="F86" i="29"/>
  <c r="I85" i="29"/>
  <c r="H85" i="29"/>
  <c r="G85" i="29"/>
  <c r="F85" i="29"/>
  <c r="F84" i="29"/>
  <c r="F83" i="29"/>
  <c r="F82" i="29"/>
  <c r="I75" i="29"/>
  <c r="H75" i="29"/>
  <c r="G75" i="29"/>
  <c r="F75" i="29"/>
  <c r="I74" i="29"/>
  <c r="H74" i="29"/>
  <c r="J74" i="29" s="1"/>
  <c r="G74" i="29"/>
  <c r="F74" i="29"/>
  <c r="I73" i="29"/>
  <c r="H73" i="29"/>
  <c r="G73" i="29"/>
  <c r="F73" i="29"/>
  <c r="I72" i="29"/>
  <c r="H72" i="29"/>
  <c r="J72" i="29" s="1"/>
  <c r="G72" i="29"/>
  <c r="F72" i="29"/>
  <c r="I71" i="29"/>
  <c r="H71" i="29"/>
  <c r="J71" i="29" s="1"/>
  <c r="G71" i="29"/>
  <c r="F71" i="29"/>
  <c r="I70" i="29"/>
  <c r="H70" i="29"/>
  <c r="G70" i="29"/>
  <c r="F70" i="29"/>
  <c r="G69" i="29"/>
  <c r="F69" i="29"/>
  <c r="G68" i="29"/>
  <c r="I61" i="29"/>
  <c r="H61" i="29"/>
  <c r="G61" i="29"/>
  <c r="F61" i="29"/>
  <c r="I60" i="29"/>
  <c r="J60" i="29" s="1"/>
  <c r="H60" i="29"/>
  <c r="G60" i="29"/>
  <c r="F60" i="29"/>
  <c r="I59" i="29"/>
  <c r="H59" i="29"/>
  <c r="G59" i="29"/>
  <c r="F59" i="29"/>
  <c r="I58" i="29"/>
  <c r="H58" i="29"/>
  <c r="G58" i="29"/>
  <c r="F58" i="29"/>
  <c r="I57" i="29"/>
  <c r="H57" i="29"/>
  <c r="G57" i="29"/>
  <c r="F57" i="29"/>
  <c r="I56" i="29"/>
  <c r="J56" i="29" s="1"/>
  <c r="H56" i="29"/>
  <c r="G56" i="29"/>
  <c r="F56" i="29"/>
  <c r="I55" i="29"/>
  <c r="H55" i="29"/>
  <c r="G55" i="29"/>
  <c r="F55" i="29"/>
  <c r="I54" i="29"/>
  <c r="H54" i="29"/>
  <c r="G54" i="29"/>
  <c r="F54" i="29"/>
  <c r="I44" i="29"/>
  <c r="H44" i="29"/>
  <c r="G44" i="29"/>
  <c r="F44" i="29"/>
  <c r="I43" i="29"/>
  <c r="H43" i="29"/>
  <c r="H45" i="29" s="1"/>
  <c r="G43" i="29"/>
  <c r="F43" i="29"/>
  <c r="I36" i="29"/>
  <c r="H36" i="29"/>
  <c r="G36" i="29"/>
  <c r="F36" i="29"/>
  <c r="F35" i="29"/>
  <c r="F34" i="29"/>
  <c r="F33" i="29"/>
  <c r="F32" i="29"/>
  <c r="F30" i="29"/>
  <c r="F29" i="29"/>
  <c r="G28" i="29"/>
  <c r="F28" i="29"/>
  <c r="F27" i="29"/>
  <c r="I20" i="29"/>
  <c r="H20" i="29"/>
  <c r="G20" i="29"/>
  <c r="F20" i="29"/>
  <c r="I19" i="29"/>
  <c r="H19" i="29"/>
  <c r="G19" i="29"/>
  <c r="F19" i="29"/>
  <c r="F18" i="29"/>
  <c r="F17" i="29"/>
  <c r="F16" i="29"/>
  <c r="F15" i="29"/>
  <c r="F14" i="29"/>
  <c r="F13" i="29"/>
  <c r="F12" i="29"/>
  <c r="F11" i="29"/>
  <c r="F10" i="29"/>
  <c r="H79" i="9"/>
  <c r="I77" i="23"/>
  <c r="J76" i="23" s="1"/>
  <c r="N44" i="9"/>
  <c r="H44" i="9"/>
  <c r="H43" i="9"/>
  <c r="H60" i="23"/>
  <c r="C41" i="9"/>
  <c r="F60" i="23" s="1"/>
  <c r="H59" i="23"/>
  <c r="H58" i="23"/>
  <c r="H39" i="9"/>
  <c r="H38" i="9"/>
  <c r="H50" i="23"/>
  <c r="I35" i="9"/>
  <c r="H35" i="9"/>
  <c r="G50" i="23"/>
  <c r="H49" i="23"/>
  <c r="I34" i="9"/>
  <c r="G49" i="23"/>
  <c r="H27" i="9"/>
  <c r="E27" i="9"/>
  <c r="G33" i="23" s="1"/>
  <c r="H26" i="9"/>
  <c r="H25" i="9"/>
  <c r="H24" i="9"/>
  <c r="H22" i="9"/>
  <c r="H21" i="9"/>
  <c r="I20" i="9"/>
  <c r="H20" i="9"/>
  <c r="H19" i="9"/>
  <c r="J18" i="23"/>
  <c r="H17" i="9"/>
  <c r="J17" i="23"/>
  <c r="H16" i="9"/>
  <c r="J16" i="23"/>
  <c r="H15" i="9"/>
  <c r="J15" i="23"/>
  <c r="H14" i="9"/>
  <c r="H13" i="9"/>
  <c r="J13" i="23"/>
  <c r="H12" i="9"/>
  <c r="J12" i="23"/>
  <c r="H11" i="9"/>
  <c r="J11" i="23"/>
  <c r="H10" i="9"/>
  <c r="J10" i="23"/>
  <c r="H9" i="9"/>
  <c r="V90" i="19"/>
  <c r="G80" i="19"/>
  <c r="F80" i="19"/>
  <c r="H140" i="29"/>
  <c r="G79" i="19"/>
  <c r="F79" i="19"/>
  <c r="W78" i="19"/>
  <c r="U78" i="19"/>
  <c r="S78" i="19"/>
  <c r="O78" i="19"/>
  <c r="K78" i="19"/>
  <c r="I78" i="19"/>
  <c r="G77" i="19"/>
  <c r="I132" i="29" s="1"/>
  <c r="E77" i="19"/>
  <c r="O78" i="9" s="1"/>
  <c r="G76" i="19"/>
  <c r="I131" i="29" s="1"/>
  <c r="F76" i="19"/>
  <c r="I77" i="9" s="1"/>
  <c r="J77" i="9" s="1"/>
  <c r="E76" i="19"/>
  <c r="G75" i="19"/>
  <c r="F75" i="19"/>
  <c r="I76" i="9" s="1"/>
  <c r="J76" i="9" s="1"/>
  <c r="E75" i="19"/>
  <c r="O76" i="9" s="1"/>
  <c r="Q76" i="9" s="1"/>
  <c r="G74" i="19"/>
  <c r="I129" i="29" s="1"/>
  <c r="F74" i="19"/>
  <c r="I75" i="9" s="1"/>
  <c r="J75" i="9" s="1"/>
  <c r="E74" i="19"/>
  <c r="G73" i="19"/>
  <c r="I128" i="29" s="1"/>
  <c r="F73" i="19"/>
  <c r="I74" i="9" s="1"/>
  <c r="E73" i="19"/>
  <c r="H128" i="29" s="1"/>
  <c r="G72" i="19"/>
  <c r="I127" i="29" s="1"/>
  <c r="G127" i="29"/>
  <c r="E72" i="19"/>
  <c r="O73" i="9" s="1"/>
  <c r="W71" i="19"/>
  <c r="U71" i="19"/>
  <c r="S71" i="19"/>
  <c r="Q71" i="19"/>
  <c r="Q46" i="19" s="1"/>
  <c r="O71" i="19"/>
  <c r="M71" i="19"/>
  <c r="K71" i="19"/>
  <c r="I71" i="19"/>
  <c r="X70" i="19"/>
  <c r="G70" i="19"/>
  <c r="P71" i="9" s="1"/>
  <c r="X65" i="19"/>
  <c r="E65" i="19"/>
  <c r="O66" i="9" s="1"/>
  <c r="X64" i="19"/>
  <c r="E64" i="19"/>
  <c r="O65" i="9" s="1"/>
  <c r="D64" i="19"/>
  <c r="H65" i="9" s="1"/>
  <c r="J65" i="9" s="1"/>
  <c r="X63" i="19"/>
  <c r="G63" i="19"/>
  <c r="P64" i="9" s="1"/>
  <c r="F63" i="19"/>
  <c r="I64" i="9" s="1"/>
  <c r="E63" i="19"/>
  <c r="O64" i="9" s="1"/>
  <c r="D63" i="19"/>
  <c r="X62" i="19"/>
  <c r="G62" i="19"/>
  <c r="F62" i="19"/>
  <c r="E62" i="19"/>
  <c r="D62" i="19"/>
  <c r="X61" i="19"/>
  <c r="G61" i="19"/>
  <c r="P62" i="9" s="1"/>
  <c r="E61" i="19"/>
  <c r="D61" i="19"/>
  <c r="H62" i="9" s="1"/>
  <c r="X60" i="19"/>
  <c r="G60" i="19"/>
  <c r="P61" i="9" s="1"/>
  <c r="F60" i="19"/>
  <c r="I61" i="9" s="1"/>
  <c r="E60" i="19"/>
  <c r="O61" i="9" s="1"/>
  <c r="D60" i="19"/>
  <c r="H61" i="9" s="1"/>
  <c r="X59" i="19"/>
  <c r="G59" i="19"/>
  <c r="P60" i="9" s="1"/>
  <c r="F59" i="19"/>
  <c r="E59" i="19"/>
  <c r="O60" i="9" s="1"/>
  <c r="D59" i="19"/>
  <c r="H60" i="9" s="1"/>
  <c r="X58" i="19"/>
  <c r="G58" i="19"/>
  <c r="P59" i="9" s="1"/>
  <c r="F58" i="19"/>
  <c r="E58" i="19"/>
  <c r="O59" i="9" s="1"/>
  <c r="D58" i="19"/>
  <c r="X57" i="19"/>
  <c r="G57" i="19"/>
  <c r="P58" i="9" s="1"/>
  <c r="F57" i="19"/>
  <c r="E57" i="19"/>
  <c r="O58" i="9" s="1"/>
  <c r="D57" i="19"/>
  <c r="H58" i="9" s="1"/>
  <c r="X56" i="19"/>
  <c r="G56" i="19"/>
  <c r="P57" i="9" s="1"/>
  <c r="F56" i="19"/>
  <c r="I57" i="9" s="1"/>
  <c r="E56" i="19"/>
  <c r="O57" i="9" s="1"/>
  <c r="D56" i="19"/>
  <c r="H57" i="9" s="1"/>
  <c r="X55" i="19"/>
  <c r="G55" i="19"/>
  <c r="F55" i="19"/>
  <c r="I56" i="9" s="1"/>
  <c r="E55" i="19"/>
  <c r="O56" i="9" s="1"/>
  <c r="D55" i="19"/>
  <c r="X53" i="19"/>
  <c r="G53" i="19"/>
  <c r="H110" i="29"/>
  <c r="D53" i="19"/>
  <c r="X52" i="19"/>
  <c r="G52" i="19"/>
  <c r="F52" i="19"/>
  <c r="G109" i="29" s="1"/>
  <c r="E52" i="19"/>
  <c r="D52" i="19"/>
  <c r="X51" i="19"/>
  <c r="F51" i="19"/>
  <c r="E51" i="19"/>
  <c r="O52" i="9" s="1"/>
  <c r="D51" i="19"/>
  <c r="G50" i="19"/>
  <c r="I107" i="29" s="1"/>
  <c r="F50" i="19"/>
  <c r="E50" i="19"/>
  <c r="D50" i="19"/>
  <c r="F107" i="29" s="1"/>
  <c r="G49" i="19"/>
  <c r="F49" i="19"/>
  <c r="G106" i="29" s="1"/>
  <c r="E49" i="19"/>
  <c r="O50" i="9" s="1"/>
  <c r="D49" i="19"/>
  <c r="H50" i="9" s="1"/>
  <c r="G48" i="19"/>
  <c r="F48" i="19"/>
  <c r="I49" i="9" s="1"/>
  <c r="O49" i="9"/>
  <c r="W47" i="19"/>
  <c r="Y47" i="19" s="1"/>
  <c r="S47" i="19"/>
  <c r="S46" i="19" s="1"/>
  <c r="O47" i="19"/>
  <c r="O46" i="19" s="1"/>
  <c r="O81" i="19" s="1"/>
  <c r="M47" i="19"/>
  <c r="W46" i="19"/>
  <c r="E45" i="19"/>
  <c r="X43" i="19"/>
  <c r="G43" i="19"/>
  <c r="I96" i="29" s="1"/>
  <c r="F43" i="19"/>
  <c r="G96" i="29" s="1"/>
  <c r="E43" i="19"/>
  <c r="X42" i="19"/>
  <c r="G42" i="19"/>
  <c r="P43" i="9" s="1"/>
  <c r="F42" i="19"/>
  <c r="I43" i="9" s="1"/>
  <c r="E42" i="19"/>
  <c r="E41" i="19" s="1"/>
  <c r="W41" i="19"/>
  <c r="U41" i="19"/>
  <c r="S41" i="19"/>
  <c r="O41" i="19"/>
  <c r="M41" i="19"/>
  <c r="K41" i="19"/>
  <c r="I41" i="19"/>
  <c r="G40" i="19"/>
  <c r="P41" i="9" s="1"/>
  <c r="E40" i="19"/>
  <c r="O41" i="9" s="1"/>
  <c r="D40" i="19"/>
  <c r="X39" i="19"/>
  <c r="G39" i="19"/>
  <c r="I84" i="29" s="1"/>
  <c r="F39" i="19"/>
  <c r="I40" i="9" s="1"/>
  <c r="E39" i="19"/>
  <c r="Z39" i="19" s="1"/>
  <c r="X38" i="19"/>
  <c r="G38" i="19"/>
  <c r="P39" i="9" s="1"/>
  <c r="F38" i="19"/>
  <c r="I39" i="9" s="1"/>
  <c r="E38" i="19"/>
  <c r="Y37" i="19"/>
  <c r="G37" i="19"/>
  <c r="I82" i="29" s="1"/>
  <c r="F37" i="19"/>
  <c r="I38" i="9" s="1"/>
  <c r="E37" i="19"/>
  <c r="AA36" i="19"/>
  <c r="Y36" i="19"/>
  <c r="W36" i="19"/>
  <c r="W35" i="19" s="1"/>
  <c r="U36" i="19"/>
  <c r="S36" i="19"/>
  <c r="O36" i="19"/>
  <c r="O35" i="19" s="1"/>
  <c r="M36" i="19"/>
  <c r="K36" i="19"/>
  <c r="K35" i="19" s="1"/>
  <c r="I36" i="19"/>
  <c r="I35" i="19" s="1"/>
  <c r="Y34" i="19"/>
  <c r="G34" i="19"/>
  <c r="I69" i="29" s="1"/>
  <c r="E34" i="19"/>
  <c r="H69" i="29" s="1"/>
  <c r="G33" i="19"/>
  <c r="P34" i="9" s="1"/>
  <c r="E33" i="19"/>
  <c r="E32" i="19" s="1"/>
  <c r="D33" i="19"/>
  <c r="F68" i="29" s="1"/>
  <c r="W32" i="19"/>
  <c r="U32" i="19"/>
  <c r="Y32" i="19" s="1"/>
  <c r="S32" i="19"/>
  <c r="O32" i="19"/>
  <c r="K32" i="19"/>
  <c r="I32" i="19"/>
  <c r="G31" i="19"/>
  <c r="I53" i="29" s="1"/>
  <c r="F31" i="19"/>
  <c r="I32" i="9" s="1"/>
  <c r="E31" i="19"/>
  <c r="H53" i="29" s="1"/>
  <c r="D31" i="19"/>
  <c r="H32" i="9" s="1"/>
  <c r="X30" i="19"/>
  <c r="G30" i="19"/>
  <c r="I52" i="29" s="1"/>
  <c r="F30" i="19"/>
  <c r="I31" i="9" s="1"/>
  <c r="E30" i="19"/>
  <c r="H52" i="29" s="1"/>
  <c r="D30" i="19"/>
  <c r="H31" i="9" s="1"/>
  <c r="X29" i="19"/>
  <c r="G29" i="19"/>
  <c r="I51" i="29" s="1"/>
  <c r="F29" i="19"/>
  <c r="I30" i="9" s="1"/>
  <c r="I29" i="9" s="1"/>
  <c r="E29" i="19"/>
  <c r="D29" i="19"/>
  <c r="H30" i="9" s="1"/>
  <c r="W28" i="19"/>
  <c r="W27" i="19" s="1"/>
  <c r="U28" i="19"/>
  <c r="U27" i="19" s="1"/>
  <c r="S28" i="19"/>
  <c r="O28" i="19"/>
  <c r="O27" i="19" s="1"/>
  <c r="M28" i="19"/>
  <c r="M27" i="19" s="1"/>
  <c r="K28" i="19"/>
  <c r="I28" i="19"/>
  <c r="G26" i="19"/>
  <c r="I35" i="29" s="1"/>
  <c r="F26" i="19"/>
  <c r="G35" i="29" s="1"/>
  <c r="E26" i="19"/>
  <c r="H35" i="29" s="1"/>
  <c r="G25" i="19"/>
  <c r="I34" i="29" s="1"/>
  <c r="F25" i="19"/>
  <c r="E25" i="19"/>
  <c r="G24" i="19"/>
  <c r="I33" i="29" s="1"/>
  <c r="F24" i="19"/>
  <c r="G33" i="29" s="1"/>
  <c r="E24" i="19"/>
  <c r="H33" i="29" s="1"/>
  <c r="G23" i="19"/>
  <c r="I32" i="29" s="1"/>
  <c r="F23" i="19"/>
  <c r="G32" i="29" s="1"/>
  <c r="E23" i="19"/>
  <c r="H32" i="29" s="1"/>
  <c r="X22" i="19"/>
  <c r="G22" i="19"/>
  <c r="I31" i="29" s="1"/>
  <c r="F22" i="19"/>
  <c r="G31" i="29" s="1"/>
  <c r="E22" i="19"/>
  <c r="H31" i="29" s="1"/>
  <c r="D22" i="19"/>
  <c r="F31" i="29" s="1"/>
  <c r="G21" i="19"/>
  <c r="I30" i="29" s="1"/>
  <c r="F21" i="19"/>
  <c r="G30" i="29" s="1"/>
  <c r="E21" i="19"/>
  <c r="H30" i="29" s="1"/>
  <c r="G20" i="19"/>
  <c r="I29" i="29" s="1"/>
  <c r="F20" i="19"/>
  <c r="G29" i="29" s="1"/>
  <c r="E20" i="19"/>
  <c r="O21" i="9" s="1"/>
  <c r="G19" i="19"/>
  <c r="I28" i="29" s="1"/>
  <c r="E19" i="19"/>
  <c r="H28" i="29" s="1"/>
  <c r="X18" i="19"/>
  <c r="G18" i="19"/>
  <c r="I27" i="29" s="1"/>
  <c r="F18" i="19"/>
  <c r="I19" i="9" s="1"/>
  <c r="E18" i="19"/>
  <c r="W17" i="19"/>
  <c r="U17" i="19"/>
  <c r="S17" i="19"/>
  <c r="O17" i="19"/>
  <c r="O5" i="19" s="1"/>
  <c r="K17" i="19"/>
  <c r="G16" i="19"/>
  <c r="P17" i="9" s="1"/>
  <c r="F16" i="19"/>
  <c r="G18" i="29" s="1"/>
  <c r="E16" i="19"/>
  <c r="O17" i="9" s="1"/>
  <c r="G15" i="19"/>
  <c r="I17" i="29" s="1"/>
  <c r="F15" i="19"/>
  <c r="I16" i="9" s="1"/>
  <c r="E15" i="19"/>
  <c r="O16" i="9" s="1"/>
  <c r="G14" i="19"/>
  <c r="I16" i="29" s="1"/>
  <c r="F14" i="19"/>
  <c r="G16" i="29" s="1"/>
  <c r="E14" i="19"/>
  <c r="H16" i="29" s="1"/>
  <c r="G13" i="19"/>
  <c r="I15" i="29" s="1"/>
  <c r="F13" i="19"/>
  <c r="I14" i="9" s="1"/>
  <c r="E13" i="19"/>
  <c r="H15" i="29" s="1"/>
  <c r="Y12" i="19"/>
  <c r="G12" i="19"/>
  <c r="I14" i="29" s="1"/>
  <c r="F12" i="19"/>
  <c r="G14" i="29" s="1"/>
  <c r="E12" i="19"/>
  <c r="O13" i="9" s="1"/>
  <c r="G11" i="19"/>
  <c r="I13" i="29" s="1"/>
  <c r="F11" i="19"/>
  <c r="G13" i="29" s="1"/>
  <c r="H13" i="29"/>
  <c r="X10" i="19"/>
  <c r="G10" i="19"/>
  <c r="I12" i="29" s="1"/>
  <c r="F10" i="19"/>
  <c r="I11" i="9" s="1"/>
  <c r="E10" i="19"/>
  <c r="O11" i="9" s="1"/>
  <c r="X9" i="19"/>
  <c r="G9" i="19"/>
  <c r="I11" i="29" s="1"/>
  <c r="F9" i="19"/>
  <c r="I10" i="9" s="1"/>
  <c r="E9" i="19"/>
  <c r="H11" i="29" s="1"/>
  <c r="G8" i="19"/>
  <c r="P9" i="9" s="1"/>
  <c r="F8" i="19"/>
  <c r="G10" i="29" s="1"/>
  <c r="E8" i="19"/>
  <c r="H10" i="29" s="1"/>
  <c r="G7" i="19"/>
  <c r="P8" i="9" s="1"/>
  <c r="F7" i="19"/>
  <c r="G9" i="29" s="1"/>
  <c r="E7" i="19"/>
  <c r="E6" i="19" s="1"/>
  <c r="D7" i="19"/>
  <c r="W6" i="19"/>
  <c r="W5" i="19" s="1"/>
  <c r="U6" i="19"/>
  <c r="S6" i="19"/>
  <c r="S5" i="19" s="1"/>
  <c r="M6" i="19"/>
  <c r="M5" i="19" s="1"/>
  <c r="K6" i="19"/>
  <c r="I6" i="19"/>
  <c r="I5" i="19" s="1"/>
  <c r="C41" i="27" l="1"/>
  <c r="O19" i="9"/>
  <c r="E17" i="19"/>
  <c r="E5" i="19" s="1"/>
  <c r="J33" i="29"/>
  <c r="H29" i="9"/>
  <c r="J29" i="9" s="1"/>
  <c r="W81" i="19"/>
  <c r="J57" i="9"/>
  <c r="F114" i="29"/>
  <c r="H59" i="9"/>
  <c r="J61" i="9"/>
  <c r="H117" i="29"/>
  <c r="O62" i="9"/>
  <c r="H118" i="29"/>
  <c r="O63" i="9"/>
  <c r="F119" i="29"/>
  <c r="H64" i="9"/>
  <c r="J64" i="9" s="1"/>
  <c r="I46" i="19"/>
  <c r="H131" i="29"/>
  <c r="O77" i="9"/>
  <c r="Q77" i="9" s="1"/>
  <c r="O35" i="9"/>
  <c r="G12" i="29"/>
  <c r="G53" i="29"/>
  <c r="H87" i="29"/>
  <c r="F113" i="29"/>
  <c r="J158" i="29"/>
  <c r="H8" i="9"/>
  <c r="C8" i="9"/>
  <c r="F9" i="23" s="1"/>
  <c r="H51" i="29"/>
  <c r="H62" i="29" s="1"/>
  <c r="J62" i="29" s="1"/>
  <c r="E28" i="19"/>
  <c r="E27" i="19" s="1"/>
  <c r="E36" i="19"/>
  <c r="F87" i="29"/>
  <c r="H41" i="9"/>
  <c r="M46" i="19"/>
  <c r="H107" i="29"/>
  <c r="O51" i="9"/>
  <c r="F110" i="29"/>
  <c r="H54" i="9"/>
  <c r="F111" i="29"/>
  <c r="H56" i="9"/>
  <c r="U46" i="19"/>
  <c r="P40" i="9"/>
  <c r="J19" i="29"/>
  <c r="D6" i="27"/>
  <c r="D54" i="27" s="1"/>
  <c r="C28" i="22"/>
  <c r="G28" i="22" s="1"/>
  <c r="B26" i="22"/>
  <c r="B55" i="22" s="1"/>
  <c r="H129" i="29"/>
  <c r="O75" i="9"/>
  <c r="U5" i="19"/>
  <c r="O46" i="9"/>
  <c r="O45" i="9" s="1"/>
  <c r="Q45" i="9" s="1"/>
  <c r="E44" i="19"/>
  <c r="J56" i="9"/>
  <c r="F118" i="29"/>
  <c r="H63" i="9"/>
  <c r="H23" i="9"/>
  <c r="J43" i="29"/>
  <c r="J59" i="29"/>
  <c r="J70" i="29"/>
  <c r="J75" i="29"/>
  <c r="H130" i="29"/>
  <c r="H132" i="29"/>
  <c r="C25" i="27"/>
  <c r="C12" i="27" s="1"/>
  <c r="C7" i="27" s="1"/>
  <c r="Q81" i="19"/>
  <c r="I8" i="9"/>
  <c r="J8" i="9" s="1"/>
  <c r="I27" i="9"/>
  <c r="E45" i="9"/>
  <c r="I79" i="23" s="1"/>
  <c r="G140" i="29"/>
  <c r="I81" i="9"/>
  <c r="J81" i="9" s="1"/>
  <c r="G139" i="29"/>
  <c r="I80" i="9"/>
  <c r="I79" i="9" s="1"/>
  <c r="J79" i="9" s="1"/>
  <c r="I161" i="29" s="1"/>
  <c r="G98" i="23"/>
  <c r="G118" i="29"/>
  <c r="I63" i="9"/>
  <c r="J63" i="9" s="1"/>
  <c r="J32" i="29"/>
  <c r="J62" i="9"/>
  <c r="G115" i="29"/>
  <c r="I60" i="9"/>
  <c r="J60" i="9" s="1"/>
  <c r="G114" i="29"/>
  <c r="I59" i="9"/>
  <c r="J59" i="9" s="1"/>
  <c r="G113" i="29"/>
  <c r="I58" i="9"/>
  <c r="J58" i="9" s="1"/>
  <c r="E15" i="22"/>
  <c r="E14" i="22" s="1"/>
  <c r="E26" i="22" s="1"/>
  <c r="G26" i="22" s="1"/>
  <c r="G55" i="22" s="1"/>
  <c r="L47" i="9"/>
  <c r="O74" i="9"/>
  <c r="E71" i="19"/>
  <c r="E55" i="22"/>
  <c r="C33" i="27"/>
  <c r="F18" i="22"/>
  <c r="F15" i="22" s="1"/>
  <c r="F14" i="22" s="1"/>
  <c r="F26" i="22" s="1"/>
  <c r="F55" i="22" s="1"/>
  <c r="F58" i="22" s="1"/>
  <c r="F60" i="22" s="1"/>
  <c r="G51" i="29"/>
  <c r="E47" i="19"/>
  <c r="E46" i="19" s="1"/>
  <c r="O53" i="9"/>
  <c r="P74" i="9"/>
  <c r="P81" i="9"/>
  <c r="Q81" i="9" s="1"/>
  <c r="I139" i="29"/>
  <c r="P80" i="9"/>
  <c r="Q80" i="9" s="1"/>
  <c r="G71" i="19"/>
  <c r="I118" i="29"/>
  <c r="P63" i="9"/>
  <c r="J107" i="29"/>
  <c r="I111" i="29"/>
  <c r="P56" i="9"/>
  <c r="I83" i="29"/>
  <c r="I90" i="29" s="1"/>
  <c r="G32" i="19"/>
  <c r="J69" i="29"/>
  <c r="I68" i="29"/>
  <c r="K27" i="19"/>
  <c r="J28" i="29"/>
  <c r="P19" i="9"/>
  <c r="K5" i="19"/>
  <c r="I140" i="29"/>
  <c r="J140" i="29" s="1"/>
  <c r="N45" i="9"/>
  <c r="J75" i="23"/>
  <c r="J82" i="23"/>
  <c r="N49" i="9"/>
  <c r="J86" i="23"/>
  <c r="N50" i="9"/>
  <c r="J83" i="23"/>
  <c r="J67" i="23"/>
  <c r="N43" i="9"/>
  <c r="J84" i="23"/>
  <c r="N51" i="9"/>
  <c r="J87" i="23"/>
  <c r="J14" i="9"/>
  <c r="J74" i="9"/>
  <c r="I62" i="23"/>
  <c r="M37" i="9"/>
  <c r="J40" i="9"/>
  <c r="E31" i="9"/>
  <c r="J43" i="9"/>
  <c r="J95" i="23"/>
  <c r="H18" i="9"/>
  <c r="N24" i="9"/>
  <c r="J29" i="23"/>
  <c r="H72" i="9"/>
  <c r="E73" i="9"/>
  <c r="E72" i="9" s="1"/>
  <c r="I120" i="23" s="1"/>
  <c r="J10" i="9"/>
  <c r="E50" i="9"/>
  <c r="G83" i="23" s="1"/>
  <c r="I20" i="23"/>
  <c r="J19" i="23" s="1"/>
  <c r="J124" i="23"/>
  <c r="E16" i="9"/>
  <c r="G17" i="23" s="1"/>
  <c r="E25" i="9"/>
  <c r="G31" i="23" s="1"/>
  <c r="E44" i="9"/>
  <c r="G68" i="23" s="1"/>
  <c r="J73" i="9"/>
  <c r="J19" i="9"/>
  <c r="E11" i="9"/>
  <c r="G12" i="23" s="1"/>
  <c r="E43" i="9"/>
  <c r="Q17" i="9"/>
  <c r="J59" i="23"/>
  <c r="M72" i="9"/>
  <c r="N72" i="9" s="1"/>
  <c r="I119" i="23" s="1"/>
  <c r="N80" i="9"/>
  <c r="H7" i="9"/>
  <c r="J38" i="9"/>
  <c r="E10" i="9"/>
  <c r="G11" i="23" s="1"/>
  <c r="E54" i="9"/>
  <c r="G87" i="23" s="1"/>
  <c r="N81" i="9"/>
  <c r="H17" i="29"/>
  <c r="W85" i="19"/>
  <c r="I63" i="29"/>
  <c r="J132" i="29"/>
  <c r="J30" i="9"/>
  <c r="J32" i="9"/>
  <c r="G36" i="19"/>
  <c r="I9" i="9"/>
  <c r="J9" i="9" s="1"/>
  <c r="J11" i="9"/>
  <c r="I12" i="9"/>
  <c r="J12" i="9" s="1"/>
  <c r="O14" i="9"/>
  <c r="O34" i="9"/>
  <c r="O33" i="9" s="1"/>
  <c r="N38" i="9"/>
  <c r="O40" i="9"/>
  <c r="Q40" i="9" s="1"/>
  <c r="E81" i="9"/>
  <c r="J88" i="23"/>
  <c r="I9" i="29"/>
  <c r="H14" i="29"/>
  <c r="G17" i="29"/>
  <c r="G27" i="29"/>
  <c r="F51" i="29"/>
  <c r="F53" i="29"/>
  <c r="H68" i="29"/>
  <c r="T70" i="29"/>
  <c r="G83" i="29"/>
  <c r="J85" i="29"/>
  <c r="G87" i="29"/>
  <c r="G110" i="29"/>
  <c r="F116" i="29"/>
  <c r="G119" i="29"/>
  <c r="G128" i="29"/>
  <c r="G130" i="29"/>
  <c r="J165" i="29"/>
  <c r="J13" i="29"/>
  <c r="J35" i="29"/>
  <c r="I27" i="19"/>
  <c r="I81" i="19" s="1"/>
  <c r="H82" i="29"/>
  <c r="M7" i="9"/>
  <c r="J16" i="9"/>
  <c r="I22" i="9"/>
  <c r="O24" i="9"/>
  <c r="O30" i="9"/>
  <c r="O31" i="9"/>
  <c r="O32" i="9"/>
  <c r="P35" i="9"/>
  <c r="Q35" i="9" s="1"/>
  <c r="P38" i="9"/>
  <c r="P37" i="9" s="1"/>
  <c r="E41" i="9"/>
  <c r="G60" i="23" s="1"/>
  <c r="Q41" i="9"/>
  <c r="J80" i="9"/>
  <c r="H12" i="29"/>
  <c r="G15" i="29"/>
  <c r="J55" i="29"/>
  <c r="T72" i="29"/>
  <c r="I87" i="29"/>
  <c r="J87" i="29" s="1"/>
  <c r="G95" i="29"/>
  <c r="F117" i="29"/>
  <c r="I130" i="29"/>
  <c r="J142" i="29"/>
  <c r="J169" i="29"/>
  <c r="J30" i="29"/>
  <c r="M35" i="19"/>
  <c r="M81" i="19" s="1"/>
  <c r="G41" i="19"/>
  <c r="O8" i="9"/>
  <c r="O9" i="9"/>
  <c r="O12" i="9"/>
  <c r="I15" i="9"/>
  <c r="J15" i="9" s="1"/>
  <c r="I17" i="9"/>
  <c r="J17" i="9" s="1"/>
  <c r="E19" i="9"/>
  <c r="J28" i="23"/>
  <c r="N27" i="9"/>
  <c r="L29" i="9"/>
  <c r="P30" i="9"/>
  <c r="P31" i="9"/>
  <c r="P32" i="9"/>
  <c r="E38" i="9"/>
  <c r="E39" i="9"/>
  <c r="G58" i="23" s="1"/>
  <c r="I44" i="9"/>
  <c r="J44" i="9" s="1"/>
  <c r="G84" i="29"/>
  <c r="I95" i="29"/>
  <c r="I100" i="29" s="1"/>
  <c r="H113" i="29"/>
  <c r="G117" i="29"/>
  <c r="G116" i="29"/>
  <c r="G6" i="19"/>
  <c r="H34" i="9"/>
  <c r="H33" i="9" s="1"/>
  <c r="H51" i="9"/>
  <c r="I10" i="29"/>
  <c r="J10" i="29" s="1"/>
  <c r="H18" i="29"/>
  <c r="F52" i="29"/>
  <c r="H84" i="29"/>
  <c r="J84" i="29" s="1"/>
  <c r="G129" i="29"/>
  <c r="G131" i="29"/>
  <c r="J171" i="29"/>
  <c r="J130" i="29"/>
  <c r="J118" i="29"/>
  <c r="O10" i="9"/>
  <c r="I21" i="9"/>
  <c r="J21" i="9" s="1"/>
  <c r="S35" i="19"/>
  <c r="J20" i="9"/>
  <c r="O22" i="9"/>
  <c r="I48" i="29"/>
  <c r="I33" i="9"/>
  <c r="H37" i="9"/>
  <c r="H42" i="9"/>
  <c r="P73" i="9"/>
  <c r="F9" i="29"/>
  <c r="I18" i="29"/>
  <c r="G52" i="29"/>
  <c r="T52" i="29" s="1"/>
  <c r="G82" i="29"/>
  <c r="H127" i="29"/>
  <c r="H133" i="29" s="1"/>
  <c r="G28" i="19"/>
  <c r="S27" i="19"/>
  <c r="U35" i="19"/>
  <c r="G78" i="19"/>
  <c r="H139" i="29"/>
  <c r="J139" i="29" s="1"/>
  <c r="O15" i="9"/>
  <c r="L18" i="9"/>
  <c r="L42" i="9"/>
  <c r="P44" i="9"/>
  <c r="P42" i="9" s="1"/>
  <c r="I118" i="23"/>
  <c r="G11" i="29"/>
  <c r="J44" i="29"/>
  <c r="J54" i="29"/>
  <c r="F115" i="29"/>
  <c r="J153" i="29"/>
  <c r="U81" i="19"/>
  <c r="I13" i="9"/>
  <c r="J13" i="9" s="1"/>
  <c r="P16" i="9"/>
  <c r="Q16" i="9" s="1"/>
  <c r="J30" i="23"/>
  <c r="J58" i="23"/>
  <c r="J60" i="23"/>
  <c r="J94" i="23"/>
  <c r="H9" i="29"/>
  <c r="J9" i="29" s="1"/>
  <c r="J9" i="23"/>
  <c r="H53" i="9"/>
  <c r="F109" i="29"/>
  <c r="I115" i="29"/>
  <c r="I117" i="29"/>
  <c r="J117" i="29" s="1"/>
  <c r="H95" i="29"/>
  <c r="O43" i="9"/>
  <c r="J31" i="29"/>
  <c r="F112" i="29"/>
  <c r="I113" i="29"/>
  <c r="J113" i="29" s="1"/>
  <c r="H115" i="29"/>
  <c r="P11" i="9"/>
  <c r="M18" i="9"/>
  <c r="J25" i="23"/>
  <c r="P23" i="9"/>
  <c r="I25" i="9"/>
  <c r="E26" i="9"/>
  <c r="G32" i="23" s="1"/>
  <c r="I37" i="9"/>
  <c r="J39" i="9"/>
  <c r="E52" i="9"/>
  <c r="G85" i="23" s="1"/>
  <c r="I47" i="29"/>
  <c r="I110" i="29"/>
  <c r="J110" i="29" s="1"/>
  <c r="P54" i="9"/>
  <c r="H34" i="29"/>
  <c r="J34" i="29" s="1"/>
  <c r="O26" i="9"/>
  <c r="G105" i="29"/>
  <c r="E30" i="9"/>
  <c r="G17" i="19"/>
  <c r="G34" i="29"/>
  <c r="I26" i="9"/>
  <c r="I105" i="29"/>
  <c r="P49" i="9"/>
  <c r="I112" i="29"/>
  <c r="H114" i="29"/>
  <c r="L7" i="9"/>
  <c r="E8" i="9"/>
  <c r="E12" i="9"/>
  <c r="G13" i="23" s="1"/>
  <c r="N13" i="9"/>
  <c r="N17" i="9"/>
  <c r="N20" i="9"/>
  <c r="J27" i="23"/>
  <c r="I23" i="9"/>
  <c r="E24" i="9"/>
  <c r="G30" i="23" s="1"/>
  <c r="P24" i="9"/>
  <c r="O25" i="9"/>
  <c r="M42" i="9"/>
  <c r="J96" i="23"/>
  <c r="H112" i="29"/>
  <c r="P12" i="9"/>
  <c r="J33" i="23"/>
  <c r="H111" i="29"/>
  <c r="P20" i="9"/>
  <c r="N22" i="9"/>
  <c r="P25" i="9"/>
  <c r="N26" i="9"/>
  <c r="E32" i="9"/>
  <c r="N41" i="9"/>
  <c r="E51" i="9"/>
  <c r="G84" i="23" s="1"/>
  <c r="G112" i="29"/>
  <c r="G111" i="29"/>
  <c r="I114" i="29"/>
  <c r="H116" i="29"/>
  <c r="H120" i="29"/>
  <c r="E13" i="9"/>
  <c r="G14" i="23" s="1"/>
  <c r="P13" i="9"/>
  <c r="Q13" i="9" s="1"/>
  <c r="E17" i="9"/>
  <c r="E20" i="9"/>
  <c r="G26" i="23" s="1"/>
  <c r="P21" i="9"/>
  <c r="I24" i="9"/>
  <c r="J24" i="9" s="1"/>
  <c r="P26" i="9"/>
  <c r="I50" i="9"/>
  <c r="J50" i="9" s="1"/>
  <c r="J54" i="9"/>
  <c r="J89" i="23"/>
  <c r="J90" i="23"/>
  <c r="I22" i="29"/>
  <c r="H83" i="29"/>
  <c r="J83" i="29" s="1"/>
  <c r="O39" i="9"/>
  <c r="L37" i="9"/>
  <c r="I35" i="23"/>
  <c r="J34" i="23" s="1"/>
  <c r="N25" i="9"/>
  <c r="I109" i="29"/>
  <c r="P53" i="9"/>
  <c r="H119" i="29"/>
  <c r="G108" i="29"/>
  <c r="I52" i="9"/>
  <c r="I119" i="29"/>
  <c r="I120" i="29"/>
  <c r="P10" i="9"/>
  <c r="P14" i="9"/>
  <c r="P15" i="9"/>
  <c r="P22" i="9"/>
  <c r="N23" i="9"/>
  <c r="O27" i="9"/>
  <c r="H43" i="23"/>
  <c r="J31" i="9"/>
  <c r="E35" i="9"/>
  <c r="E33" i="9" s="1"/>
  <c r="E40" i="9"/>
  <c r="G59" i="23" s="1"/>
  <c r="P51" i="9"/>
  <c r="I53" i="9"/>
  <c r="I173" i="29"/>
  <c r="J26" i="23"/>
  <c r="G107" i="29"/>
  <c r="I51" i="9"/>
  <c r="F108" i="29"/>
  <c r="H52" i="9"/>
  <c r="I38" i="29"/>
  <c r="I106" i="29"/>
  <c r="P50" i="9"/>
  <c r="Q50" i="9" s="1"/>
  <c r="I116" i="29"/>
  <c r="N16" i="9"/>
  <c r="O23" i="9"/>
  <c r="P27" i="9"/>
  <c r="F106" i="29"/>
  <c r="I44" i="23"/>
  <c r="J49" i="23"/>
  <c r="I72" i="9"/>
  <c r="J14" i="29"/>
  <c r="I46" i="29"/>
  <c r="J45" i="29" s="1"/>
  <c r="T69" i="29"/>
  <c r="J17" i="29"/>
  <c r="I134" i="29"/>
  <c r="I172" i="29"/>
  <c r="H51" i="23"/>
  <c r="J92" i="23"/>
  <c r="I77" i="29"/>
  <c r="H69" i="23"/>
  <c r="M29" i="9"/>
  <c r="N29" i="9" s="1"/>
  <c r="E53" i="9"/>
  <c r="G86" i="23" s="1"/>
  <c r="E80" i="9"/>
  <c r="J36" i="29"/>
  <c r="J98" i="29"/>
  <c r="J128" i="29"/>
  <c r="J151" i="29"/>
  <c r="N40" i="9"/>
  <c r="J91" i="23"/>
  <c r="J93" i="23"/>
  <c r="J11" i="29"/>
  <c r="J73" i="29"/>
  <c r="N74" i="9"/>
  <c r="J127" i="29"/>
  <c r="J164" i="29"/>
  <c r="H109" i="29"/>
  <c r="H108" i="29"/>
  <c r="H106" i="29"/>
  <c r="J106" i="29" s="1"/>
  <c r="H105" i="29"/>
  <c r="O44" i="9"/>
  <c r="H96" i="29"/>
  <c r="J96" i="29" s="1"/>
  <c r="Q92" i="19"/>
  <c r="J82" i="29"/>
  <c r="O38" i="9"/>
  <c r="H27" i="29"/>
  <c r="J27" i="29" s="1"/>
  <c r="Y17" i="19"/>
  <c r="O20" i="9"/>
  <c r="H29" i="29"/>
  <c r="H125" i="23"/>
  <c r="J123" i="23"/>
  <c r="C6" i="27" l="1"/>
  <c r="C54" i="27" s="1"/>
  <c r="I144" i="29"/>
  <c r="E81" i="19"/>
  <c r="E86" i="19" s="1"/>
  <c r="E35" i="19"/>
  <c r="H21" i="29"/>
  <c r="S81" i="19"/>
  <c r="C55" i="22"/>
  <c r="S47" i="23"/>
  <c r="Q74" i="9"/>
  <c r="E29" i="9"/>
  <c r="G67" i="23"/>
  <c r="E42" i="9"/>
  <c r="G82" i="23"/>
  <c r="E48" i="9"/>
  <c r="I108" i="23" s="1"/>
  <c r="H36" i="9"/>
  <c r="G123" i="23"/>
  <c r="E79" i="9"/>
  <c r="I128" i="23" s="1"/>
  <c r="G9" i="23"/>
  <c r="E7" i="9"/>
  <c r="G25" i="23"/>
  <c r="E18" i="9"/>
  <c r="G57" i="23"/>
  <c r="E37" i="9"/>
  <c r="N7" i="9"/>
  <c r="Q79" i="9"/>
  <c r="I160" i="29" s="1"/>
  <c r="N42" i="9"/>
  <c r="L36" i="9"/>
  <c r="N37" i="9"/>
  <c r="N18" i="9"/>
  <c r="I36" i="23" s="1"/>
  <c r="P79" i="9"/>
  <c r="J111" i="29"/>
  <c r="G27" i="19"/>
  <c r="J133" i="29"/>
  <c r="J116" i="29"/>
  <c r="G35" i="19"/>
  <c r="J95" i="29"/>
  <c r="P36" i="9"/>
  <c r="M36" i="9"/>
  <c r="N36" i="9" s="1"/>
  <c r="J21" i="29"/>
  <c r="J34" i="9"/>
  <c r="I70" i="23"/>
  <c r="J69" i="23" s="1"/>
  <c r="O37" i="9"/>
  <c r="I42" i="9"/>
  <c r="J42" i="9" s="1"/>
  <c r="Q32" i="9"/>
  <c r="J14" i="23"/>
  <c r="I28" i="9"/>
  <c r="I54" i="23"/>
  <c r="J53" i="9"/>
  <c r="H28" i="9"/>
  <c r="J125" i="23"/>
  <c r="J51" i="9"/>
  <c r="H6" i="9"/>
  <c r="Q44" i="9"/>
  <c r="J68" i="23"/>
  <c r="Q20" i="9"/>
  <c r="M6" i="9"/>
  <c r="I52" i="23"/>
  <c r="J51" i="23" s="1"/>
  <c r="L6" i="9"/>
  <c r="J33" i="9"/>
  <c r="I79" i="29" s="1"/>
  <c r="I102" i="29"/>
  <c r="O29" i="9"/>
  <c r="O28" i="9" s="1"/>
  <c r="Q26" i="9"/>
  <c r="J72" i="9"/>
  <c r="I146" i="29" s="1"/>
  <c r="P33" i="9"/>
  <c r="Q33" i="9" s="1"/>
  <c r="I78" i="29" s="1"/>
  <c r="L28" i="9"/>
  <c r="Q22" i="9"/>
  <c r="J52" i="9"/>
  <c r="H48" i="9"/>
  <c r="H47" i="9" s="1"/>
  <c r="J18" i="9"/>
  <c r="I40" i="29" s="1"/>
  <c r="J12" i="29"/>
  <c r="Q24" i="9"/>
  <c r="H89" i="29"/>
  <c r="J89" i="29" s="1"/>
  <c r="U92" i="19"/>
  <c r="H143" i="29"/>
  <c r="J143" i="29" s="1"/>
  <c r="G5" i="19"/>
  <c r="P7" i="9"/>
  <c r="I18" i="9"/>
  <c r="P29" i="9"/>
  <c r="H121" i="29"/>
  <c r="J31" i="23"/>
  <c r="I7" i="9"/>
  <c r="J105" i="29"/>
  <c r="I71" i="23"/>
  <c r="J18" i="29"/>
  <c r="O7" i="9"/>
  <c r="Q31" i="9"/>
  <c r="H76" i="29"/>
  <c r="J76" i="29" s="1"/>
  <c r="J68" i="29"/>
  <c r="J50" i="23"/>
  <c r="H99" i="29"/>
  <c r="J99" i="29" s="1"/>
  <c r="J43" i="23"/>
  <c r="J49" i="9"/>
  <c r="I48" i="9"/>
  <c r="J37" i="9"/>
  <c r="J115" i="29"/>
  <c r="J57" i="23"/>
  <c r="H61" i="23"/>
  <c r="J61" i="23" s="1"/>
  <c r="O18" i="9"/>
  <c r="Q25" i="9"/>
  <c r="J112" i="29"/>
  <c r="O48" i="9"/>
  <c r="Q27" i="9"/>
  <c r="J119" i="29"/>
  <c r="J114" i="29"/>
  <c r="I45" i="23"/>
  <c r="M28" i="9"/>
  <c r="J111" i="23"/>
  <c r="H117" i="23"/>
  <c r="J117" i="23" s="1"/>
  <c r="J109" i="29"/>
  <c r="J120" i="29"/>
  <c r="P18" i="9"/>
  <c r="H105" i="23"/>
  <c r="Q23" i="9"/>
  <c r="I53" i="23"/>
  <c r="G86" i="19"/>
  <c r="O42" i="9"/>
  <c r="Q42" i="9" s="1"/>
  <c r="I101" i="29" s="1"/>
  <c r="Q38" i="9"/>
  <c r="Q37" i="9" s="1"/>
  <c r="J29" i="29"/>
  <c r="H37" i="29"/>
  <c r="J37" i="29" s="1"/>
  <c r="Q73" i="9"/>
  <c r="O72" i="9"/>
  <c r="J28" i="9" l="1"/>
  <c r="E36" i="9"/>
  <c r="E47" i="9"/>
  <c r="I64" i="23"/>
  <c r="I36" i="9"/>
  <c r="E6" i="9"/>
  <c r="I37" i="23"/>
  <c r="N6" i="9"/>
  <c r="H82" i="9"/>
  <c r="N28" i="9"/>
  <c r="O36" i="9"/>
  <c r="O47" i="9"/>
  <c r="Q36" i="9"/>
  <c r="I63" i="23"/>
  <c r="L82" i="9"/>
  <c r="I6" i="9"/>
  <c r="J7" i="9"/>
  <c r="I24" i="29" s="1"/>
  <c r="I72" i="23"/>
  <c r="I21" i="23"/>
  <c r="O6" i="9"/>
  <c r="P6" i="9"/>
  <c r="Q7" i="9"/>
  <c r="V92" i="19"/>
  <c r="I135" i="29"/>
  <c r="I65" i="29"/>
  <c r="Q29" i="9"/>
  <c r="I64" i="29" s="1"/>
  <c r="P28" i="9"/>
  <c r="Q28" i="9" s="1"/>
  <c r="I136" i="29"/>
  <c r="I46" i="23"/>
  <c r="E28" i="9"/>
  <c r="I92" i="29"/>
  <c r="J36" i="9"/>
  <c r="I47" i="9"/>
  <c r="J48" i="9"/>
  <c r="I124" i="29" s="1"/>
  <c r="I22" i="23"/>
  <c r="Q18" i="9"/>
  <c r="I39" i="29" s="1"/>
  <c r="I91" i="29"/>
  <c r="E82" i="9" l="1"/>
  <c r="I132" i="23" s="1"/>
  <c r="O82" i="9"/>
  <c r="I174" i="29" s="1"/>
  <c r="I129" i="23"/>
  <c r="J6" i="9"/>
  <c r="J47" i="9"/>
  <c r="I82" i="9"/>
  <c r="I23" i="29"/>
  <c r="Q6" i="9"/>
  <c r="J82" i="9" l="1"/>
  <c r="E18" i="24" s="1"/>
  <c r="I177" i="29" l="1"/>
  <c r="Q85" i="19" l="1"/>
  <c r="Q86" i="19" s="1"/>
  <c r="U85" i="19" l="1"/>
  <c r="U86" i="19" s="1"/>
  <c r="N52" i="9" l="1"/>
  <c r="I106" i="23"/>
  <c r="J105" i="23" s="1"/>
  <c r="M48" i="9"/>
  <c r="N48" i="9" s="1"/>
  <c r="M47" i="9" l="1"/>
  <c r="I107" i="23"/>
  <c r="J85" i="23"/>
  <c r="K47" i="19"/>
  <c r="K46" i="19" s="1"/>
  <c r="K81" i="19" s="1"/>
  <c r="G84" i="19" s="1"/>
  <c r="P78" i="9" s="1"/>
  <c r="Q78" i="9" s="1"/>
  <c r="G51" i="19"/>
  <c r="I108" i="29" s="1"/>
  <c r="P52" i="9" l="1"/>
  <c r="P48" i="9" s="1"/>
  <c r="Q48" i="9" s="1"/>
  <c r="M82" i="9"/>
  <c r="N82" i="9" s="1"/>
  <c r="N47" i="9"/>
  <c r="J108" i="29"/>
  <c r="I122" i="29"/>
  <c r="J121" i="29" s="1"/>
  <c r="G47" i="19"/>
  <c r="G46" i="19" s="1"/>
  <c r="G81" i="19" s="1"/>
  <c r="P75" i="9" s="1"/>
  <c r="Q52" i="9"/>
  <c r="I130" i="23" l="1"/>
  <c r="J129" i="23" s="1"/>
  <c r="I131" i="23"/>
  <c r="P72" i="9"/>
  <c r="Q75" i="9"/>
  <c r="I123" i="29"/>
  <c r="Q72" i="9" l="1"/>
  <c r="P47" i="9"/>
  <c r="P82" i="9" s="1"/>
  <c r="Q82" i="9" s="1"/>
  <c r="I175" i="29" l="1"/>
  <c r="I145" i="29"/>
  <c r="Q47" i="9"/>
  <c r="I176" i="29" s="1"/>
  <c r="S177" i="29" l="1"/>
  <c r="J174" i="29"/>
  <c r="S179" i="29" s="1"/>
  <c r="S181" i="29" s="1"/>
  <c r="T176" i="29"/>
</calcChain>
</file>

<file path=xl/comments1.xml><?xml version="1.0" encoding="utf-8"?>
<comments xmlns="http://schemas.openxmlformats.org/spreadsheetml/2006/main">
  <authors>
    <author>Edisney Silva Argote</author>
    <author>auxiliar1</author>
    <author>PERSONAL</author>
    <author>user</author>
    <author>Ronal Estith Dussan Quiacha</author>
    <author>esilva</author>
  </authors>
  <commentList>
    <comment ref="P12" authorId="0" shapeId="0">
      <text>
        <r>
          <rPr>
            <b/>
            <sz val="9"/>
            <color indexed="81"/>
            <rFont val="Tahoma"/>
            <family val="2"/>
          </rPr>
          <t>Edisney Silva Argote:</t>
        </r>
        <r>
          <rPr>
            <sz val="9"/>
            <color indexed="81"/>
            <rFont val="Tahoma"/>
            <family val="2"/>
          </rPr>
          <t xml:space="preserve">
PMA Barbillas</t>
        </r>
      </text>
    </comment>
    <comment ref="V18" authorId="0" shapeId="0">
      <text>
        <r>
          <rPr>
            <b/>
            <sz val="9"/>
            <color indexed="81"/>
            <rFont val="Tahoma"/>
            <family val="2"/>
          </rPr>
          <t>Edisney Silva Argote:</t>
        </r>
        <r>
          <rPr>
            <sz val="9"/>
            <color indexed="81"/>
            <rFont val="Tahoma"/>
            <family val="2"/>
          </rPr>
          <t xml:space="preserve">
se debe colocar 40 en el 2019</t>
        </r>
      </text>
    </comment>
    <comment ref="H19" authorId="1" shapeId="0">
      <text>
        <r>
          <rPr>
            <b/>
            <sz val="9"/>
            <color indexed="81"/>
            <rFont val="Tahoma"/>
            <family val="2"/>
          </rPr>
          <t>auxiliar1:</t>
        </r>
        <r>
          <rPr>
            <sz val="9"/>
            <color indexed="81"/>
            <rFont val="Tahoma"/>
            <family val="2"/>
          </rPr>
          <t xml:space="preserve">
CEIBAS, SUAZA, GUARAPAS
</t>
        </r>
      </text>
    </comment>
    <comment ref="T19" authorId="2" shapeId="0">
      <text>
        <r>
          <rPr>
            <b/>
            <sz val="9"/>
            <color indexed="81"/>
            <rFont val="Tahoma"/>
            <family val="2"/>
          </rPr>
          <t>PERSONAL:</t>
        </r>
        <r>
          <rPr>
            <sz val="9"/>
            <color indexed="81"/>
            <rFont val="Tahoma"/>
            <family val="2"/>
          </rPr>
          <t xml:space="preserve">
CEIBAS, SUAZA, GUARAPAS, GARZÓN, BARBILLAS</t>
        </r>
      </text>
    </comment>
    <comment ref="V19" authorId="0" shapeId="0">
      <text>
        <r>
          <rPr>
            <b/>
            <sz val="9"/>
            <color indexed="81"/>
            <rFont val="Tahoma"/>
            <family val="2"/>
          </rPr>
          <t>Edisney Silva Argote:</t>
        </r>
        <r>
          <rPr>
            <sz val="9"/>
            <color indexed="81"/>
            <rFont val="Tahoma"/>
            <family val="2"/>
          </rPr>
          <t xml:space="preserve">
se debe incluir 2 en el 2019</t>
        </r>
      </text>
    </comment>
    <comment ref="X19" authorId="3" shapeId="0">
      <text>
        <r>
          <rPr>
            <b/>
            <sz val="9"/>
            <color indexed="81"/>
            <rFont val="Tahoma"/>
            <family val="2"/>
          </rPr>
          <t>Fredy A.: Ceibas, Garzòn, Suaza y Guarapas</t>
        </r>
        <r>
          <rPr>
            <sz val="9"/>
            <color indexed="81"/>
            <rFont val="Tahoma"/>
            <family val="2"/>
          </rPr>
          <t xml:space="preserve">
</t>
        </r>
      </text>
    </comment>
    <comment ref="H21" authorId="0" shapeId="0">
      <text>
        <r>
          <rPr>
            <b/>
            <sz val="9"/>
            <color indexed="81"/>
            <rFont val="Tahoma"/>
            <family val="2"/>
          </rPr>
          <t>Edisney Silva Argote:</t>
        </r>
        <r>
          <rPr>
            <sz val="9"/>
            <color indexed="81"/>
            <rFont val="Tahoma"/>
            <family val="2"/>
          </rPr>
          <t xml:space="preserve">
has afectadas por incedios forestales</t>
        </r>
      </text>
    </comment>
    <comment ref="R26" authorId="4" shapeId="0">
      <text>
        <r>
          <rPr>
            <b/>
            <sz val="9"/>
            <color indexed="81"/>
            <rFont val="Tahoma"/>
            <family val="2"/>
          </rPr>
          <t>Ronal Estith Dussan Quiacha:</t>
        </r>
        <r>
          <rPr>
            <sz val="9"/>
            <color indexed="81"/>
            <rFont val="Tahoma"/>
            <family val="2"/>
          </rPr>
          <t xml:space="preserve">
Informa que realizo mas de la meta en compra de predios </t>
        </r>
      </text>
    </comment>
    <comment ref="H30" authorId="2" shapeId="0">
      <text>
        <r>
          <rPr>
            <b/>
            <sz val="9"/>
            <color indexed="81"/>
            <rFont val="Tahoma"/>
            <family val="2"/>
          </rPr>
          <t>PERSONAL:</t>
        </r>
        <r>
          <rPr>
            <sz val="9"/>
            <color indexed="81"/>
            <rFont val="Tahoma"/>
            <family val="2"/>
          </rPr>
          <t xml:space="preserve">
PNR PARAMO DE OSERAS</t>
        </r>
      </text>
    </comment>
    <comment ref="L30" authorId="2"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0" authorId="2" shapeId="0">
      <text>
        <r>
          <rPr>
            <b/>
            <sz val="9"/>
            <color indexed="81"/>
            <rFont val="Tahoma"/>
            <family val="2"/>
          </rPr>
          <t>PERSONAL:</t>
        </r>
        <r>
          <rPr>
            <sz val="9"/>
            <color indexed="81"/>
            <rFont val="Tahoma"/>
            <family val="2"/>
          </rPr>
          <t xml:space="preserve">
DRMI ACEVEDO</t>
        </r>
      </text>
    </comment>
    <comment ref="J61" authorId="5" shapeId="0">
      <text>
        <r>
          <rPr>
            <b/>
            <sz val="9"/>
            <color indexed="81"/>
            <rFont val="Tahoma"/>
            <family val="2"/>
          </rPr>
          <t>esilva:</t>
        </r>
        <r>
          <rPr>
            <sz val="9"/>
            <color indexed="81"/>
            <rFont val="Tahoma"/>
            <family val="2"/>
          </rPr>
          <t xml:space="preserve">
100</t>
        </r>
      </text>
    </comment>
  </commentList>
</comments>
</file>

<file path=xl/comments2.xml><?xml version="1.0" encoding="utf-8"?>
<comments xmlns="http://schemas.openxmlformats.org/spreadsheetml/2006/main">
  <authors>
    <author>jvargas</author>
  </authors>
  <commentList>
    <comment ref="K159" authorId="0" shapeId="0">
      <text>
        <r>
          <rPr>
            <b/>
            <sz val="8"/>
            <color indexed="81"/>
            <rFont val="Tahoma"/>
            <family val="2"/>
          </rPr>
          <t>jvargas:
PROMEDIO FISICO</t>
        </r>
      </text>
    </comment>
  </commentList>
</comments>
</file>

<file path=xl/sharedStrings.xml><?xml version="1.0" encoding="utf-8"?>
<sst xmlns="http://schemas.openxmlformats.org/spreadsheetml/2006/main" count="1347" uniqueCount="618">
  <si>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</si>
  <si>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</si>
  <si>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</si>
  <si>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</si>
  <si>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</si>
  <si>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</si>
  <si>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</si>
  <si>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</si>
  <si>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</si>
  <si>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</si>
  <si>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</si>
  <si>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</si>
  <si>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</si>
  <si>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</si>
  <si>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</si>
  <si>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</si>
  <si>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</si>
  <si>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</si>
  <si>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</si>
  <si>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</si>
  <si>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</si>
  <si>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</si>
  <si>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</si>
  <si>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</si>
  <si>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</si>
  <si>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</si>
  <si>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</si>
  <si>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</si>
  <si>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</si>
  <si>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</si>
  <si>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</si>
  <si>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</si>
  <si>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</si>
  <si>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</si>
  <si>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</si>
  <si>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</si>
  <si>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</si>
  <si>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</si>
  <si>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</si>
  <si>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</si>
  <si>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</si>
  <si>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</si>
  <si>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</si>
  <si>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</si>
  <si>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</si>
  <si>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</si>
  <si>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</si>
  <si>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</si>
  <si>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</si>
  <si>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</si>
  <si>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</si>
  <si>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</si>
  <si>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</si>
  <si>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</si>
  <si>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</si>
  <si>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</si>
  <si>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</si>
  <si>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</si>
  <si>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</si>
  <si>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</si>
  <si>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</si>
  <si>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</si>
  <si>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</si>
  <si>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</si>
  <si>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</si>
  <si>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</si>
  <si>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</si>
  <si>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</si>
  <si>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</si>
  <si>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</si>
  <si>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</si>
  <si>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</si>
  <si>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</si>
  <si>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</si>
  <si>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</si>
  <si>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</si>
  <si>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</si>
  <si>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</si>
  <si>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</si>
  <si>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</si>
  <si>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</si>
  <si>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</si>
  <si>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</si>
  <si>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</si>
  <si>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</si>
  <si>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</si>
  <si>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</si>
  <si>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</si>
  <si>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</si>
  <si>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</si>
  <si>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</si>
  <si>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</si>
  <si>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</si>
  <si>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</si>
  <si>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</si>
  <si>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</si>
  <si>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</si>
  <si>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</si>
  <si>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</si>
  <si>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</si>
  <si>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</si>
  <si>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</si>
  <si>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</si>
  <si>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</si>
  <si>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</si>
  <si>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</si>
  <si>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</si>
  <si>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</si>
  <si>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</si>
  <si>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</si>
  <si>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</si>
  <si>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</si>
  <si>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</si>
  <si>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</si>
  <si>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</si>
  <si>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</si>
  <si>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</si>
  <si>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</si>
  <si>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</si>
  <si>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</si>
  <si>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</si>
  <si>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</si>
  <si>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</si>
  <si>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</si>
  <si>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</si>
  <si>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</si>
  <si>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</si>
  <si>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</si>
  <si>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</si>
  <si>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</si>
  <si>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</si>
  <si>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</si>
  <si>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</si>
  <si>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</si>
  <si>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</si>
  <si>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</si>
  <si>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</si>
  <si>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</si>
  <si>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</si>
  <si>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</si>
  <si>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</si>
  <si>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</si>
  <si>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</si>
  <si>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</si>
  <si>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</si>
  <si>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</si>
  <si>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</si>
  <si>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</si>
  <si>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</si>
  <si>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</si>
  <si>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</si>
  <si>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</si>
  <si>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</si>
  <si>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</si>
  <si>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</si>
  <si>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</si>
  <si>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</si>
  <si>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</si>
  <si>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</si>
  <si>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</si>
  <si>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</si>
  <si>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</si>
  <si>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</si>
  <si>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</si>
  <si>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</si>
  <si>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</si>
  <si>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</si>
  <si>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</si>
  <si>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</si>
  <si>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</si>
  <si>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</si>
  <si>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</si>
  <si>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</si>
  <si>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</si>
  <si>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</si>
  <si>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</si>
  <si>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</si>
  <si>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</si>
  <si>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</si>
  <si>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</si>
  <si>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</si>
  <si>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</si>
  <si>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</si>
  <si>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</si>
  <si>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</si>
  <si>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</si>
  <si>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</si>
  <si>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</si>
  <si>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</si>
  <si>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</si>
  <si>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</si>
  <si>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</si>
  <si>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</si>
  <si>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</si>
  <si>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</si>
  <si>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</si>
  <si>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</si>
  <si>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CORPORACION AUTONOMA REGIONAL DEL ALTO MAGDALENA CAM</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</si>
  <si>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</si>
  <si>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</si>
  <si>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</si>
  <si>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</si>
  <si>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</si>
  <si>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</si>
  <si>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</si>
  <si>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</si>
  <si>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</si>
  <si>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</si>
  <si>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</si>
  <si>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</si>
  <si>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</si>
  <si>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</si>
  <si>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</si>
  <si>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</si>
  <si>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</si>
  <si>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</si>
  <si>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</si>
  <si>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</si>
  <si>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</si>
  <si>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</si>
  <si>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</si>
  <si>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</si>
  <si>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</si>
  <si>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</si>
  <si>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</si>
  <si>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</si>
  <si>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</si>
  <si>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</si>
  <si>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</si>
  <si>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</si>
  <si>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</si>
  <si>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</si>
  <si>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</si>
  <si>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</si>
  <si>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</si>
  <si>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</si>
  <si>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</si>
  <si>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</si>
  <si>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</si>
  <si>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</si>
  <si>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</si>
  <si>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</si>
  <si>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</si>
  <si>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</si>
  <si>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</si>
  <si>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</si>
  <si>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</si>
  <si>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</si>
  <si>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</si>
  <si>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</si>
  <si>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</si>
  <si>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</si>
  <si>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</si>
  <si>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</si>
  <si>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</si>
  <si>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</si>
  <si>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</si>
  <si>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</si>
  <si>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</si>
  <si>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</si>
  <si>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</si>
  <si>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</si>
  <si>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</si>
  <si>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</si>
  <si>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</si>
  <si>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</si>
  <si>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</si>
  <si>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</si>
  <si>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</si>
  <si>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</si>
  <si>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</si>
  <si>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</si>
  <si>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</si>
  <si>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</si>
  <si>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</si>
  <si>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</si>
  <si>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</si>
  <si>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</si>
  <si>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</si>
  <si>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</si>
  <si>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</si>
  <si>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</si>
  <si>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</si>
  <si>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</si>
  <si>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</si>
  <si>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</si>
  <si>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</si>
  <si>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</si>
  <si>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</si>
  <si>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</si>
  <si>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</si>
  <si>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</si>
  <si>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</si>
  <si>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</si>
  <si>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</si>
  <si>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</si>
  <si>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</si>
  <si>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</si>
  <si>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</si>
  <si>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</si>
  <si>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</si>
  <si>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</si>
  <si>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</si>
  <si>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</si>
  <si>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</si>
  <si>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</si>
  <si>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</si>
  <si>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</si>
  <si>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</si>
  <si>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</si>
  <si>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</si>
  <si>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</si>
  <si>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</si>
  <si>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</si>
  <si>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</si>
  <si>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</si>
  <si>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</si>
  <si>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</si>
  <si>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</si>
  <si>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</si>
  <si>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</si>
  <si>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</si>
  <si>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</si>
  <si>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</si>
  <si>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</si>
  <si>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</si>
  <si>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</si>
  <si>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</si>
  <si>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</si>
  <si>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</si>
  <si>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</si>
  <si>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</si>
  <si>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</si>
  <si>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</si>
  <si>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</si>
  <si>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</si>
  <si>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</si>
  <si>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</si>
  <si>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</si>
  <si>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</si>
  <si>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</si>
  <si>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</si>
  <si>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</si>
  <si>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</si>
  <si>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</si>
  <si>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</si>
  <si>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</si>
  <si>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</si>
  <si>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Suelos degradados en recuperación o rehabilitacón</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</si>
  <si>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</si>
  <si>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</si>
  <si>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</si>
  <si>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</si>
  <si>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</si>
  <si>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</si>
  <si>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</si>
  <si>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</si>
  <si>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</si>
  <si>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</si>
  <si>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</si>
  <si>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Evaluación  Regional del Agua</t>
  </si>
  <si>
    <t>Subzonas</t>
  </si>
  <si>
    <t>Estudios Ambientales del Recuso Hídrico</t>
  </si>
  <si>
    <t>Convenio cofinanciado y con seguimiento anual  para construcción de sistemas  que contribuyan a la descontaminación</t>
  </si>
  <si>
    <t>Convenio*</t>
  </si>
  <si>
    <t>Campaña*</t>
  </si>
  <si>
    <t>Estaciones</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</si>
  <si>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</si>
  <si>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</si>
  <si>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</si>
  <si>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</si>
  <si>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</si>
  <si>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</si>
  <si>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</si>
  <si>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</si>
  <si>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</si>
  <si>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</si>
  <si>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</si>
  <si>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</si>
  <si>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</si>
  <si>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</si>
  <si>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</si>
  <si>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</si>
  <si>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</si>
  <si>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</si>
  <si>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</si>
  <si>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</si>
  <si>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</si>
  <si>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</si>
  <si>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</si>
  <si>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</si>
  <si>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</si>
  <si>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</si>
  <si>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</si>
  <si>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</si>
  <si>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</si>
  <si>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</si>
  <si>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</si>
  <si>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</si>
  <si>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</si>
  <si>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</si>
  <si>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</si>
  <si>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</si>
  <si>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</si>
  <si>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</si>
  <si>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</si>
  <si>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</si>
  <si>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</si>
  <si>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</si>
  <si>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</si>
  <si>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</si>
  <si>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</si>
  <si>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</si>
  <si>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</si>
  <si>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</si>
  <si>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</si>
  <si>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</si>
  <si>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</si>
  <si>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</si>
  <si>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</si>
  <si>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Sistema Integrado de Gestión  conforme y articulado al MECI</t>
  </si>
  <si>
    <t>Ejecución del Plan Estratégico Tecnológico 2016-2019</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</si>
  <si>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</si>
  <si>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</si>
  <si>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</si>
  <si>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</si>
  <si>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</si>
  <si>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</si>
  <si>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</si>
  <si>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</si>
  <si>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</si>
  <si>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</si>
  <si>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</si>
  <si>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</si>
  <si>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</si>
  <si>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</si>
  <si>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r>
      <t xml:space="preserve">(1)
PROGRAMAS - PROYECTOS  DEL PA 2016-2019
</t>
    </r>
    <r>
      <rPr>
        <b/>
        <sz val="10"/>
        <color indexed="10"/>
        <rFont val="Arial Narrow"/>
        <family val="2"/>
      </rPr>
      <t/>
    </r>
  </si>
  <si>
    <t>PROGRAMA No. 2  BIODIVERSIDAD: FUENTE DE VIDA</t>
  </si>
  <si>
    <t>P 1.2: RECUPERACION DE CUENCAS  HIDROGRAFICAS</t>
  </si>
  <si>
    <t>P 1.3:  CONOCIMIENTO Y PLANIFICACIÓN DE ECOSISTEMAS ESTRATÉGICOS</t>
  </si>
  <si>
    <t>P 2: BIODIVERSIDAD: FUENTE DE VIDA</t>
  </si>
  <si>
    <t>P 3: ADAPTACIÓN PARA EL CRECIMIENTO VERDE</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</si>
  <si>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</si>
  <si>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</si>
  <si>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</si>
  <si>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</si>
  <si>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</si>
  <si>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</si>
  <si>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</si>
  <si>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</si>
  <si>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</si>
  <si>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</si>
  <si>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Porcentaje de la superficie de áreas protegidas regionales declaradas, homologadas o recategorizadas, inscritas en el RUNAP.</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</si>
  <si>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</si>
  <si>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</si>
  <si>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</si>
  <si>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</si>
  <si>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</si>
  <si>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</si>
  <si>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</si>
  <si>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</si>
  <si>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</si>
  <si>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</si>
  <si>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</si>
  <si>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</si>
  <si>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 xml:space="preserve">Áreas revegetalizadas naturalmente para la protección y restauración de cuencas abastecedoras. </t>
  </si>
  <si>
    <t>Predios</t>
  </si>
  <si>
    <t xml:space="preserve">Aplicación </t>
  </si>
  <si>
    <t>Sistema *</t>
  </si>
  <si>
    <t>Seguimiento*</t>
  </si>
  <si>
    <t>Gastos de Gestión, Operación, Administración y Promoción del Proyecto</t>
  </si>
  <si>
    <t>Global</t>
  </si>
  <si>
    <t>N/A</t>
  </si>
  <si>
    <t>Promoción e implementación del Pacto Intersectorial por la Madera legal</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</si>
  <si>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</si>
  <si>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</si>
  <si>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</si>
  <si>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</si>
  <si>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</si>
  <si>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META FÍSICA DEL PROYECTO</t>
  </si>
  <si>
    <t>GLOBAL META FÍSICA DE LOS PROYECTOS</t>
  </si>
  <si>
    <t>PORCENTAJE (%) META FÍSICA DEL PROYECTO</t>
  </si>
  <si>
    <t>P 1: AGUA PARA TODOS</t>
  </si>
  <si>
    <t xml:space="preserve">
P6.2: EDUCACIÓN AMBIENTAL: OPITA DE CORAZÓN</t>
  </si>
  <si>
    <t>Porcentaje de Páramos delimitados por el MADS, con zonificación y régimen de usos adoptados por la CAM</t>
  </si>
  <si>
    <t>P 1.1: ORDENAMIENTO Y ADMINISTRACIÓN DEL RECURSO HÍDRICO Y LAS CUENCAS HIDROGRÁFICAS</t>
  </si>
  <si>
    <t>P 2.2:  CONSERVACIÓN Y RECUPERACIÓN DE ECOSISTEMAS ESTRATÉGICOS Y SU BIODIVERSIDAD</t>
  </si>
  <si>
    <t xml:space="preserve">P 3.2: ÁREAS URBANAS SOSTENIBLES Y RESILIENTES  </t>
  </si>
  <si>
    <t>INDICADORES DE GESTIÓN</t>
  </si>
  <si>
    <t>INFORME DE EJECUCIÓN PLAN DE ACCIÓN</t>
  </si>
  <si>
    <t>P 5.2: GESTIÓN DEL RIESGO DE DESASTRES</t>
  </si>
  <si>
    <t xml:space="preserve">Implementación del programa de gestión documental  </t>
  </si>
  <si>
    <t>INDICE DE EJECUCIÓN FINANCIERA DEL PROYECTO (%)</t>
  </si>
  <si>
    <t>Porcentaje de suelos degradados en recuperación o rehabilitación</t>
  </si>
  <si>
    <t xml:space="preserve">ANEXO No. 5-1. INFORME DE EJECUCION PRESUPUESTAL DE INGRESOS </t>
  </si>
  <si>
    <t xml:space="preserve">  </t>
  </si>
  <si>
    <t>APROPIACION DEFINITIVA</t>
  </si>
  <si>
    <t>EJECUCION    (COMPROMISOS)</t>
  </si>
  <si>
    <t>META FÍSICA DEL PROYECTO %</t>
  </si>
  <si>
    <t>RECURSOS VIGENCIA :   DICIEMBRE DE 2018</t>
  </si>
  <si>
    <t>EJECUCION    (PAGOS Y CXP)</t>
  </si>
  <si>
    <t>PRESUPUESTO APROPIADO PLAN DE ACCIÓN VIGENCIA 2019</t>
  </si>
  <si>
    <t>VALOR TOTAL COMPROMETIDO PLAN DE ACCIÓN VIGENCIA 2019</t>
  </si>
  <si>
    <t>INDICE GLOBAL DE EJECUCIÓN FINANCIERA PLAN DE ACCIÓN 2019</t>
  </si>
  <si>
    <t>,</t>
  </si>
  <si>
    <t>2016 -2019</t>
  </si>
  <si>
    <t xml:space="preserve">ANEXO No.5-2. INFORME DE EJECUCION PRESUPUESTAL DE GASTOS </t>
  </si>
  <si>
    <t>TOTAL PRESUPUESTO  DE INVERSION</t>
  </si>
  <si>
    <t>Seguimiento, Monitoreo y Control al Recurso Hídrico (Cuencas Abastecedoras y Otras Cuencas Prioritarias)</t>
  </si>
  <si>
    <t>A 30 DICIEMBRE DE 2019</t>
  </si>
  <si>
    <t>RECURSOS VIGENCIA :   enero 2016 a diciembre 2019</t>
  </si>
  <si>
    <t>Proyecto 1.1: GESTIÓN DE LA BIODIVERSIDAD Y SUS SERVICIOS ECOSISTÉMICOS</t>
  </si>
  <si>
    <t>No. ecosistemas compartidos planificados y/o gestionados por la Corporación</t>
  </si>
  <si>
    <t>No.de áreas estratégicas con desarrollo de actividades de investigacion-monitoreo y estudios de caracterización de la biodiversidad con participación comunitaria</t>
  </si>
  <si>
    <t xml:space="preserve">No. De estudios formulados  y/o actualizados de planes de manejo ambiental (PMA) de áreas protegidas </t>
  </si>
  <si>
    <t>% de estudios elaborados  en ejecución de la Política Ambiental</t>
  </si>
  <si>
    <t>Porcentaje de especies  invasoras con medidas de prevención, control y manejo en ejecución (IM 14)</t>
  </si>
  <si>
    <t>Porcentaje de áreas protegidas con planes de manejo en ejecución (IM 12)</t>
  </si>
  <si>
    <t>Porcentaje de áreas de ecosistemas en restauración, rehabilitación y reforestación (IM 15)</t>
  </si>
  <si>
    <t>Porcentaje de especies amenazadas con medidas de conservación y manejo en ejecución (IM 13)</t>
  </si>
  <si>
    <t>Gestión, Operación, Administración y Promoción del Proyecto apoyados</t>
  </si>
  <si>
    <t>Und</t>
  </si>
  <si>
    <t xml:space="preserve">Porcentaje de avance en la formulación y/o ajustes de los  Planes de Ordenación y Manejo de Cuencas (POMCAS), Planes de Manejo de Acuíferos (PMA) y Planes de Manejo de Microcuencas (PMM). (IM 1) </t>
  </si>
  <si>
    <t>Porcentaje de Planes de Ordenación y Manejo de Cuencas (POMCAS), Planes de Manejo de Acuíferos (PMA) y Planes de Manejo de Microcuencas (PMM) en ejecución (IM 6)</t>
  </si>
  <si>
    <t>Porcentaje de suelos degradados en recuperación o rehabilitacón (IM 8)</t>
  </si>
  <si>
    <t>Ha. Recuperadas  y/o rehabilitadas, de suelos degradados por erosión y/o afectación de incendios forestales. Incluye asistencia técnica, capacitación, interventoria, apoyo losgistico (Transporte, almuerzos y refrigerios)</t>
  </si>
  <si>
    <t>Porcetaje de áreas reforestadas gestionadas y con mantenimiento para la protección de cuencas abastecedoras.</t>
  </si>
  <si>
    <t xml:space="preserve">Ha. revegetalizadas naturalmente para la protección de cuencas abastecedoras </t>
  </si>
  <si>
    <t>Porcentaje de áreas revegetalizadas naturalmente para la protección de cuencas abastecedoras con mantenimiento.</t>
  </si>
  <si>
    <t>Ha. adquiridas y administradas para la restauración  y conservación de áreas estratégicas en cuencas hidrográficas abastecedoras de acueductos municipales y/o veredales</t>
  </si>
  <si>
    <t>No. De convenios  para cofinanciar la construcción  y seguimiento a proyectos de saneamiento ambiental hídrico como: interceptores, emisarios finales,  sistemas de tratamiento de aguas residuales domésticas y/o estudios y diseños asociados a estas obras.</t>
  </si>
  <si>
    <t>EJECUCION PLAN DE ACCIÓN 2020-2023</t>
  </si>
  <si>
    <t>META PROGRAMADA 
VIGENCIA 2020</t>
  </si>
  <si>
    <t>EJECUCION 2020</t>
  </si>
  <si>
    <t>META PROGRAMADA 
VIGENCIA 2021</t>
  </si>
  <si>
    <t>EJECUCION 2021</t>
  </si>
  <si>
    <t>META PROGRAMADA 
VIGENCIA 2022</t>
  </si>
  <si>
    <t>EJECUCION 2022 A DICIEMBRE 31</t>
  </si>
  <si>
    <t>META PROGRAMADA VIGENCIA 2023</t>
  </si>
  <si>
    <t>EJECUCION 2023</t>
  </si>
  <si>
    <t>PROGRAMA 1: GESTIÓN Y CONSERVACIÓN DE LA RIQUEZA NATURAL</t>
  </si>
  <si>
    <t>CORPORACIÓN AUTÓNOMA REGIONAL DEL ALTO MAGDALENA -CAM-
CONSOLIDADO GESTIÓN FÍSICA Y FINANCIERA DEL PLAN DE ACCIÓN 2020 - 2023 HUILA RESILIENTE, TERRITORIO NATURAL DE PAZ</t>
  </si>
  <si>
    <t xml:space="preserve">
PROGRAMAS - PROYECTOS  PLAN DE ACCION 2020-2023
</t>
  </si>
  <si>
    <t>PROYECTO 1.2: CONSERVACION Y USO EFICIENTE DEL RECURSO HÍDRICO</t>
  </si>
  <si>
    <t>PROGRAMA 2: CONSERVACIÒN DE LOS RECURSOS NATURALES EN EL DESARROLLO SECTORIAL PRODUCTIVO.</t>
  </si>
  <si>
    <t>Proyecto No. 2.1  Desarrollo sectorial sostenible</t>
  </si>
  <si>
    <t>Porcentaje de sectores con acompañamiento para la reconversión hacia sistemas sostenibles de producción (IM 18)</t>
  </si>
  <si>
    <t>Identificación, promoción y aplicación de energías alternativas y/o utilización de sistemas ecoeficientes de combustión en sectores productivos y/o para uso doméstico</t>
  </si>
  <si>
    <t>Apoyo a la  Gestión, Operación, Administración y Promoción del Proyecto</t>
  </si>
  <si>
    <t xml:space="preserve">Proyecto No. 2.2 Negocios verdes </t>
  </si>
  <si>
    <t>Implementación del Programa Regional de Negocios Verdes por la autoridad ambiental (IM 20)</t>
  </si>
  <si>
    <t>PROGRAMA 3: DESARROLLO TERRITORIAL SOSTENIBLE Y ADAPTACIÒN AL CAMBIO CLIMÀTICO</t>
  </si>
  <si>
    <t>Proyecto No. 3.1 Fortalecimiento de los procesos de ordenamiento y planificaciòn territorial</t>
  </si>
  <si>
    <t>Porcentaje de municipios asesorados o asistidos en la inclusión del componente ambiental en los procesos de planificación y ordenamiento territorial, con énfasis en la incorporación de las determinantes ambientales para la revisión y ajuste de los POT (IM 24)</t>
  </si>
  <si>
    <t>Porcentaje de entes territoriales asesorados en la incorporación, planificación y ejecución de acciones relacionadas con cambio climático en el marco de los instrumentos de planificación territorial (IM 7)</t>
  </si>
  <si>
    <t>Porcentaje de ejecución de acciones en gestión ambiental urbana (IM 19)</t>
  </si>
  <si>
    <t>Apoyo a la Gestión, Operación, Administración y Promoción del Proyecto</t>
  </si>
  <si>
    <t>Proyecto No. 3.2  Gestiòn en conocimiento y reducciòn del riesgo de desastres</t>
  </si>
  <si>
    <t>CONOCIMIENTO DEL RIESGO DE DESASTRES GESTIONADO</t>
  </si>
  <si>
    <t>REDUCCIÓN DEL RIESGO DE DESASTRES GESTIONADO</t>
  </si>
  <si>
    <t>Proyecto No. 3.3 Gestiòn ambiental con comunidades ètnicas</t>
  </si>
  <si>
    <t>Comunidades Indígenas apoyadas en temas de competencia de la Corporación</t>
  </si>
  <si>
    <t>Dias</t>
  </si>
  <si>
    <t>Porcentaje de Programas de Uso Eficiente y Ahorro del Agua (PUEAA) con seguimiento (IM 5)</t>
  </si>
  <si>
    <t>Porcentaje de Planes de Gestión Integral de Residuos Sólidos (PGIRS) con seguimiento a metas de aprovechamiento (IM 17)</t>
  </si>
  <si>
    <t>Porcentaje de Planes de Saneamiento y Manejo de Vertimientos –PSMV- con seguimiento (IM 3)</t>
  </si>
  <si>
    <t xml:space="preserve">Porcentaje de asistencia técnica, seguimiento y control a generadores de residuos o desechos peligrosos – RESPEL y especiales </t>
  </si>
  <si>
    <t>Porcentaje de autorizaciones ambientales con seguimiento (IM 22)</t>
  </si>
  <si>
    <t>Tiempo promedio de trámite para la resolución de autorizaciones ambientales otorgadas por la Corporación. (IM 21)</t>
  </si>
  <si>
    <t>Porcentaje de procesos sancionatorios resueltos (IM 23)</t>
  </si>
  <si>
    <t>No. De Estrategias de control implementadas para extracción  ilegal de los recursos naturales. RED DE CONTROL AMBIENTAL RECAM</t>
  </si>
  <si>
    <t>Estrategias de control a la deforestacion y conservacion y uso sostenible de los bosques en el departamento del Huila implementada</t>
  </si>
  <si>
    <t>Estrategia para la preservación, conservación, rehabilitación y/o reintroducción, control y seguimiento a la fauna silvestre formulada e implementada</t>
  </si>
  <si>
    <t>Fuentes móviles de emisiones atmosféricas (via publica y empresas transportadoras - Laboratorio de fuentes moviles) con seguimiento, monitoreo y control</t>
  </si>
  <si>
    <t>Red de vigilancia y monitoreo de la calidad del aire implementada</t>
  </si>
  <si>
    <t>Mapas de ruido y planes de descontaminación actualizados</t>
  </si>
  <si>
    <t>Generadores y gestores de Residuos de Construcción y Demolición - RCD con seguimiento</t>
  </si>
  <si>
    <t>Empresas obligadas a conformar el Departamento de Gestión Ambiental con seguimiento</t>
  </si>
  <si>
    <t>Porcentaje de Optimización y seguimiento de los aplicativos en línea de trámites ambientales (CITA, RUIA, SUNL, LOFL, SILAMC - VITAL).</t>
  </si>
  <si>
    <t>Porcentaje de actualización y reporte de la información en el SIAC (IM 26)</t>
  </si>
  <si>
    <t>Porcentaje de cuerpos de agua con reglamentación por uso de las aguas (IM 4)</t>
  </si>
  <si>
    <t>Porcentaje de cuerpos de agua con plan de ordenamiento del recurso hídrico (PORH) adoptados (IM 2)</t>
  </si>
  <si>
    <t>Implementación del Programa Institucional Regional de monitoreo del agua - PIRMA en aguas superficial y subterráneas</t>
  </si>
  <si>
    <t>PROGRAMA 4:  INSTITUCIÒN AMBIENTAL MODERNA Y GENERACIÒN DE CAPACIDADES</t>
  </si>
  <si>
    <t>Proyecto No. 4.1  Autoridad,reglamentaciòn y regulaciòn ambiental</t>
  </si>
  <si>
    <t>Proyecto No. 4.2 Fortalecimiento institucional para la gestiòn ambiental</t>
  </si>
  <si>
    <t>Porcentaje de Consolidación y fortalecimiento del Modelo Integrado de Planeación y Gestión - MIPG</t>
  </si>
  <si>
    <t>Porcentaje de la Política de servicio al ciudadano implementada</t>
  </si>
  <si>
    <t>Porcentaje de actualización e implementación del Plan Estratégico Tecnológico de la CAM para el período 2020-2023</t>
  </si>
  <si>
    <t xml:space="preserve">Porcentaje de actualización e Implementacion del programa de gestión documental  </t>
  </si>
  <si>
    <t>Porcentaje de sedes Diseñadas y/o construidas y/o adecuadas, como ejemplo de sostenibilidad ambiental y armonía con el ambiente</t>
  </si>
  <si>
    <t xml:space="preserve">Proyecto No. 4.3 Educaciòn y cultura ambiental </t>
  </si>
  <si>
    <t>Ejecución de acciones en Educación Ambiental (IM 27)</t>
  </si>
  <si>
    <t>Porcentaje de solicitudes de licencias y permisos ambientales resueltos.</t>
  </si>
  <si>
    <t>META PLAN DE ACCIÓN PROGRAMADA
2020-2023</t>
  </si>
  <si>
    <t xml:space="preserve">A JUNIO 30 </t>
  </si>
  <si>
    <t>CORPORACIÓN AUTÓNOMA REGIONAL DEL ALTO MAGDALENA CAM
MATRIZ DE SEGUIMIENTO DEL PLAN DE ACCIÓN 
AVANCE EN LAS METAS FÍSICAS Y FINANCIERAS DEL PLAN DE ACCIÓN 2020-2023</t>
  </si>
  <si>
    <t xml:space="preserve">Und </t>
  </si>
  <si>
    <t xml:space="preserve">RECURSOS VIGENCIA:  </t>
  </si>
  <si>
    <t>(27)
PROGRAMA DE INVERSIÓN PUBLICA A LA QUE APORTA</t>
  </si>
  <si>
    <t>(28)
IMG AL QUE  APORTA</t>
  </si>
  <si>
    <t>(29)
ODS AL QUE LE APORTA</t>
  </si>
  <si>
    <t xml:space="preserve">Porcentaje  de redes y estaciones de monitoreo en ejecución IM25 </t>
  </si>
  <si>
    <t>Asegurar vidas saludables y promover el bienestar para todos/as en todos los momentos de la vida.</t>
  </si>
  <si>
    <t>Promover el crecimiento económico sostenido, inclusivo y sostenible, el empleo pleno y productivo; y el trabajo decente para todos/as.</t>
  </si>
  <si>
    <t>Tomar medidas urgentes para combatir el cambio climático y sus impactos.</t>
  </si>
  <si>
    <t>Proteger, restaurar y promover el uso sostenible de los ecosistemas terrestres, el manejo sostenible de los bosques, la lucha contra la desertificación; detener y revertir la degradación de la tierra y detener la pérdida de biodiversidad.</t>
  </si>
  <si>
    <t>Garantizar patrones de consumo y producción sostenibles.</t>
  </si>
  <si>
    <t>Asegurar la disponibilidad y la gestión sostenible del agua y el saneamiento para todos/as.</t>
  </si>
  <si>
    <t>Fortalecimiento del desempeño ambiental de los sectores productivos</t>
  </si>
  <si>
    <t>Conservación de la biodiversidad y sus servicios ecosistémicos </t>
  </si>
  <si>
    <t>Gestión integral del recurso hídrico  </t>
  </si>
  <si>
    <t>Gestión de la información y el conocimiento ambiental </t>
  </si>
  <si>
    <t>Ordenamiento ambiental territorial</t>
  </si>
  <si>
    <t>Gestión del cambio climático para un desarrollo bajo en carbono y resiliente al clima</t>
  </si>
  <si>
    <t> Educación Ambiental   </t>
  </si>
  <si>
    <t>Estudios Ambientales del recurso hídrico Evaluación Regional del Agua - ERA elaborados</t>
  </si>
  <si>
    <t>% DE EJECUCION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</si>
</sst>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3" formatCode="0.0"/>
    <numFmt numFmtId="174" formatCode="#,##0_ ;\-#,##0\ "/>
    <numFmt numFmtId="175" formatCode="_ &quot;$&quot;\ * #,##0_ ;_ &quot;$&quot;\ * \-#,##0_ ;_ &quot;$&quot;\ * &quot;-&quot;_ ;_ @_ "/>
    <numFmt numFmtId="176" formatCode="_ &quot;$&quot;\ * #,##0.00_ ;_ &quot;$&quot;\ * \-#,##0.00_ ;_ &quot;$&quot;\ * &quot;-&quot;??_ ;_ @_ "/>
    <numFmt numFmtId="177" formatCode="#,##0.0;[Red]#,##0.0"/>
    <numFmt numFmtId="178" formatCode="#,##0.00;[Red]#,##0.00"/>
    <numFmt numFmtId="179" formatCode="0.0%"/>
  </numFmts>
  <fonts count="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b/>
      <sz val="14"/>
      <color theme="1"/>
      <name val="Arial"/>
      <family val="2"/>
    </font>
    <font>
      <sz val="10"/>
      <color theme="1"/>
      <name val="Arial"/>
      <family val="2"/>
    </font>
    <font>
      <sz val="12"/>
      <color theme="1"/>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sz val="10"/>
      <color rgb="FFC00000"/>
      <name val="Arial"/>
      <family val="2"/>
    </font>
    <font>
      <b/>
      <sz val="6"/>
      <name val="Arial"/>
      <family val="2"/>
    </font>
    <font>
      <b/>
      <sz val="10"/>
      <name val="Univers"/>
      <family val="2"/>
    </font>
    <font>
      <b/>
      <sz val="8"/>
      <name val="Univers"/>
    </font>
    <font>
      <sz val="12"/>
      <color rgb="FFFF0000"/>
      <name val="Arial"/>
      <family val="2"/>
    </font>
    <font>
      <sz val="10"/>
      <name val="Arial"/>
      <family val="2"/>
    </font>
    <font>
      <sz val="6"/>
      <name val="Arial Narrow"/>
      <family val="2"/>
    </font>
    <font>
      <sz val="11"/>
      <color theme="0"/>
      <name val="Arial"/>
      <family val="2"/>
    </font>
    <font>
      <b/>
      <sz val="11"/>
      <color indexed="8"/>
      <name val="Arial"/>
      <family val="2"/>
    </font>
    <font>
      <b/>
      <sz val="8"/>
      <name val="Arial Narrow"/>
      <family val="2"/>
    </font>
    <font>
      <b/>
      <sz val="10"/>
      <color indexed="8"/>
      <name val="Arial Narrow"/>
      <family val="2"/>
    </font>
    <font>
      <sz val="20"/>
      <name val="Arial"/>
      <family val="2"/>
    </font>
    <font>
      <sz val="11"/>
      <color rgb="FF222222"/>
      <name val="Arial"/>
      <family val="2"/>
    </font>
    <font>
      <sz val="11"/>
      <color rgb="FF000000"/>
      <name val="Arial"/>
      <family val="2"/>
    </font>
  </fonts>
  <fills count="36">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14"/>
        <bgColor indexed="64"/>
      </patternFill>
    </fill>
    <fill>
      <patternFill patternType="solid">
        <fgColor indexed="11"/>
        <bgColor indexed="64"/>
      </patternFill>
    </fill>
    <fill>
      <patternFill patternType="solid">
        <fgColor theme="8" tint="0.79998168889431442"/>
        <bgColor indexed="64"/>
      </patternFill>
    </fill>
  </fills>
  <borders count="71">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8"/>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37">
    <xf numFmtId="0" fontId="0" fillId="0" borderId="0"/>
    <xf numFmtId="170" fontId="7" fillId="0" borderId="0" applyFont="0" applyFill="0" applyBorder="0" applyAlignment="0" applyProtection="0"/>
    <xf numFmtId="166" fontId="7" fillId="0" borderId="0" applyFont="0" applyFill="0" applyBorder="0" applyAlignment="0" applyProtection="0"/>
    <xf numFmtId="172" fontId="32" fillId="0" borderId="0" applyFont="0" applyFill="0" applyBorder="0" applyAlignment="0" applyProtection="0"/>
    <xf numFmtId="43" fontId="54" fillId="0" borderId="0" applyFont="0" applyFill="0" applyBorder="0" applyAlignment="0" applyProtection="0"/>
    <xf numFmtId="165" fontId="27" fillId="0" borderId="0" applyFont="0" applyFill="0" applyBorder="0" applyAlignment="0" applyProtection="0"/>
    <xf numFmtId="43" fontId="7" fillId="0" borderId="0" applyFont="0" applyFill="0" applyBorder="0" applyAlignment="0" applyProtection="0"/>
    <xf numFmtId="43" fontId="39" fillId="0" borderId="0" applyFont="0" applyFill="0" applyBorder="0" applyAlignment="0" applyProtection="0"/>
    <xf numFmtId="165" fontId="54" fillId="0" borderId="0" applyFont="0" applyFill="0" applyBorder="0" applyAlignment="0" applyProtection="0"/>
    <xf numFmtId="43" fontId="54" fillId="0" borderId="0" applyFont="0" applyFill="0" applyBorder="0" applyAlignment="0" applyProtection="0"/>
    <xf numFmtId="175" fontId="7" fillId="0" borderId="0" applyFont="0" applyFill="0" applyBorder="0" applyAlignment="0" applyProtection="0"/>
    <xf numFmtId="164" fontId="27" fillId="0" borderId="0" applyFont="0" applyFill="0" applyBorder="0" applyAlignment="0" applyProtection="0"/>
    <xf numFmtId="164" fontId="7" fillId="0" borderId="0" applyFont="0" applyFill="0" applyBorder="0" applyAlignment="0" applyProtection="0"/>
    <xf numFmtId="176" fontId="7" fillId="0" borderId="0" applyFont="0" applyFill="0" applyBorder="0" applyAlignment="0" applyProtection="0"/>
    <xf numFmtId="0" fontId="54" fillId="0" borderId="0"/>
    <xf numFmtId="0" fontId="27" fillId="0" borderId="0"/>
    <xf numFmtId="0" fontId="7" fillId="0" borderId="0"/>
    <xf numFmtId="0" fontId="54" fillId="0" borderId="0"/>
    <xf numFmtId="0" fontId="54"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54"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1" fontId="70"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1" fillId="0" borderId="0" applyFont="0" applyFill="0" applyBorder="0" applyAlignment="0" applyProtection="0"/>
    <xf numFmtId="0" fontId="1" fillId="0" borderId="0"/>
  </cellStyleXfs>
  <cellXfs count="970">
    <xf numFmtId="0" fontId="0" fillId="0" borderId="0" xfId="0"/>
    <xf numFmtId="0" fontId="10" fillId="0" borderId="0" xfId="0" applyFont="1" applyFill="1" applyAlignment="1">
      <alignment vertical="center" wrapText="1"/>
    </xf>
    <xf numFmtId="3" fontId="10" fillId="0" borderId="0" xfId="0" applyNumberFormat="1" applyFont="1" applyFill="1" applyAlignment="1">
      <alignment horizontal="center" vertical="center" wrapText="1"/>
    </xf>
    <xf numFmtId="0" fontId="10" fillId="0" borderId="0" xfId="0" applyFont="1" applyFill="1" applyAlignment="1">
      <alignment horizontal="justify"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justify" vertical="center" wrapText="1"/>
    </xf>
    <xf numFmtId="0" fontId="16" fillId="2" borderId="1" xfId="0" applyFont="1" applyFill="1" applyBorder="1" applyAlignment="1">
      <alignment horizont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6" fillId="0" borderId="4" xfId="0" applyFont="1" applyBorder="1" applyAlignment="1">
      <alignment wrapText="1"/>
    </xf>
    <xf numFmtId="0" fontId="17" fillId="0" borderId="4" xfId="0" applyFont="1" applyBorder="1" applyAlignment="1">
      <alignment horizontal="justify" wrapText="1"/>
    </xf>
    <xf numFmtId="0" fontId="17" fillId="0" borderId="5" xfId="0" applyFont="1" applyBorder="1" applyAlignment="1">
      <alignment horizontal="justify" wrapText="1"/>
    </xf>
    <xf numFmtId="0" fontId="0" fillId="0" borderId="0" xfId="0" applyBorder="1" applyAlignment="1">
      <alignment horizontal="left"/>
    </xf>
    <xf numFmtId="0" fontId="18" fillId="0" borderId="1" xfId="0" applyFont="1" applyBorder="1" applyAlignment="1">
      <alignment vertical="top" wrapText="1"/>
    </xf>
    <xf numFmtId="0" fontId="18" fillId="0" borderId="1" xfId="0" applyFont="1" applyFill="1" applyBorder="1" applyAlignment="1">
      <alignment vertical="top" wrapText="1"/>
    </xf>
    <xf numFmtId="0" fontId="12" fillId="0" borderId="2" xfId="0" applyFont="1" applyFill="1" applyBorder="1" applyAlignment="1">
      <alignment horizontal="justify" wrapText="1"/>
    </xf>
    <xf numFmtId="0" fontId="12" fillId="0" borderId="2" xfId="0" applyFont="1" applyBorder="1" applyAlignment="1">
      <alignment horizontal="justify" wrapText="1"/>
    </xf>
    <xf numFmtId="0" fontId="11" fillId="0" borderId="0" xfId="0" applyFont="1" applyFill="1" applyBorder="1" applyAlignment="1">
      <alignment horizontal="center" vertical="center"/>
    </xf>
    <xf numFmtId="0" fontId="23" fillId="2" borderId="6" xfId="0" applyFont="1" applyFill="1" applyBorder="1" applyAlignment="1">
      <alignment horizontal="center" vertical="center"/>
    </xf>
    <xf numFmtId="0" fontId="19" fillId="2" borderId="7" xfId="0" quotePrefix="1" applyFont="1" applyFill="1" applyBorder="1" applyAlignment="1">
      <alignment horizontal="center" vertical="center" wrapText="1"/>
    </xf>
    <xf numFmtId="0" fontId="10" fillId="0" borderId="8" xfId="0" applyFont="1" applyFill="1" applyBorder="1" applyAlignment="1">
      <alignment vertical="center"/>
    </xf>
    <xf numFmtId="0" fontId="10" fillId="0" borderId="9" xfId="0" applyFont="1" applyFill="1" applyBorder="1" applyAlignment="1">
      <alignment vertical="center"/>
    </xf>
    <xf numFmtId="0" fontId="9"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3" fontId="8" fillId="0" borderId="10"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26" fillId="0" borderId="12" xfId="0" applyFont="1" applyFill="1" applyBorder="1" applyAlignment="1">
      <alignment horizontal="center" vertical="center" wrapText="1"/>
    </xf>
    <xf numFmtId="0" fontId="24" fillId="0" borderId="0" xfId="0" applyFont="1" applyBorder="1" applyAlignment="1">
      <alignment vertical="center"/>
    </xf>
    <xf numFmtId="0" fontId="24" fillId="0" borderId="0" xfId="0" applyFont="1" applyFill="1" applyAlignment="1">
      <alignment vertical="center" wrapText="1"/>
    </xf>
    <xf numFmtId="0" fontId="24" fillId="3" borderId="0" xfId="0" applyFont="1" applyFill="1" applyAlignment="1">
      <alignment vertical="center" wrapText="1"/>
    </xf>
    <xf numFmtId="0" fontId="24" fillId="2" borderId="0" xfId="0" applyFont="1" applyFill="1" applyAlignment="1">
      <alignment vertical="center" wrapText="1"/>
    </xf>
    <xf numFmtId="0" fontId="11" fillId="0" borderId="13" xfId="0" applyFont="1" applyFill="1" applyBorder="1" applyAlignment="1">
      <alignment horizontal="center" vertical="center"/>
    </xf>
    <xf numFmtId="0" fontId="26" fillId="0" borderId="10" xfId="0"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0" fontId="19" fillId="2" borderId="14" xfId="0" quotePrefix="1" applyFont="1" applyFill="1" applyBorder="1" applyAlignment="1">
      <alignment horizontal="center" vertical="center" wrapText="1"/>
    </xf>
    <xf numFmtId="3" fontId="9" fillId="4" borderId="10" xfId="0" applyNumberFormat="1" applyFont="1" applyFill="1" applyBorder="1" applyAlignment="1">
      <alignment vertical="center" wrapText="1"/>
    </xf>
    <xf numFmtId="3" fontId="10" fillId="4" borderId="10" xfId="0" applyNumberFormat="1" applyFont="1" applyFill="1" applyBorder="1" applyAlignment="1">
      <alignment horizontal="center" vertical="center" wrapText="1"/>
    </xf>
    <xf numFmtId="0" fontId="28" fillId="2" borderId="10" xfId="0" applyFont="1" applyFill="1" applyBorder="1" applyAlignment="1">
      <alignment horizontal="justify" vertical="center" wrapText="1"/>
    </xf>
    <xf numFmtId="0" fontId="29" fillId="0" borderId="15" xfId="0" applyFont="1" applyFill="1" applyBorder="1" applyAlignment="1">
      <alignment horizontal="center" vertical="center" wrapText="1"/>
    </xf>
    <xf numFmtId="0" fontId="28" fillId="0" borderId="10" xfId="0" applyFont="1" applyFill="1" applyBorder="1" applyAlignment="1">
      <alignment horizontal="center" vertical="center" wrapText="1"/>
    </xf>
    <xf numFmtId="3" fontId="28" fillId="0" borderId="10"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8" fillId="0" borderId="12" xfId="0" applyFont="1" applyFill="1" applyBorder="1" applyAlignment="1">
      <alignment horizontal="center" vertical="center" wrapText="1"/>
    </xf>
    <xf numFmtId="3" fontId="29" fillId="0" borderId="10" xfId="0" applyNumberFormat="1"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8" fillId="0" borderId="10" xfId="0" applyFont="1" applyFill="1" applyBorder="1" applyAlignment="1">
      <alignment vertical="center" wrapText="1"/>
    </xf>
    <xf numFmtId="0" fontId="28" fillId="0" borderId="10" xfId="0" applyFont="1" applyFill="1" applyBorder="1" applyAlignment="1">
      <alignment horizontal="justify" vertical="center" wrapText="1"/>
    </xf>
    <xf numFmtId="0" fontId="28" fillId="0" borderId="12" xfId="0" applyFont="1" applyFill="1" applyBorder="1" applyAlignment="1">
      <alignment horizontal="justify" vertical="center" wrapText="1"/>
    </xf>
    <xf numFmtId="0" fontId="29" fillId="0" borderId="16" xfId="0" applyFont="1" applyFill="1" applyBorder="1" applyAlignment="1">
      <alignment horizontal="center" vertical="center" wrapText="1"/>
    </xf>
    <xf numFmtId="0" fontId="28" fillId="2" borderId="17"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9" fillId="0" borderId="15" xfId="0" applyFont="1" applyFill="1" applyBorder="1" applyAlignment="1">
      <alignment horizontal="center" vertical="center" textRotation="90" wrapText="1"/>
    </xf>
    <xf numFmtId="3" fontId="30" fillId="0" borderId="10" xfId="0" applyNumberFormat="1" applyFont="1" applyFill="1" applyBorder="1" applyAlignment="1">
      <alignment horizontal="center" vertical="center" wrapText="1"/>
    </xf>
    <xf numFmtId="3" fontId="31" fillId="0" borderId="10" xfId="0"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27" fillId="0" borderId="0" xfId="0" applyFont="1"/>
    <xf numFmtId="0" fontId="24" fillId="14" borderId="0" xfId="0" applyFont="1" applyFill="1" applyAlignment="1">
      <alignment vertical="center" wrapText="1"/>
    </xf>
    <xf numFmtId="0" fontId="27" fillId="0" borderId="0" xfId="15" applyFont="1" applyBorder="1" applyAlignment="1">
      <alignment vertical="center" wrapText="1"/>
    </xf>
    <xf numFmtId="0" fontId="27" fillId="0" borderId="0" xfId="15" applyFont="1" applyFill="1" applyAlignment="1">
      <alignment vertical="center" wrapText="1"/>
    </xf>
    <xf numFmtId="0" fontId="27" fillId="0" borderId="0" xfId="15" applyFont="1" applyFill="1" applyAlignment="1">
      <alignment horizontal="center" vertical="center" wrapText="1"/>
    </xf>
    <xf numFmtId="171" fontId="27" fillId="0" borderId="0" xfId="15" applyNumberFormat="1" applyFont="1" applyFill="1" applyAlignment="1">
      <alignment vertical="center" wrapText="1"/>
    </xf>
    <xf numFmtId="3" fontId="27" fillId="0" borderId="0" xfId="15" applyNumberFormat="1" applyFont="1" applyFill="1" applyAlignment="1">
      <alignment vertical="center" wrapText="1"/>
    </xf>
    <xf numFmtId="171" fontId="27" fillId="0" borderId="0" xfId="5" applyNumberFormat="1" applyFont="1" applyFill="1" applyAlignment="1">
      <alignment vertical="center" wrapText="1"/>
    </xf>
    <xf numFmtId="0" fontId="27" fillId="15" borderId="0" xfId="15" applyFont="1" applyFill="1" applyAlignment="1">
      <alignment vertical="center" wrapText="1"/>
    </xf>
    <xf numFmtId="0" fontId="27" fillId="16" borderId="0" xfId="15" applyFont="1" applyFill="1" applyAlignment="1">
      <alignment vertical="center" wrapText="1"/>
    </xf>
    <xf numFmtId="0" fontId="55" fillId="0" borderId="12" xfId="0" applyFont="1" applyFill="1" applyBorder="1" applyAlignment="1">
      <alignment horizontal="center" vertical="center" wrapText="1"/>
    </xf>
    <xf numFmtId="0" fontId="10" fillId="0" borderId="0" xfId="0" applyFont="1" applyAlignment="1">
      <alignment wrapText="1"/>
    </xf>
    <xf numFmtId="3" fontId="30" fillId="0" borderId="10" xfId="15" applyNumberFormat="1" applyFont="1" applyFill="1" applyBorder="1" applyAlignment="1">
      <alignment horizontal="right" vertical="center" wrapText="1"/>
    </xf>
    <xf numFmtId="0" fontId="56" fillId="0" borderId="10" xfId="0" applyFont="1" applyFill="1" applyBorder="1" applyAlignment="1">
      <alignment horizontal="center" vertical="center"/>
    </xf>
    <xf numFmtId="3" fontId="10" fillId="0" borderId="12" xfId="0" applyNumberFormat="1" applyFont="1" applyFill="1" applyBorder="1" applyAlignment="1">
      <alignment horizontal="right" vertical="center" wrapText="1"/>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6" fillId="0" borderId="0" xfId="0" applyFont="1" applyBorder="1" applyAlignment="1" applyProtection="1">
      <alignment horizontal="centerContinuous" vertical="center"/>
    </xf>
    <xf numFmtId="0" fontId="26" fillId="0" borderId="0" xfId="0" applyFont="1" applyBorder="1" applyAlignment="1" applyProtection="1">
      <alignment vertical="center"/>
    </xf>
    <xf numFmtId="0" fontId="0" fillId="0" borderId="0" xfId="0" applyBorder="1" applyAlignment="1" applyProtection="1">
      <alignment vertical="center"/>
    </xf>
    <xf numFmtId="0" fontId="18" fillId="0" borderId="10"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38" fillId="0" borderId="15" xfId="0" applyFont="1" applyFill="1" applyBorder="1" applyAlignment="1" applyProtection="1">
      <alignment vertical="center"/>
    </xf>
    <xf numFmtId="4" fontId="38" fillId="0" borderId="10" xfId="0" applyNumberFormat="1" applyFont="1" applyFill="1" applyBorder="1" applyAlignment="1" applyProtection="1">
      <alignment vertical="center"/>
    </xf>
    <xf numFmtId="4" fontId="38" fillId="0" borderId="12" xfId="0" applyNumberFormat="1" applyFont="1" applyFill="1" applyBorder="1" applyAlignment="1" applyProtection="1">
      <alignment vertical="center"/>
    </xf>
    <xf numFmtId="4" fontId="0" fillId="0" borderId="0" xfId="0" applyNumberFormat="1" applyAlignment="1">
      <alignment vertical="center"/>
    </xf>
    <xf numFmtId="0" fontId="36" fillId="0" borderId="15" xfId="0" applyFont="1" applyFill="1" applyBorder="1" applyAlignment="1" applyProtection="1">
      <alignment vertical="center"/>
    </xf>
    <xf numFmtId="4" fontId="36" fillId="0" borderId="10" xfId="0" applyNumberFormat="1" applyFont="1" applyFill="1" applyBorder="1" applyAlignment="1" applyProtection="1">
      <alignment vertical="center"/>
    </xf>
    <xf numFmtId="4" fontId="36" fillId="0" borderId="12" xfId="0" applyNumberFormat="1" applyFont="1" applyFill="1" applyBorder="1" applyAlignment="1" applyProtection="1">
      <alignment vertical="center"/>
    </xf>
    <xf numFmtId="4" fontId="27" fillId="0" borderId="0" xfId="0" applyNumberFormat="1" applyFont="1" applyAlignment="1">
      <alignment vertical="center"/>
    </xf>
    <xf numFmtId="4" fontId="36" fillId="0" borderId="19" xfId="0" applyNumberFormat="1" applyFont="1" applyBorder="1" applyAlignment="1" applyProtection="1">
      <alignment vertical="center"/>
    </xf>
    <xf numFmtId="4" fontId="36" fillId="0" borderId="20" xfId="0" applyNumberFormat="1" applyFont="1" applyBorder="1" applyAlignment="1" applyProtection="1">
      <alignment vertical="center"/>
    </xf>
    <xf numFmtId="4" fontId="38" fillId="0" borderId="20" xfId="0" applyNumberFormat="1" applyFont="1" applyFill="1" applyBorder="1" applyAlignment="1" applyProtection="1">
      <alignment vertical="center"/>
    </xf>
    <xf numFmtId="4" fontId="36" fillId="0" borderId="21" xfId="0" applyNumberFormat="1" applyFont="1" applyFill="1" applyBorder="1" applyAlignment="1" applyProtection="1">
      <alignment vertical="center"/>
    </xf>
    <xf numFmtId="0" fontId="38" fillId="0" borderId="6" xfId="0" applyFont="1" applyFill="1" applyBorder="1" applyAlignment="1" applyProtection="1">
      <alignment vertical="center"/>
    </xf>
    <xf numFmtId="4" fontId="38" fillId="0" borderId="7" xfId="0" applyNumberFormat="1" applyFont="1" applyFill="1" applyBorder="1" applyAlignment="1" applyProtection="1">
      <alignment vertical="center"/>
    </xf>
    <xf numFmtId="4" fontId="38" fillId="0" borderId="14" xfId="0" applyNumberFormat="1" applyFont="1" applyFill="1" applyBorder="1" applyAlignment="1" applyProtection="1">
      <alignment vertical="center"/>
    </xf>
    <xf numFmtId="0" fontId="38" fillId="8" borderId="15" xfId="0" applyFont="1" applyFill="1" applyBorder="1" applyAlignment="1" applyProtection="1">
      <alignment vertical="center" wrapText="1"/>
      <protection locked="0"/>
    </xf>
    <xf numFmtId="4" fontId="38" fillId="0" borderId="10" xfId="0" applyNumberFormat="1" applyFont="1" applyFill="1" applyBorder="1" applyAlignment="1" applyProtection="1">
      <alignment vertical="center" wrapText="1"/>
      <protection locked="0"/>
    </xf>
    <xf numFmtId="0" fontId="25" fillId="17" borderId="22" xfId="0" applyFont="1" applyFill="1" applyBorder="1" applyAlignment="1">
      <alignment horizontal="justify" vertical="center" wrapText="1"/>
    </xf>
    <xf numFmtId="3" fontId="41" fillId="0" borderId="15" xfId="0" applyNumberFormat="1" applyFont="1" applyBorder="1" applyAlignment="1">
      <alignment wrapText="1"/>
    </xf>
    <xf numFmtId="4" fontId="36" fillId="0" borderId="10" xfId="0" applyNumberFormat="1" applyFont="1" applyFill="1" applyBorder="1" applyAlignment="1" applyProtection="1">
      <alignment vertical="center" wrapText="1"/>
      <protection locked="0"/>
    </xf>
    <xf numFmtId="4" fontId="57" fillId="0" borderId="10" xfId="0" applyNumberFormat="1" applyFont="1" applyFill="1" applyBorder="1" applyAlignment="1" applyProtection="1">
      <alignment vertical="center" wrapText="1"/>
      <protection locked="0"/>
    </xf>
    <xf numFmtId="4" fontId="38" fillId="0" borderId="12" xfId="0" applyNumberFormat="1" applyFont="1" applyFill="1" applyBorder="1" applyAlignment="1" applyProtection="1">
      <alignment vertical="center" wrapText="1"/>
      <protection locked="0"/>
    </xf>
    <xf numFmtId="4" fontId="42" fillId="0" borderId="10" xfId="0" applyNumberFormat="1" applyFont="1" applyFill="1" applyBorder="1" applyAlignment="1" applyProtection="1">
      <alignment vertical="center" wrapText="1"/>
      <protection locked="0"/>
    </xf>
    <xf numFmtId="4" fontId="42" fillId="0" borderId="12" xfId="0" applyNumberFormat="1" applyFont="1" applyFill="1" applyBorder="1" applyAlignment="1" applyProtection="1">
      <alignment vertical="center" wrapText="1"/>
      <protection locked="0"/>
    </xf>
    <xf numFmtId="0" fontId="41" fillId="0" borderId="15" xfId="0" applyFont="1" applyBorder="1" applyAlignment="1">
      <alignment vertical="center" wrapText="1"/>
    </xf>
    <xf numFmtId="3" fontId="41" fillId="0" borderId="15" xfId="0" applyNumberFormat="1" applyFont="1" applyBorder="1" applyAlignment="1">
      <alignment horizontal="justify"/>
    </xf>
    <xf numFmtId="0" fontId="38" fillId="8" borderId="15" xfId="0" applyFont="1" applyFill="1" applyBorder="1" applyAlignment="1" applyProtection="1">
      <alignment vertical="center"/>
    </xf>
    <xf numFmtId="4" fontId="43" fillId="8" borderId="15" xfId="0" applyNumberFormat="1" applyFont="1" applyFill="1" applyBorder="1" applyAlignment="1" applyProtection="1">
      <alignment vertical="center"/>
    </xf>
    <xf numFmtId="4" fontId="43" fillId="0" borderId="10" xfId="0" applyNumberFormat="1" applyFont="1" applyBorder="1" applyAlignment="1" applyProtection="1">
      <alignment vertical="center"/>
    </xf>
    <xf numFmtId="0" fontId="38" fillId="8" borderId="16" xfId="0" applyFont="1" applyFill="1" applyBorder="1" applyAlignment="1" applyProtection="1">
      <alignment vertical="center"/>
    </xf>
    <xf numFmtId="4" fontId="38" fillId="0" borderId="17" xfId="0" applyNumberFormat="1" applyFont="1" applyFill="1" applyBorder="1" applyAlignment="1" applyProtection="1">
      <alignment vertical="center"/>
    </xf>
    <xf numFmtId="4" fontId="38" fillId="0" borderId="23" xfId="0" applyNumberFormat="1" applyFont="1" applyFill="1" applyBorder="1" applyAlignment="1" applyProtection="1">
      <alignment vertical="center"/>
    </xf>
    <xf numFmtId="0" fontId="44" fillId="8" borderId="0" xfId="0" applyFont="1" applyFill="1" applyBorder="1" applyAlignment="1" applyProtection="1">
      <alignment horizontal="centerContinuous" vertical="center" wrapText="1"/>
    </xf>
    <xf numFmtId="0" fontId="45" fillId="0" borderId="0" xfId="0" applyFont="1" applyFill="1" applyBorder="1" applyAlignment="1" applyProtection="1">
      <alignment horizontal="centerContinuous" vertical="center" wrapText="1"/>
    </xf>
    <xf numFmtId="4" fontId="45" fillId="0" borderId="0" xfId="0" applyNumberFormat="1" applyFont="1" applyFill="1" applyBorder="1" applyAlignment="1" applyProtection="1">
      <alignment horizontal="centerContinuous" vertical="center" wrapText="1"/>
    </xf>
    <xf numFmtId="1" fontId="38"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7" fillId="0" borderId="0" xfId="0" applyNumberFormat="1" applyFont="1" applyAlignment="1" applyProtection="1">
      <alignment vertical="center"/>
    </xf>
    <xf numFmtId="0" fontId="26" fillId="8" borderId="0" xfId="0" applyFont="1" applyFill="1" applyAlignment="1">
      <alignment vertical="center"/>
    </xf>
    <xf numFmtId="0" fontId="27" fillId="8" borderId="0" xfId="0" applyFont="1" applyFill="1" applyAlignment="1">
      <alignment vertical="center"/>
    </xf>
    <xf numFmtId="0" fontId="0" fillId="8" borderId="0" xfId="0" applyFill="1" applyAlignment="1">
      <alignment vertical="center"/>
    </xf>
    <xf numFmtId="3" fontId="10" fillId="10" borderId="10" xfId="0" applyNumberFormat="1" applyFont="1" applyFill="1" applyBorder="1"/>
    <xf numFmtId="3" fontId="10" fillId="2" borderId="10" xfId="0" applyNumberFormat="1" applyFont="1" applyFill="1" applyBorder="1"/>
    <xf numFmtId="3" fontId="10" fillId="4" borderId="10" xfId="0" applyNumberFormat="1" applyFont="1" applyFill="1" applyBorder="1"/>
    <xf numFmtId="3" fontId="10" fillId="4" borderId="10" xfId="0" applyNumberFormat="1" applyFont="1" applyFill="1" applyBorder="1" applyAlignment="1">
      <alignment vertical="center" wrapText="1"/>
    </xf>
    <xf numFmtId="0" fontId="30" fillId="0" borderId="0" xfId="0" applyFont="1" applyFill="1" applyAlignment="1">
      <alignment horizontal="center" vertical="center" wrapText="1"/>
    </xf>
    <xf numFmtId="3" fontId="9" fillId="10" borderId="10" xfId="0" applyNumberFormat="1" applyFont="1" applyFill="1" applyBorder="1" applyAlignment="1">
      <alignment horizontal="center" vertical="center" wrapText="1"/>
    </xf>
    <xf numFmtId="3" fontId="9" fillId="2" borderId="10" xfId="0" applyNumberFormat="1" applyFont="1" applyFill="1" applyBorder="1" applyAlignment="1">
      <alignment horizontal="center" vertical="center" wrapText="1"/>
    </xf>
    <xf numFmtId="3" fontId="10" fillId="10" borderId="10" xfId="0" applyNumberFormat="1" applyFont="1" applyFill="1" applyBorder="1" applyAlignment="1">
      <alignment vertical="center" wrapText="1"/>
    </xf>
    <xf numFmtId="3" fontId="10" fillId="2" borderId="10" xfId="0" applyNumberFormat="1" applyFont="1" applyFill="1" applyBorder="1" applyAlignment="1">
      <alignment vertical="center" wrapText="1"/>
    </xf>
    <xf numFmtId="3" fontId="9" fillId="0" borderId="0" xfId="0" applyNumberFormat="1" applyFont="1" applyFill="1" applyAlignment="1">
      <alignment vertical="center" wrapText="1"/>
    </xf>
    <xf numFmtId="3" fontId="9" fillId="11" borderId="10" xfId="0" applyNumberFormat="1" applyFont="1" applyFill="1" applyBorder="1" applyAlignment="1">
      <alignment vertical="center" wrapText="1"/>
    </xf>
    <xf numFmtId="3" fontId="46" fillId="10" borderId="10" xfId="0" applyNumberFormat="1" applyFont="1" applyFill="1" applyBorder="1" applyAlignment="1">
      <alignment vertical="center" wrapText="1"/>
    </xf>
    <xf numFmtId="3" fontId="9" fillId="0" borderId="24" xfId="0" applyNumberFormat="1" applyFont="1" applyFill="1" applyBorder="1" applyAlignment="1">
      <alignment horizontal="right" vertical="center" wrapText="1"/>
    </xf>
    <xf numFmtId="3" fontId="10" fillId="11" borderId="10" xfId="0" applyNumberFormat="1" applyFont="1" applyFill="1" applyBorder="1" applyAlignment="1">
      <alignment vertical="center" wrapText="1"/>
    </xf>
    <xf numFmtId="3" fontId="9" fillId="2" borderId="10" xfId="0" applyNumberFormat="1" applyFont="1" applyFill="1" applyBorder="1" applyAlignment="1">
      <alignment vertical="center" wrapText="1"/>
    </xf>
    <xf numFmtId="3" fontId="10" fillId="12" borderId="10" xfId="0" applyNumberFormat="1" applyFont="1" applyFill="1" applyBorder="1" applyAlignment="1">
      <alignment vertical="center" wrapText="1"/>
    </xf>
    <xf numFmtId="3" fontId="9" fillId="0" borderId="0" xfId="0" applyNumberFormat="1" applyFont="1" applyFill="1" applyBorder="1" applyAlignment="1">
      <alignment horizontal="right" vertical="center" wrapText="1"/>
    </xf>
    <xf numFmtId="0" fontId="9" fillId="0" borderId="0" xfId="0" applyFont="1" applyFill="1" applyAlignment="1">
      <alignment vertical="center" wrapText="1"/>
    </xf>
    <xf numFmtId="3" fontId="9" fillId="11" borderId="0" xfId="0" applyNumberFormat="1" applyFont="1" applyFill="1" applyBorder="1" applyAlignment="1">
      <alignment vertical="center" wrapText="1"/>
    </xf>
    <xf numFmtId="3" fontId="9" fillId="0" borderId="13" xfId="0" applyNumberFormat="1" applyFont="1" applyFill="1" applyBorder="1" applyAlignment="1">
      <alignment horizontal="right" vertical="center" wrapText="1"/>
    </xf>
    <xf numFmtId="0" fontId="10" fillId="8" borderId="0" xfId="0" applyFont="1" applyFill="1" applyAlignment="1">
      <alignment horizontal="center" vertical="center" wrapText="1"/>
    </xf>
    <xf numFmtId="4" fontId="10" fillId="0" borderId="0" xfId="0" applyNumberFormat="1" applyFont="1" applyFill="1" applyAlignment="1">
      <alignment horizontal="right" vertical="center" wrapText="1"/>
    </xf>
    <xf numFmtId="4" fontId="10" fillId="8" borderId="0" xfId="0" applyNumberFormat="1" applyFont="1" applyFill="1" applyAlignment="1">
      <alignment horizontal="right" vertical="center" wrapText="1"/>
    </xf>
    <xf numFmtId="0" fontId="24"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6" fillId="14" borderId="10" xfId="0" applyFont="1" applyFill="1" applyBorder="1" applyAlignment="1">
      <alignment horizontal="center" vertical="center"/>
    </xf>
    <xf numFmtId="0" fontId="0" fillId="0" borderId="10" xfId="0" applyBorder="1" applyAlignment="1">
      <alignment horizontal="center" vertical="center" wrapText="1"/>
    </xf>
    <xf numFmtId="0" fontId="26" fillId="14" borderId="10" xfId="0" applyFont="1" applyFill="1" applyBorder="1" applyAlignment="1">
      <alignment horizontal="center" vertical="center" wrapText="1"/>
    </xf>
    <xf numFmtId="0" fontId="29" fillId="0" borderId="0" xfId="0" applyFont="1"/>
    <xf numFmtId="3" fontId="29" fillId="0" borderId="0" xfId="0" applyNumberFormat="1" applyFont="1"/>
    <xf numFmtId="0" fontId="17" fillId="0" borderId="4" xfId="0" applyFont="1" applyBorder="1" applyAlignment="1">
      <alignment horizontal="justify" vertical="top" wrapText="1"/>
    </xf>
    <xf numFmtId="0" fontId="16" fillId="18" borderId="4" xfId="0" applyFont="1" applyFill="1" applyBorder="1" applyAlignment="1">
      <alignment wrapText="1"/>
    </xf>
    <xf numFmtId="0" fontId="17" fillId="18" borderId="4" xfId="0" applyFont="1" applyFill="1" applyBorder="1" applyAlignment="1">
      <alignment horizontal="justify" vertical="top" wrapText="1"/>
    </xf>
    <xf numFmtId="0" fontId="17" fillId="0" borderId="4" xfId="0" applyFont="1" applyBorder="1" applyAlignment="1">
      <alignment horizontal="justify"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24" fillId="0" borderId="0" xfId="0" applyFont="1" applyFill="1" applyAlignment="1">
      <alignment vertical="top" wrapText="1"/>
    </xf>
    <xf numFmtId="0" fontId="0" fillId="18" borderId="10" xfId="0" applyFill="1" applyBorder="1" applyAlignment="1">
      <alignment horizontal="center" vertical="center"/>
    </xf>
    <xf numFmtId="0" fontId="27" fillId="0" borderId="0" xfId="0" applyFont="1" applyAlignment="1">
      <alignment horizontal="center" vertical="center"/>
    </xf>
    <xf numFmtId="171" fontId="30" fillId="0" borderId="0" xfId="5" applyNumberFormat="1" applyFont="1" applyBorder="1" applyAlignment="1">
      <alignment vertical="center" wrapText="1"/>
    </xf>
    <xf numFmtId="0" fontId="33" fillId="13" borderId="17" xfId="15" applyFont="1" applyFill="1" applyBorder="1" applyAlignment="1">
      <alignment horizontal="center" vertical="center" wrapText="1"/>
    </xf>
    <xf numFmtId="0" fontId="33" fillId="14" borderId="26" xfId="15" applyFont="1" applyFill="1" applyBorder="1" applyAlignment="1">
      <alignment horizontal="center" vertical="center" wrapText="1"/>
    </xf>
    <xf numFmtId="0" fontId="30" fillId="0" borderId="18" xfId="15" applyFont="1" applyFill="1" applyBorder="1" applyAlignment="1">
      <alignment vertical="center" wrapText="1"/>
    </xf>
    <xf numFmtId="0" fontId="49" fillId="0" borderId="10" xfId="15" applyFont="1" applyFill="1" applyBorder="1" applyAlignment="1">
      <alignment horizontal="center" vertical="center" wrapText="1"/>
    </xf>
    <xf numFmtId="3" fontId="30" fillId="0" borderId="27" xfId="15" applyNumberFormat="1" applyFont="1" applyFill="1" applyBorder="1" applyAlignment="1">
      <alignment horizontal="right" vertical="center" wrapText="1"/>
    </xf>
    <xf numFmtId="0" fontId="30" fillId="0" borderId="10" xfId="15" applyFont="1" applyFill="1" applyBorder="1" applyAlignment="1">
      <alignment horizontal="center" vertical="center" wrapText="1"/>
    </xf>
    <xf numFmtId="0" fontId="30" fillId="0" borderId="10" xfId="15" applyFont="1" applyFill="1" applyBorder="1" applyAlignment="1">
      <alignment vertical="center" wrapText="1"/>
    </xf>
    <xf numFmtId="0" fontId="30" fillId="0" borderId="26" xfId="15" applyFont="1" applyFill="1" applyBorder="1" applyAlignment="1">
      <alignment horizontal="center" vertical="center" wrapText="1"/>
    </xf>
    <xf numFmtId="0" fontId="30" fillId="4" borderId="26" xfId="15" applyFont="1" applyFill="1" applyBorder="1" applyAlignment="1">
      <alignment horizontal="justify" vertical="center" wrapText="1"/>
    </xf>
    <xf numFmtId="0" fontId="30" fillId="4" borderId="26" xfId="15" applyFont="1" applyFill="1" applyBorder="1" applyAlignment="1">
      <alignment horizontal="center" vertical="center" wrapText="1"/>
    </xf>
    <xf numFmtId="3" fontId="30" fillId="4" borderId="26" xfId="15" applyNumberFormat="1" applyFont="1" applyFill="1" applyBorder="1" applyAlignment="1">
      <alignment horizontal="center" vertical="center" wrapText="1"/>
    </xf>
    <xf numFmtId="3" fontId="33" fillId="19" borderId="10" xfId="15" applyNumberFormat="1" applyFont="1" applyFill="1" applyBorder="1" applyAlignment="1">
      <alignment horizontal="right" vertical="center" wrapText="1"/>
    </xf>
    <xf numFmtId="3" fontId="30" fillId="19" borderId="10" xfId="15" applyNumberFormat="1" applyFont="1" applyFill="1" applyBorder="1" applyAlignment="1">
      <alignment horizontal="center" vertical="center" wrapText="1"/>
    </xf>
    <xf numFmtId="0" fontId="49" fillId="0" borderId="10" xfId="15" applyFont="1" applyBorder="1" applyAlignment="1">
      <alignment horizontal="center" vertical="center" wrapText="1"/>
    </xf>
    <xf numFmtId="0" fontId="30" fillId="4" borderId="10" xfId="15" applyFont="1" applyFill="1" applyBorder="1" applyAlignment="1">
      <alignment horizontal="justify" vertical="center" wrapText="1"/>
    </xf>
    <xf numFmtId="0" fontId="30" fillId="4" borderId="20" xfId="15" applyFont="1" applyFill="1" applyBorder="1" applyAlignment="1">
      <alignment horizontal="center" vertical="center" wrapText="1"/>
    </xf>
    <xf numFmtId="0" fontId="33" fillId="5" borderId="15" xfId="15" applyFont="1" applyFill="1" applyBorder="1" applyAlignment="1">
      <alignment horizontal="center" vertical="center" wrapText="1"/>
    </xf>
    <xf numFmtId="0" fontId="33" fillId="5" borderId="10" xfId="15" applyFont="1" applyFill="1" applyBorder="1" applyAlignment="1">
      <alignment horizontal="center" vertical="center" wrapText="1"/>
    </xf>
    <xf numFmtId="3" fontId="33" fillId="14" borderId="10" xfId="15" applyNumberFormat="1" applyFont="1" applyFill="1" applyBorder="1" applyAlignment="1">
      <alignment horizontal="center" vertical="center" wrapText="1"/>
    </xf>
    <xf numFmtId="3" fontId="33" fillId="14" borderId="10" xfId="15" applyNumberFormat="1" applyFont="1" applyFill="1" applyBorder="1" applyAlignment="1">
      <alignment horizontal="right" vertical="center" wrapText="1"/>
    </xf>
    <xf numFmtId="0" fontId="30" fillId="4" borderId="20" xfId="15" applyFont="1" applyFill="1" applyBorder="1" applyAlignment="1">
      <alignment horizontal="justify" vertical="center" wrapText="1"/>
    </xf>
    <xf numFmtId="3" fontId="30" fillId="19" borderId="20" xfId="15" applyNumberFormat="1" applyFont="1" applyFill="1" applyBorder="1" applyAlignment="1">
      <alignment horizontal="center" vertical="center" wrapText="1"/>
    </xf>
    <xf numFmtId="0" fontId="30" fillId="4" borderId="24" xfId="15" applyFont="1" applyFill="1" applyBorder="1" applyAlignment="1">
      <alignment horizontal="justify" vertical="center" wrapText="1"/>
    </xf>
    <xf numFmtId="0" fontId="30" fillId="4" borderId="28" xfId="15" applyFont="1" applyFill="1" applyBorder="1" applyAlignment="1">
      <alignment horizontal="center" vertical="center" wrapText="1"/>
    </xf>
    <xf numFmtId="0" fontId="30" fillId="19" borderId="26" xfId="15" applyFont="1" applyFill="1" applyBorder="1" applyAlignment="1">
      <alignment horizontal="center" vertical="center" wrapText="1"/>
    </xf>
    <xf numFmtId="3" fontId="33" fillId="19" borderId="20" xfId="15" applyNumberFormat="1" applyFont="1" applyFill="1" applyBorder="1" applyAlignment="1">
      <alignment horizontal="right" vertical="center" wrapText="1"/>
    </xf>
    <xf numFmtId="3" fontId="30" fillId="20" borderId="10" xfId="15" applyNumberFormat="1" applyFont="1" applyFill="1" applyBorder="1" applyAlignment="1">
      <alignment horizontal="right" vertical="center" wrapText="1"/>
    </xf>
    <xf numFmtId="0" fontId="30" fillId="14" borderId="26" xfId="15" applyFont="1" applyFill="1" applyBorder="1" applyAlignment="1">
      <alignment vertical="center" wrapText="1"/>
    </xf>
    <xf numFmtId="0" fontId="30" fillId="14" borderId="10" xfId="15" applyFont="1" applyFill="1" applyBorder="1" applyAlignment="1">
      <alignment vertical="center" wrapText="1"/>
    </xf>
    <xf numFmtId="3" fontId="33" fillId="14" borderId="10" xfId="15" applyNumberFormat="1" applyFont="1" applyFill="1" applyBorder="1" applyAlignment="1">
      <alignment vertical="center" wrapText="1"/>
    </xf>
    <xf numFmtId="0" fontId="30" fillId="4" borderId="20" xfId="15" applyFont="1" applyFill="1" applyBorder="1" applyAlignment="1">
      <alignment vertical="center" wrapText="1"/>
    </xf>
    <xf numFmtId="0" fontId="30" fillId="4" borderId="10" xfId="15" applyFont="1" applyFill="1" applyBorder="1" applyAlignment="1">
      <alignment vertical="center" wrapText="1"/>
    </xf>
    <xf numFmtId="3" fontId="33" fillId="19" borderId="10" xfId="15" applyNumberFormat="1" applyFont="1" applyFill="1" applyBorder="1" applyAlignment="1">
      <alignment vertical="center" wrapText="1"/>
    </xf>
    <xf numFmtId="0" fontId="30" fillId="19" borderId="10" xfId="15" applyFont="1" applyFill="1" applyBorder="1" applyAlignment="1">
      <alignment vertical="center" wrapText="1"/>
    </xf>
    <xf numFmtId="3" fontId="30" fillId="0" borderId="10" xfId="15" applyNumberFormat="1" applyFont="1" applyFill="1" applyBorder="1" applyAlignment="1">
      <alignment horizontal="center" vertical="center" wrapText="1"/>
    </xf>
    <xf numFmtId="0" fontId="30" fillId="0" borderId="26" xfId="15" applyFont="1" applyFill="1" applyBorder="1" applyAlignment="1">
      <alignment vertical="center" wrapText="1"/>
    </xf>
    <xf numFmtId="0" fontId="30" fillId="0" borderId="27" xfId="15" applyFont="1" applyFill="1" applyBorder="1" applyAlignment="1">
      <alignment vertical="center" wrapText="1"/>
    </xf>
    <xf numFmtId="0" fontId="30" fillId="4" borderId="0" xfId="15" applyFont="1" applyFill="1" applyBorder="1" applyAlignment="1">
      <alignment vertical="center" wrapText="1"/>
    </xf>
    <xf numFmtId="3" fontId="33" fillId="13" borderId="17" xfId="15" applyNumberFormat="1" applyFont="1" applyFill="1" applyBorder="1" applyAlignment="1">
      <alignment horizontal="center" vertical="center" wrapText="1"/>
    </xf>
    <xf numFmtId="0" fontId="30" fillId="20" borderId="25" xfId="15" applyFont="1" applyFill="1" applyBorder="1" applyAlignment="1">
      <alignment vertical="center" wrapText="1"/>
    </xf>
    <xf numFmtId="171" fontId="33" fillId="13" borderId="23" xfId="5" applyNumberFormat="1" applyFont="1" applyFill="1" applyBorder="1" applyAlignment="1">
      <alignment horizontal="center" vertical="center" wrapText="1"/>
    </xf>
    <xf numFmtId="171" fontId="30" fillId="0" borderId="12" xfId="5" applyNumberFormat="1" applyFont="1" applyFill="1" applyBorder="1" applyAlignment="1">
      <alignment vertical="center" wrapText="1"/>
    </xf>
    <xf numFmtId="171" fontId="58" fillId="13" borderId="17" xfId="5" applyNumberFormat="1" applyFont="1" applyFill="1" applyBorder="1" applyAlignment="1">
      <alignment horizontal="center" vertical="center" wrapText="1"/>
    </xf>
    <xf numFmtId="0" fontId="30" fillId="19" borderId="20" xfId="15" applyFont="1" applyFill="1" applyBorder="1" applyAlignment="1">
      <alignment vertical="center" wrapText="1"/>
    </xf>
    <xf numFmtId="3" fontId="33" fillId="19" borderId="20" xfId="15" applyNumberFormat="1" applyFont="1" applyFill="1" applyBorder="1" applyAlignment="1">
      <alignment horizontal="center" vertical="center" wrapText="1"/>
    </xf>
    <xf numFmtId="0" fontId="27" fillId="0" borderId="30" xfId="15" applyFont="1" applyFill="1" applyBorder="1" applyAlignment="1">
      <alignment vertical="center" wrapText="1"/>
    </xf>
    <xf numFmtId="0" fontId="27" fillId="0" borderId="31" xfId="15" applyFont="1" applyFill="1" applyBorder="1" applyAlignment="1">
      <alignment vertical="center" wrapText="1"/>
    </xf>
    <xf numFmtId="3" fontId="26" fillId="0" borderId="31" xfId="15" applyNumberFormat="1" applyFont="1" applyFill="1" applyBorder="1" applyAlignment="1">
      <alignment vertical="center" wrapText="1"/>
    </xf>
    <xf numFmtId="171" fontId="27" fillId="0" borderId="31" xfId="5" applyNumberFormat="1" applyFont="1" applyFill="1" applyBorder="1" applyAlignment="1">
      <alignment vertical="center" wrapText="1"/>
    </xf>
    <xf numFmtId="3" fontId="27" fillId="0" borderId="31" xfId="15" applyNumberFormat="1" applyFont="1" applyFill="1" applyBorder="1" applyAlignment="1">
      <alignment vertical="center" wrapText="1"/>
    </xf>
    <xf numFmtId="171" fontId="27" fillId="0" borderId="32" xfId="5" applyNumberFormat="1" applyFont="1" applyFill="1" applyBorder="1" applyAlignment="1">
      <alignment vertical="center" wrapText="1"/>
    </xf>
    <xf numFmtId="0" fontId="51" fillId="0" borderId="0" xfId="15" applyFont="1" applyBorder="1" applyAlignment="1">
      <alignment vertical="center" wrapText="1"/>
    </xf>
    <xf numFmtId="0" fontId="30" fillId="21" borderId="33" xfId="15" applyFont="1" applyFill="1" applyBorder="1" applyAlignment="1">
      <alignment horizontal="justify" vertical="center" wrapText="1"/>
    </xf>
    <xf numFmtId="0" fontId="60" fillId="0" borderId="10" xfId="0" applyFont="1" applyFill="1" applyBorder="1" applyAlignment="1">
      <alignment horizontal="center" vertical="center"/>
    </xf>
    <xf numFmtId="0" fontId="30" fillId="20" borderId="15" xfId="15" applyFont="1" applyFill="1" applyBorder="1" applyAlignment="1">
      <alignment horizontal="justify" vertical="center" wrapText="1"/>
    </xf>
    <xf numFmtId="0" fontId="49" fillId="20" borderId="10" xfId="15" applyFont="1" applyFill="1" applyBorder="1" applyAlignment="1">
      <alignment horizontal="center" vertical="center" wrapText="1"/>
    </xf>
    <xf numFmtId="0" fontId="49" fillId="20" borderId="20" xfId="15" applyFont="1" applyFill="1" applyBorder="1" applyAlignment="1">
      <alignment horizontal="center" vertical="center" wrapText="1"/>
    </xf>
    <xf numFmtId="3" fontId="30" fillId="0" borderId="27" xfId="15" applyNumberFormat="1" applyFont="1" applyFill="1" applyBorder="1" applyAlignment="1">
      <alignment horizontal="center" vertical="center" wrapText="1"/>
    </xf>
    <xf numFmtId="0" fontId="33" fillId="5" borderId="15" xfId="15" applyFont="1" applyFill="1" applyBorder="1" applyAlignment="1" applyProtection="1">
      <alignment horizontal="center" vertical="center" wrapText="1"/>
      <protection locked="0"/>
    </xf>
    <xf numFmtId="0" fontId="30" fillId="21" borderId="15" xfId="15" applyFont="1" applyFill="1" applyBorder="1" applyAlignment="1">
      <alignment horizontal="justify" vertical="center" wrapText="1"/>
    </xf>
    <xf numFmtId="0" fontId="30" fillId="0" borderId="25" xfId="15" applyFont="1" applyFill="1" applyBorder="1" applyAlignment="1">
      <alignment horizontal="center" vertical="center" wrapText="1"/>
    </xf>
    <xf numFmtId="3" fontId="33" fillId="19" borderId="20" xfId="15" applyNumberFormat="1" applyFont="1" applyFill="1" applyBorder="1" applyAlignment="1">
      <alignment vertical="center" wrapText="1"/>
    </xf>
    <xf numFmtId="0" fontId="33" fillId="13" borderId="17" xfId="15" applyFont="1" applyFill="1" applyBorder="1" applyAlignment="1" applyProtection="1">
      <alignment horizontal="center" vertical="center" wrapText="1"/>
      <protection locked="0"/>
    </xf>
    <xf numFmtId="0" fontId="33" fillId="22" borderId="17" xfId="15" applyFont="1" applyFill="1" applyBorder="1" applyAlignment="1" applyProtection="1">
      <alignment horizontal="center" vertical="center" wrapText="1"/>
      <protection locked="0"/>
    </xf>
    <xf numFmtId="0" fontId="33" fillId="5" borderId="33" xfId="15" applyFont="1" applyFill="1" applyBorder="1" applyAlignment="1">
      <alignment horizontal="center" vertical="center" wrapText="1"/>
    </xf>
    <xf numFmtId="3" fontId="33" fillId="14" borderId="26" xfId="15" applyNumberFormat="1" applyFont="1" applyFill="1" applyBorder="1" applyAlignment="1">
      <alignment vertical="center" wrapText="1"/>
    </xf>
    <xf numFmtId="171" fontId="33" fillId="14" borderId="26" xfId="15" applyNumberFormat="1" applyFont="1" applyFill="1" applyBorder="1" applyAlignment="1">
      <alignment vertical="center" wrapText="1"/>
    </xf>
    <xf numFmtId="3" fontId="30" fillId="0" borderId="0" xfId="15" applyNumberFormat="1" applyFont="1" applyFill="1" applyBorder="1" applyAlignment="1">
      <alignment horizontal="right" vertical="center" wrapText="1"/>
    </xf>
    <xf numFmtId="169" fontId="56" fillId="0" borderId="0" xfId="0" applyNumberFormat="1" applyFont="1" applyFill="1" applyBorder="1" applyAlignment="1">
      <alignment horizontal="center" vertical="center" wrapText="1"/>
    </xf>
    <xf numFmtId="171" fontId="30" fillId="0" borderId="0" xfId="5" applyNumberFormat="1" applyFont="1" applyFill="1" applyBorder="1" applyAlignment="1">
      <alignment vertical="center" wrapText="1"/>
    </xf>
    <xf numFmtId="0" fontId="30" fillId="18" borderId="26" xfId="15" applyFont="1" applyFill="1" applyBorder="1" applyAlignment="1">
      <alignment horizontal="center" vertical="center" wrapText="1"/>
    </xf>
    <xf numFmtId="3" fontId="30" fillId="18" borderId="10" xfId="15" applyNumberFormat="1" applyFont="1" applyFill="1" applyBorder="1" applyAlignment="1">
      <alignment horizontal="right" vertical="center" wrapText="1"/>
    </xf>
    <xf numFmtId="0" fontId="30" fillId="18" borderId="10" xfId="15" applyFont="1" applyFill="1" applyBorder="1" applyAlignment="1">
      <alignment horizontal="center" vertical="center" wrapText="1"/>
    </xf>
    <xf numFmtId="0" fontId="56" fillId="18" borderId="10" xfId="0" applyFont="1" applyFill="1" applyBorder="1" applyAlignment="1">
      <alignment horizontal="center" vertical="center"/>
    </xf>
    <xf numFmtId="0" fontId="49" fillId="18" borderId="10" xfId="15" applyFont="1" applyFill="1" applyBorder="1" applyAlignment="1">
      <alignment horizontal="center" vertical="center" wrapText="1"/>
    </xf>
    <xf numFmtId="3" fontId="30" fillId="18" borderId="26" xfId="15" applyNumberFormat="1" applyFont="1" applyFill="1" applyBorder="1" applyAlignment="1">
      <alignment horizontal="center" vertical="center" wrapText="1"/>
    </xf>
    <xf numFmtId="3" fontId="49" fillId="18" borderId="10" xfId="15" applyNumberFormat="1" applyFont="1" applyFill="1" applyBorder="1" applyAlignment="1">
      <alignment horizontal="center" vertical="center" wrapText="1"/>
    </xf>
    <xf numFmtId="3" fontId="30" fillId="18" borderId="10" xfId="15" applyNumberFormat="1" applyFont="1" applyFill="1" applyBorder="1" applyAlignment="1">
      <alignment horizontal="center" vertical="center" wrapText="1"/>
    </xf>
    <xf numFmtId="3" fontId="30" fillId="18" borderId="20" xfId="15" applyNumberFormat="1" applyFont="1" applyFill="1" applyBorder="1" applyAlignment="1">
      <alignment horizontal="center" vertical="center" wrapText="1"/>
    </xf>
    <xf numFmtId="0" fontId="30" fillId="18" borderId="10" xfId="15" applyFont="1" applyFill="1" applyBorder="1" applyAlignment="1">
      <alignment vertical="center" wrapText="1"/>
    </xf>
    <xf numFmtId="0" fontId="30" fillId="18" borderId="0" xfId="15" applyFont="1" applyFill="1" applyBorder="1" applyAlignment="1">
      <alignment vertical="center" wrapText="1"/>
    </xf>
    <xf numFmtId="3" fontId="56" fillId="18" borderId="10" xfId="0" applyNumberFormat="1" applyFont="1" applyFill="1" applyBorder="1" applyAlignment="1">
      <alignment horizontal="center" vertical="center"/>
    </xf>
    <xf numFmtId="0" fontId="33" fillId="13" borderId="34" xfId="15" applyFont="1" applyFill="1" applyBorder="1" applyAlignment="1">
      <alignment vertical="center" wrapText="1"/>
    </xf>
    <xf numFmtId="0" fontId="33" fillId="13" borderId="35" xfId="15" applyFont="1" applyFill="1" applyBorder="1" applyAlignment="1">
      <alignment vertical="center" wrapText="1"/>
    </xf>
    <xf numFmtId="3" fontId="33" fillId="18" borderId="10" xfId="15" applyNumberFormat="1" applyFont="1" applyFill="1" applyBorder="1" applyAlignment="1">
      <alignment horizontal="right" vertical="center" wrapText="1"/>
    </xf>
    <xf numFmtId="3" fontId="30" fillId="18" borderId="27" xfId="15" applyNumberFormat="1" applyFont="1" applyFill="1" applyBorder="1" applyAlignment="1">
      <alignment horizontal="center" vertical="center" wrapText="1"/>
    </xf>
    <xf numFmtId="0" fontId="30" fillId="0" borderId="18" xfId="15" applyFont="1" applyFill="1" applyBorder="1" applyAlignment="1">
      <alignment horizontal="center" vertical="center" wrapText="1"/>
    </xf>
    <xf numFmtId="3" fontId="30" fillId="20" borderId="27" xfId="15" applyNumberFormat="1" applyFont="1" applyFill="1" applyBorder="1" applyAlignment="1">
      <alignment horizontal="center" vertical="center" wrapText="1"/>
    </xf>
    <xf numFmtId="3" fontId="33" fillId="18" borderId="20" xfId="15" applyNumberFormat="1" applyFont="1" applyFill="1" applyBorder="1" applyAlignment="1">
      <alignment horizontal="center" vertical="center" wrapText="1"/>
    </xf>
    <xf numFmtId="3" fontId="30" fillId="18" borderId="10" xfId="0" applyNumberFormat="1" applyFont="1" applyFill="1" applyBorder="1" applyAlignment="1">
      <alignment horizontal="center" vertical="center" wrapText="1"/>
    </xf>
    <xf numFmtId="3" fontId="33" fillId="18" borderId="10" xfId="15" applyNumberFormat="1" applyFont="1" applyFill="1" applyBorder="1" applyAlignment="1">
      <alignment horizontal="center" vertical="center" wrapText="1"/>
    </xf>
    <xf numFmtId="0" fontId="30" fillId="0" borderId="27" xfId="15" applyFont="1" applyFill="1" applyBorder="1" applyAlignment="1">
      <alignment horizontal="center" vertical="center" wrapText="1"/>
    </xf>
    <xf numFmtId="0" fontId="56" fillId="20" borderId="10" xfId="0" applyFont="1" applyFill="1" applyBorder="1" applyAlignment="1">
      <alignment horizontal="center" vertical="center" wrapText="1"/>
    </xf>
    <xf numFmtId="3" fontId="30" fillId="0" borderId="10" xfId="15" applyNumberFormat="1" applyFont="1" applyFill="1" applyBorder="1" applyAlignment="1">
      <alignment vertical="center" wrapText="1"/>
    </xf>
    <xf numFmtId="3" fontId="33" fillId="14" borderId="35" xfId="15" applyNumberFormat="1" applyFont="1" applyFill="1" applyBorder="1" applyAlignment="1">
      <alignment horizontal="right" vertical="center" wrapText="1"/>
    </xf>
    <xf numFmtId="0" fontId="33" fillId="4" borderId="37" xfId="15" applyFont="1" applyFill="1" applyBorder="1" applyAlignment="1">
      <alignment horizontal="justify" vertical="center" wrapText="1"/>
    </xf>
    <xf numFmtId="0" fontId="33" fillId="4" borderId="15" xfId="15" applyFont="1" applyFill="1" applyBorder="1" applyAlignment="1">
      <alignment horizontal="justify" vertical="center" wrapText="1"/>
    </xf>
    <xf numFmtId="3" fontId="30" fillId="18" borderId="24" xfId="15" applyNumberFormat="1" applyFont="1" applyFill="1" applyBorder="1" applyAlignment="1">
      <alignment horizontal="center" vertical="center" wrapText="1"/>
    </xf>
    <xf numFmtId="0" fontId="33" fillId="20" borderId="15" xfId="15" applyFont="1" applyFill="1" applyBorder="1" applyAlignment="1">
      <alignment horizontal="justify" vertical="center" wrapText="1"/>
    </xf>
    <xf numFmtId="0" fontId="33" fillId="4" borderId="19" xfId="15" applyFont="1" applyFill="1" applyBorder="1" applyAlignment="1">
      <alignment horizontal="justify" vertical="center" wrapText="1"/>
    </xf>
    <xf numFmtId="0" fontId="33" fillId="19" borderId="15" xfId="15" applyFont="1" applyFill="1" applyBorder="1" applyAlignment="1">
      <alignment horizontal="justify" vertical="center" wrapText="1"/>
    </xf>
    <xf numFmtId="3" fontId="30" fillId="0" borderId="26" xfId="15" applyNumberFormat="1" applyFont="1" applyFill="1" applyBorder="1" applyAlignment="1">
      <alignment horizontal="center" vertical="center" wrapText="1"/>
    </xf>
    <xf numFmtId="3" fontId="30" fillId="0" borderId="18" xfId="15" applyNumberFormat="1" applyFont="1" applyFill="1" applyBorder="1" applyAlignment="1">
      <alignment horizontal="center" vertical="center" wrapText="1"/>
    </xf>
    <xf numFmtId="3" fontId="33" fillId="19" borderId="10" xfId="15" applyNumberFormat="1" applyFont="1" applyFill="1" applyBorder="1" applyAlignment="1">
      <alignment horizontal="center" vertical="center" wrapText="1"/>
    </xf>
    <xf numFmtId="171" fontId="33" fillId="14" borderId="26" xfId="15" applyNumberFormat="1" applyFont="1" applyFill="1" applyBorder="1" applyAlignment="1">
      <alignment horizontal="center" vertical="center" wrapText="1"/>
    </xf>
    <xf numFmtId="0" fontId="27" fillId="0" borderId="31" xfId="15" applyFont="1" applyFill="1" applyBorder="1" applyAlignment="1">
      <alignment horizontal="center" vertical="center" wrapText="1"/>
    </xf>
    <xf numFmtId="0" fontId="33" fillId="4" borderId="26" xfId="15" applyFont="1" applyFill="1" applyBorder="1" applyAlignment="1">
      <alignment horizontal="justify" vertical="center" wrapText="1"/>
    </xf>
    <xf numFmtId="3" fontId="30" fillId="4" borderId="26" xfId="15" applyNumberFormat="1" applyFont="1" applyFill="1" applyBorder="1" applyAlignment="1">
      <alignment horizontal="left" vertical="center" wrapText="1"/>
    </xf>
    <xf numFmtId="3" fontId="33" fillId="19" borderId="26" xfId="15" applyNumberFormat="1" applyFont="1" applyFill="1" applyBorder="1" applyAlignment="1">
      <alignment horizontal="right" vertical="center" wrapText="1"/>
    </xf>
    <xf numFmtId="3" fontId="33" fillId="19" borderId="26" xfId="15" applyNumberFormat="1" applyFont="1" applyFill="1" applyBorder="1" applyAlignment="1">
      <alignment horizontal="center" vertical="center" wrapText="1"/>
    </xf>
    <xf numFmtId="0" fontId="33" fillId="14" borderId="39" xfId="15" applyFont="1" applyFill="1" applyBorder="1" applyAlignment="1">
      <alignment horizontal="center" vertical="center" wrapText="1"/>
    </xf>
    <xf numFmtId="168" fontId="29" fillId="5" borderId="39" xfId="2" applyNumberFormat="1" applyFont="1" applyFill="1" applyBorder="1" applyAlignment="1">
      <alignment horizontal="center" vertical="center" wrapText="1"/>
    </xf>
    <xf numFmtId="0" fontId="30" fillId="20" borderId="15" xfId="0" applyFont="1" applyFill="1" applyBorder="1" applyAlignment="1">
      <alignment horizontal="justify" vertical="center" wrapText="1"/>
    </xf>
    <xf numFmtId="0" fontId="30" fillId="23" borderId="15" xfId="0" applyFont="1" applyFill="1" applyBorder="1" applyAlignment="1">
      <alignment horizontal="justify" vertical="center" wrapText="1"/>
    </xf>
    <xf numFmtId="0" fontId="30" fillId="24" borderId="15" xfId="0" applyFont="1" applyFill="1" applyBorder="1" applyAlignment="1">
      <alignment horizontal="justify" vertical="center" wrapText="1"/>
    </xf>
    <xf numFmtId="0" fontId="30" fillId="21" borderId="15" xfId="0" applyFont="1" applyFill="1" applyBorder="1" applyAlignment="1">
      <alignment horizontal="justify" vertical="center" wrapText="1"/>
    </xf>
    <xf numFmtId="0" fontId="33" fillId="20" borderId="15" xfId="0" applyFont="1" applyFill="1" applyBorder="1" applyAlignment="1">
      <alignment horizontal="justify" vertical="center" wrapText="1"/>
    </xf>
    <xf numFmtId="0" fontId="30" fillId="0" borderId="15" xfId="0" applyFont="1" applyFill="1" applyBorder="1" applyAlignment="1">
      <alignment horizontal="justify" vertical="center" wrapText="1"/>
    </xf>
    <xf numFmtId="0" fontId="33" fillId="0" borderId="15" xfId="0" applyFont="1" applyFill="1" applyBorder="1" applyAlignment="1">
      <alignment horizontal="justify" vertical="center" wrapText="1"/>
    </xf>
    <xf numFmtId="171" fontId="30" fillId="21" borderId="15" xfId="2" applyNumberFormat="1" applyFont="1" applyFill="1" applyBorder="1" applyAlignment="1">
      <alignment horizontal="justify" vertical="center" wrapText="1"/>
    </xf>
    <xf numFmtId="3" fontId="9" fillId="25" borderId="10" xfId="0" applyNumberFormat="1" applyFont="1" applyFill="1" applyBorder="1" applyAlignment="1">
      <alignment horizontal="center" vertical="center" wrapText="1"/>
    </xf>
    <xf numFmtId="3" fontId="10" fillId="25" borderId="10" xfId="0" applyNumberFormat="1" applyFont="1" applyFill="1" applyBorder="1" applyAlignment="1">
      <alignment horizontal="center" vertical="center" wrapText="1"/>
    </xf>
    <xf numFmtId="0" fontId="9" fillId="0" borderId="20" xfId="0" applyFont="1" applyFill="1" applyBorder="1" applyAlignment="1">
      <alignment horizontal="center" vertical="top" wrapText="1"/>
    </xf>
    <xf numFmtId="0" fontId="24" fillId="2" borderId="0" xfId="0" applyFont="1" applyFill="1" applyAlignment="1">
      <alignment horizontal="center" vertical="center" wrapText="1"/>
    </xf>
    <xf numFmtId="3" fontId="30" fillId="26" borderId="10" xfId="15" applyNumberFormat="1" applyFont="1" applyFill="1" applyBorder="1" applyAlignment="1">
      <alignment horizontal="right" vertical="center" wrapText="1"/>
    </xf>
    <xf numFmtId="3" fontId="30" fillId="26" borderId="10" xfId="15" applyNumberFormat="1" applyFont="1" applyFill="1" applyBorder="1" applyAlignment="1">
      <alignment horizontal="center" vertical="center" wrapText="1"/>
    </xf>
    <xf numFmtId="0" fontId="27" fillId="26" borderId="0" xfId="15" applyFont="1" applyFill="1" applyAlignment="1">
      <alignment vertical="center" wrapText="1"/>
    </xf>
    <xf numFmtId="169" fontId="30" fillId="0" borderId="41" xfId="15" applyNumberFormat="1" applyFont="1" applyFill="1" applyBorder="1" applyAlignment="1">
      <alignment horizontal="center" vertical="center" wrapText="1"/>
    </xf>
    <xf numFmtId="169" fontId="30" fillId="0" borderId="18" xfId="15" applyNumberFormat="1" applyFont="1" applyFill="1" applyBorder="1" applyAlignment="1">
      <alignment horizontal="center" vertical="center" wrapText="1"/>
    </xf>
    <xf numFmtId="169" fontId="30" fillId="0" borderId="10" xfId="15" applyNumberFormat="1" applyFont="1" applyFill="1" applyBorder="1" applyAlignment="1">
      <alignment horizontal="center" vertical="center" wrapText="1"/>
    </xf>
    <xf numFmtId="169" fontId="33" fillId="19" borderId="26" xfId="15" applyNumberFormat="1" applyFont="1" applyFill="1" applyBorder="1" applyAlignment="1">
      <alignment horizontal="center" vertical="center" wrapText="1"/>
    </xf>
    <xf numFmtId="169" fontId="30" fillId="0" borderId="27" xfId="15" applyNumberFormat="1" applyFont="1" applyFill="1" applyBorder="1" applyAlignment="1">
      <alignment horizontal="center" vertical="center" wrapText="1"/>
    </xf>
    <xf numFmtId="3" fontId="30" fillId="0" borderId="12" xfId="5" applyNumberFormat="1" applyFont="1" applyFill="1" applyBorder="1" applyAlignment="1">
      <alignment vertical="center" wrapText="1"/>
    </xf>
    <xf numFmtId="171" fontId="49" fillId="0" borderId="26" xfId="15" applyNumberFormat="1" applyFont="1" applyFill="1" applyBorder="1" applyAlignment="1">
      <alignment horizontal="right" vertical="center" wrapText="1"/>
    </xf>
    <xf numFmtId="174" fontId="33" fillId="4" borderId="26" xfId="2" applyNumberFormat="1" applyFont="1" applyFill="1" applyBorder="1" applyAlignment="1">
      <alignment horizontal="right" vertical="center" wrapText="1"/>
    </xf>
    <xf numFmtId="3" fontId="9" fillId="11" borderId="18" xfId="0" applyNumberFormat="1" applyFont="1" applyFill="1" applyBorder="1" applyAlignment="1">
      <alignment vertical="center" wrapText="1"/>
    </xf>
    <xf numFmtId="3" fontId="10" fillId="4" borderId="18" xfId="0" applyNumberFormat="1" applyFont="1" applyFill="1" applyBorder="1" applyAlignment="1">
      <alignment vertical="center" wrapText="1"/>
    </xf>
    <xf numFmtId="3" fontId="10" fillId="0" borderId="10" xfId="0" applyNumberFormat="1" applyFont="1" applyFill="1" applyBorder="1" applyAlignment="1">
      <alignment horizontal="center" vertical="center" wrapText="1"/>
    </xf>
    <xf numFmtId="0" fontId="10" fillId="21" borderId="15" xfId="15" applyFont="1" applyFill="1" applyBorder="1" applyAlignment="1">
      <alignment horizontal="justify" vertical="center" wrapText="1"/>
    </xf>
    <xf numFmtId="0" fontId="10" fillId="0" borderId="10" xfId="15" applyFont="1" applyFill="1" applyBorder="1" applyAlignment="1">
      <alignment horizontal="center" vertical="center" wrapText="1"/>
    </xf>
    <xf numFmtId="3" fontId="10" fillId="0" borderId="10" xfId="15" applyNumberFormat="1" applyFont="1" applyFill="1" applyBorder="1" applyAlignment="1">
      <alignment horizontal="center" vertical="center" wrapText="1"/>
    </xf>
    <xf numFmtId="3" fontId="10" fillId="0" borderId="10" xfId="0" applyNumberFormat="1" applyFont="1" applyFill="1" applyBorder="1" applyAlignment="1">
      <alignment horizontal="right" vertical="center" wrapText="1"/>
    </xf>
    <xf numFmtId="4" fontId="10" fillId="0" borderId="10" xfId="0" applyNumberFormat="1" applyFont="1" applyFill="1" applyBorder="1" applyAlignment="1">
      <alignment horizontal="center" vertical="center" wrapText="1"/>
    </xf>
    <xf numFmtId="0" fontId="10" fillId="20" borderId="15" xfId="0" applyFont="1" applyFill="1" applyBorder="1" applyAlignment="1">
      <alignment horizontal="justify" vertical="center" wrapText="1"/>
    </xf>
    <xf numFmtId="0" fontId="62" fillId="0" borderId="10" xfId="0" applyFont="1" applyFill="1" applyBorder="1" applyAlignment="1">
      <alignment horizontal="center" vertical="center"/>
    </xf>
    <xf numFmtId="0" fontId="10" fillId="23" borderId="15" xfId="0" applyFont="1" applyFill="1" applyBorder="1" applyAlignment="1">
      <alignment horizontal="justify" vertical="center" wrapText="1"/>
    </xf>
    <xf numFmtId="0" fontId="10" fillId="21" borderId="15" xfId="0" applyFont="1" applyFill="1" applyBorder="1" applyAlignment="1">
      <alignment horizontal="justify" vertical="center" wrapText="1"/>
    </xf>
    <xf numFmtId="0" fontId="53" fillId="0" borderId="10" xfId="15" applyFont="1" applyFill="1" applyBorder="1" applyAlignment="1">
      <alignment horizontal="center" vertical="center" wrapText="1"/>
    </xf>
    <xf numFmtId="0" fontId="9" fillId="0" borderId="15" xfId="15" applyFont="1" applyFill="1" applyBorder="1" applyAlignment="1">
      <alignment horizontal="justify" vertical="center" wrapText="1"/>
    </xf>
    <xf numFmtId="3" fontId="10" fillId="25" borderId="10" xfId="15" applyNumberFormat="1" applyFont="1" applyFill="1" applyBorder="1" applyAlignment="1">
      <alignment horizontal="center" vertical="center" wrapText="1"/>
    </xf>
    <xf numFmtId="0" fontId="10" fillId="20" borderId="15" xfId="15" applyFont="1" applyFill="1" applyBorder="1" applyAlignment="1">
      <alignment horizontal="justify" vertical="center" wrapText="1"/>
    </xf>
    <xf numFmtId="0" fontId="53" fillId="0" borderId="10" xfId="15" applyFont="1" applyBorder="1" applyAlignment="1">
      <alignment horizontal="center" vertical="center" wrapText="1"/>
    </xf>
    <xf numFmtId="0" fontId="9" fillId="20" borderId="15" xfId="15" applyFont="1" applyFill="1" applyBorder="1" applyAlignment="1">
      <alignment horizontal="justify" vertical="center" wrapText="1"/>
    </xf>
    <xf numFmtId="0" fontId="10" fillId="20" borderId="10" xfId="15" applyFont="1" applyFill="1" applyBorder="1" applyAlignment="1">
      <alignment horizontal="center" vertical="center" wrapText="1"/>
    </xf>
    <xf numFmtId="0" fontId="53" fillId="20" borderId="10" xfId="15" applyFont="1" applyFill="1" applyBorder="1" applyAlignment="1">
      <alignment horizontal="center" vertical="center" wrapText="1"/>
    </xf>
    <xf numFmtId="168" fontId="9" fillId="25" borderId="10" xfId="2" applyNumberFormat="1" applyFont="1" applyFill="1" applyBorder="1" applyAlignment="1">
      <alignment horizontal="center" vertical="center" wrapText="1"/>
    </xf>
    <xf numFmtId="3" fontId="9" fillId="25" borderId="10" xfId="15" applyNumberFormat="1" applyFont="1" applyFill="1" applyBorder="1" applyAlignment="1">
      <alignment horizontal="center" vertical="center" wrapText="1"/>
    </xf>
    <xf numFmtId="3" fontId="10" fillId="14" borderId="10" xfId="0" applyNumberFormat="1" applyFont="1" applyFill="1" applyBorder="1" applyAlignment="1">
      <alignment horizontal="center" vertical="center" wrapText="1"/>
    </xf>
    <xf numFmtId="3" fontId="10" fillId="14" borderId="10" xfId="15" applyNumberFormat="1" applyFont="1" applyFill="1" applyBorder="1" applyAlignment="1">
      <alignment horizontal="center" vertical="center" wrapText="1"/>
    </xf>
    <xf numFmtId="3" fontId="9" fillId="14" borderId="10" xfId="0" applyNumberFormat="1" applyFont="1" applyFill="1" applyBorder="1" applyAlignment="1">
      <alignment horizontal="center" vertical="center" wrapText="1"/>
    </xf>
    <xf numFmtId="0" fontId="9" fillId="25" borderId="10" xfId="0" applyFont="1" applyFill="1" applyBorder="1" applyAlignment="1">
      <alignment horizontal="center" vertical="center" wrapText="1"/>
    </xf>
    <xf numFmtId="3" fontId="53" fillId="0" borderId="10" xfId="15" applyNumberFormat="1" applyFont="1" applyFill="1" applyBorder="1" applyAlignment="1">
      <alignment horizontal="center" vertical="center" wrapText="1"/>
    </xf>
    <xf numFmtId="0" fontId="9" fillId="20" borderId="15" xfId="0" applyFont="1" applyFill="1" applyBorder="1" applyAlignment="1">
      <alignment horizontal="justify" vertical="center" wrapText="1"/>
    </xf>
    <xf numFmtId="169" fontId="10" fillId="0" borderId="10" xfId="0" applyNumberFormat="1" applyFont="1" applyFill="1" applyBorder="1" applyAlignment="1">
      <alignment horizontal="center" vertical="center" wrapText="1"/>
    </xf>
    <xf numFmtId="0" fontId="10" fillId="0" borderId="15" xfId="0" applyFont="1" applyFill="1" applyBorder="1" applyAlignment="1">
      <alignment horizontal="justify" vertical="center" wrapText="1"/>
    </xf>
    <xf numFmtId="0" fontId="10" fillId="21" borderId="15" xfId="0" applyFont="1" applyFill="1" applyBorder="1" applyAlignment="1">
      <alignment horizontal="justify" vertical="center"/>
    </xf>
    <xf numFmtId="0" fontId="10" fillId="21" borderId="33" xfId="15" applyFont="1" applyFill="1" applyBorder="1" applyAlignment="1">
      <alignment horizontal="justify" vertical="center" wrapText="1"/>
    </xf>
    <xf numFmtId="3" fontId="10" fillId="0" borderId="24" xfId="15" applyNumberFormat="1" applyFont="1" applyFill="1" applyBorder="1" applyAlignment="1">
      <alignment horizontal="right" vertical="center" wrapText="1"/>
    </xf>
    <xf numFmtId="0" fontId="10" fillId="20" borderId="10" xfId="0" applyFont="1" applyFill="1" applyBorder="1" applyAlignment="1">
      <alignment horizontal="justify" vertical="center" wrapText="1"/>
    </xf>
    <xf numFmtId="0" fontId="10" fillId="23" borderId="10" xfId="0" applyFont="1" applyFill="1" applyBorder="1" applyAlignment="1">
      <alignment horizontal="justify" vertical="center" wrapText="1"/>
    </xf>
    <xf numFmtId="0" fontId="10" fillId="24" borderId="10" xfId="0" applyFont="1" applyFill="1" applyBorder="1" applyAlignment="1">
      <alignment horizontal="justify" vertical="center" wrapText="1"/>
    </xf>
    <xf numFmtId="0" fontId="10" fillId="21" borderId="10" xfId="0" applyFont="1" applyFill="1" applyBorder="1" applyAlignment="1">
      <alignment horizontal="justify" vertical="center" wrapText="1"/>
    </xf>
    <xf numFmtId="0" fontId="10" fillId="21" borderId="10" xfId="15" applyFont="1" applyFill="1" applyBorder="1" applyAlignment="1">
      <alignment horizontal="justify" vertical="center" wrapText="1"/>
    </xf>
    <xf numFmtId="0" fontId="10" fillId="0" borderId="15" xfId="15" applyFont="1" applyFill="1" applyBorder="1" applyAlignment="1">
      <alignment horizontal="justify" vertical="center" wrapText="1"/>
    </xf>
    <xf numFmtId="4" fontId="10" fillId="0" borderId="10" xfId="0" applyNumberFormat="1" applyFont="1" applyFill="1" applyBorder="1" applyAlignment="1">
      <alignment horizontal="right" vertical="center" wrapText="1"/>
    </xf>
    <xf numFmtId="169" fontId="9" fillId="0" borderId="10" xfId="0" applyNumberFormat="1" applyFont="1" applyFill="1" applyBorder="1" applyAlignment="1">
      <alignment horizontal="right" vertical="center" wrapText="1"/>
    </xf>
    <xf numFmtId="9" fontId="9" fillId="0" borderId="10" xfId="0" applyNumberFormat="1" applyFont="1" applyFill="1" applyBorder="1" applyAlignment="1">
      <alignment horizontal="right" vertical="center" wrapText="1"/>
    </xf>
    <xf numFmtId="3" fontId="10" fillId="0" borderId="10" xfId="15" applyNumberFormat="1" applyFont="1" applyFill="1" applyBorder="1" applyAlignment="1">
      <alignment horizontal="right" vertical="center" wrapText="1"/>
    </xf>
    <xf numFmtId="0" fontId="9" fillId="0" borderId="10" xfId="15" applyFont="1" applyFill="1" applyBorder="1" applyAlignment="1">
      <alignment vertical="center" wrapText="1"/>
    </xf>
    <xf numFmtId="3" fontId="9" fillId="0" borderId="10" xfId="15" applyNumberFormat="1" applyFont="1" applyFill="1" applyBorder="1" applyAlignment="1">
      <alignment horizontal="center" vertical="center" wrapText="1"/>
    </xf>
    <xf numFmtId="0" fontId="10" fillId="13" borderId="42" xfId="0" applyFont="1" applyFill="1" applyBorder="1" applyAlignment="1">
      <alignment vertical="center" wrapText="1"/>
    </xf>
    <xf numFmtId="3" fontId="10" fillId="0" borderId="0" xfId="0" applyNumberFormat="1" applyFont="1"/>
    <xf numFmtId="0" fontId="10" fillId="0" borderId="0" xfId="0" applyFont="1"/>
    <xf numFmtId="0" fontId="10" fillId="13" borderId="4" xfId="0" applyFont="1" applyFill="1" applyBorder="1" applyAlignment="1">
      <alignment vertical="center" wrapText="1"/>
    </xf>
    <xf numFmtId="0" fontId="10" fillId="13" borderId="5" xfId="0" applyFont="1" applyFill="1" applyBorder="1" applyAlignment="1">
      <alignment vertical="center" wrapText="1"/>
    </xf>
    <xf numFmtId="0" fontId="10" fillId="0" borderId="15" xfId="0" applyFont="1" applyBorder="1"/>
    <xf numFmtId="0" fontId="10" fillId="8" borderId="19" xfId="0" applyFont="1" applyFill="1" applyBorder="1" applyAlignment="1">
      <alignment vertical="center" wrapText="1"/>
    </xf>
    <xf numFmtId="3" fontId="10" fillId="8" borderId="0" xfId="0" applyNumberFormat="1" applyFont="1" applyFill="1" applyAlignment="1">
      <alignment vertical="center" wrapText="1"/>
    </xf>
    <xf numFmtId="0" fontId="10" fillId="8" borderId="0" xfId="0" applyFont="1" applyFill="1" applyAlignment="1">
      <alignment vertical="center" wrapText="1"/>
    </xf>
    <xf numFmtId="0" fontId="10" fillId="0" borderId="0" xfId="0" applyFont="1" applyFill="1" applyAlignment="1">
      <alignment horizontal="center" vertical="center" wrapText="1"/>
    </xf>
    <xf numFmtId="3" fontId="9" fillId="13" borderId="17" xfId="0" applyNumberFormat="1" applyFont="1" applyFill="1" applyBorder="1" applyAlignment="1">
      <alignment horizontal="center" vertical="center" wrapText="1"/>
    </xf>
    <xf numFmtId="4" fontId="9" fillId="22" borderId="17" xfId="0" applyNumberFormat="1" applyFont="1" applyFill="1" applyBorder="1" applyAlignment="1">
      <alignment horizontal="center" vertical="center" wrapText="1"/>
    </xf>
    <xf numFmtId="4" fontId="9" fillId="13" borderId="23" xfId="0" applyNumberFormat="1" applyFont="1" applyFill="1" applyBorder="1" applyAlignment="1">
      <alignment horizontal="center" vertical="center" wrapText="1"/>
    </xf>
    <xf numFmtId="3" fontId="10" fillId="0" borderId="0" xfId="0" applyNumberFormat="1" applyFont="1" applyFill="1" applyAlignment="1">
      <alignment vertical="center" wrapText="1"/>
    </xf>
    <xf numFmtId="0" fontId="9" fillId="0" borderId="24" xfId="0" applyFont="1" applyFill="1" applyBorder="1" applyAlignment="1">
      <alignment horizontal="center" vertical="top" wrapText="1"/>
    </xf>
    <xf numFmtId="3" fontId="10" fillId="11" borderId="0" xfId="0" applyNumberFormat="1" applyFont="1" applyFill="1" applyAlignment="1">
      <alignment vertical="center" wrapText="1"/>
    </xf>
    <xf numFmtId="3" fontId="10" fillId="12" borderId="0" xfId="0" applyNumberFormat="1" applyFont="1" applyFill="1" applyAlignment="1">
      <alignment vertical="center" wrapText="1"/>
    </xf>
    <xf numFmtId="3" fontId="9" fillId="13" borderId="10" xfId="0" applyNumberFormat="1" applyFont="1" applyFill="1" applyBorder="1" applyAlignment="1">
      <alignment horizontal="center" vertical="center" wrapText="1"/>
    </xf>
    <xf numFmtId="4" fontId="9" fillId="22" borderId="10" xfId="0" applyNumberFormat="1" applyFont="1" applyFill="1" applyBorder="1" applyAlignment="1">
      <alignment horizontal="center" vertical="center" wrapText="1"/>
    </xf>
    <xf numFmtId="3" fontId="10" fillId="0" borderId="27" xfId="15" applyNumberFormat="1" applyFont="1" applyFill="1" applyBorder="1" applyAlignment="1">
      <alignment horizontal="right" vertical="center" wrapText="1"/>
    </xf>
    <xf numFmtId="3" fontId="9" fillId="0" borderId="10" xfId="0" applyNumberFormat="1" applyFont="1" applyFill="1" applyBorder="1" applyAlignment="1">
      <alignment horizontal="right" vertical="center" wrapText="1"/>
    </xf>
    <xf numFmtId="0" fontId="9" fillId="20" borderId="27" xfId="0" applyFont="1" applyFill="1" applyBorder="1" applyAlignment="1">
      <alignment horizontal="justify" vertical="center" wrapText="1"/>
    </xf>
    <xf numFmtId="3" fontId="10" fillId="0" borderId="20" xfId="15" applyNumberFormat="1" applyFont="1" applyFill="1" applyBorder="1" applyAlignment="1">
      <alignment horizontal="right" vertical="center" wrapText="1"/>
    </xf>
    <xf numFmtId="3" fontId="10" fillId="0" borderId="24" xfId="15" applyNumberFormat="1" applyFont="1" applyFill="1" applyBorder="1" applyAlignment="1">
      <alignment horizontal="center" vertical="center" wrapText="1"/>
    </xf>
    <xf numFmtId="3" fontId="10" fillId="0" borderId="26" xfId="15" applyNumberFormat="1" applyFont="1" applyFill="1" applyBorder="1" applyAlignment="1">
      <alignment horizontal="right" vertical="center" wrapText="1"/>
    </xf>
    <xf numFmtId="0" fontId="9" fillId="20" borderId="10" xfId="0" applyFont="1" applyFill="1" applyBorder="1" applyAlignment="1">
      <alignment horizontal="justify" vertical="center" wrapText="1"/>
    </xf>
    <xf numFmtId="3" fontId="63" fillId="0" borderId="10" xfId="0" applyNumberFormat="1" applyFont="1" applyFill="1" applyBorder="1" applyAlignment="1">
      <alignment horizontal="right" vertical="center" wrapText="1"/>
    </xf>
    <xf numFmtId="3" fontId="64" fillId="0" borderId="10" xfId="0" applyNumberFormat="1" applyFont="1" applyFill="1" applyBorder="1" applyAlignment="1">
      <alignment horizontal="right" vertical="center" wrapText="1"/>
    </xf>
    <xf numFmtId="0" fontId="10" fillId="0" borderId="10"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10" fillId="0" borderId="26" xfId="0" applyFont="1" applyFill="1" applyBorder="1"/>
    <xf numFmtId="0" fontId="10" fillId="20" borderId="10" xfId="15" applyFont="1" applyFill="1" applyBorder="1" applyAlignment="1">
      <alignment horizontal="justify" vertical="center" wrapText="1"/>
    </xf>
    <xf numFmtId="0" fontId="9" fillId="0" borderId="10" xfId="15" applyFont="1" applyFill="1" applyBorder="1" applyAlignment="1">
      <alignment horizontal="justify" vertical="center" wrapText="1"/>
    </xf>
    <xf numFmtId="3" fontId="9" fillId="22" borderId="10" xfId="0" applyNumberFormat="1" applyFont="1" applyFill="1" applyBorder="1" applyAlignment="1">
      <alignment horizontal="center" vertical="center" wrapText="1"/>
    </xf>
    <xf numFmtId="3" fontId="9" fillId="13" borderId="12" xfId="0" applyNumberFormat="1" applyFont="1" applyFill="1" applyBorder="1" applyAlignment="1">
      <alignment horizontal="center" vertical="center" wrapText="1"/>
    </xf>
    <xf numFmtId="0" fontId="9" fillId="20" borderId="10" xfId="15" applyFont="1" applyFill="1" applyBorder="1" applyAlignment="1">
      <alignment horizontal="justify" vertical="center" wrapText="1"/>
    </xf>
    <xf numFmtId="171" fontId="10" fillId="21" borderId="10" xfId="2" applyNumberFormat="1" applyFont="1" applyFill="1" applyBorder="1" applyAlignment="1">
      <alignment horizontal="justify" vertical="center" wrapText="1"/>
    </xf>
    <xf numFmtId="3" fontId="9" fillId="0" borderId="10" xfId="15" applyNumberFormat="1" applyFont="1" applyFill="1" applyBorder="1" applyAlignment="1">
      <alignment horizontal="right" vertical="center" wrapText="1"/>
    </xf>
    <xf numFmtId="0" fontId="9" fillId="22" borderId="10" xfId="0" applyFont="1" applyFill="1" applyBorder="1" applyAlignment="1">
      <alignment horizontal="left" vertical="center" wrapText="1"/>
    </xf>
    <xf numFmtId="3" fontId="9" fillId="0" borderId="0" xfId="0" applyNumberFormat="1" applyFont="1" applyFill="1" applyBorder="1" applyAlignment="1">
      <alignment vertical="center" wrapText="1"/>
    </xf>
    <xf numFmtId="0" fontId="10" fillId="0" borderId="10" xfId="0" applyFont="1" applyFill="1" applyBorder="1" applyAlignment="1">
      <alignment vertical="center" wrapText="1"/>
    </xf>
    <xf numFmtId="9" fontId="9" fillId="0" borderId="18" xfId="23" applyFont="1" applyFill="1" applyBorder="1" applyAlignment="1">
      <alignment horizontal="right" vertical="center" wrapText="1"/>
    </xf>
    <xf numFmtId="0" fontId="10" fillId="0" borderId="0" xfId="0" applyFont="1" applyFill="1"/>
    <xf numFmtId="3" fontId="33" fillId="14" borderId="26" xfId="15" applyNumberFormat="1" applyFont="1" applyFill="1" applyBorder="1" applyAlignment="1">
      <alignment horizontal="right" vertical="center" wrapText="1"/>
    </xf>
    <xf numFmtId="3" fontId="33" fillId="14" borderId="20" xfId="15" applyNumberFormat="1" applyFont="1" applyFill="1" applyBorder="1" applyAlignment="1">
      <alignment horizontal="right" vertical="center" wrapText="1"/>
    </xf>
    <xf numFmtId="3" fontId="33" fillId="14" borderId="0" xfId="15" applyNumberFormat="1" applyFont="1" applyFill="1" applyBorder="1" applyAlignment="1">
      <alignment vertical="center" wrapText="1"/>
    </xf>
    <xf numFmtId="0" fontId="28" fillId="0" borderId="0" xfId="15" applyFont="1" applyBorder="1" applyAlignment="1">
      <alignment vertical="center" wrapText="1"/>
    </xf>
    <xf numFmtId="0" fontId="28" fillId="0" borderId="0" xfId="15" applyFont="1" applyFill="1" applyAlignment="1">
      <alignment vertical="center" wrapText="1"/>
    </xf>
    <xf numFmtId="0" fontId="28" fillId="0" borderId="0" xfId="15" applyFont="1" applyFill="1" applyAlignment="1">
      <alignment horizontal="center" vertical="center" wrapText="1"/>
    </xf>
    <xf numFmtId="3" fontId="28" fillId="0" borderId="0" xfId="15" applyNumberFormat="1" applyFont="1" applyFill="1" applyAlignment="1">
      <alignment vertical="center" wrapText="1"/>
    </xf>
    <xf numFmtId="37" fontId="28" fillId="0" borderId="0" xfId="15" applyNumberFormat="1" applyFont="1" applyFill="1" applyAlignment="1">
      <alignment vertical="center" wrapText="1"/>
    </xf>
    <xf numFmtId="3" fontId="28" fillId="0" borderId="0" xfId="15" applyNumberFormat="1" applyFont="1" applyFill="1" applyBorder="1" applyAlignment="1">
      <alignment horizontal="right" vertical="center" wrapText="1"/>
    </xf>
    <xf numFmtId="171" fontId="28" fillId="0" borderId="0" xfId="15" applyNumberFormat="1" applyFont="1" applyFill="1" applyAlignment="1">
      <alignment vertical="center" wrapText="1"/>
    </xf>
    <xf numFmtId="3" fontId="56" fillId="0" borderId="10" xfId="0" applyNumberFormat="1" applyFont="1" applyFill="1" applyBorder="1" applyAlignment="1">
      <alignment horizontal="right" vertical="center" wrapText="1"/>
    </xf>
    <xf numFmtId="168" fontId="28" fillId="0" borderId="0" xfId="15" applyNumberFormat="1" applyFont="1" applyFill="1" applyAlignment="1">
      <alignment vertical="center" wrapText="1"/>
    </xf>
    <xf numFmtId="3" fontId="33" fillId="26" borderId="26" xfId="15" applyNumberFormat="1" applyFont="1" applyFill="1" applyBorder="1" applyAlignment="1">
      <alignment horizontal="right" vertical="center" wrapText="1"/>
    </xf>
    <xf numFmtId="169" fontId="10" fillId="0" borderId="41" xfId="15" applyNumberFormat="1" applyFont="1" applyFill="1" applyBorder="1" applyAlignment="1">
      <alignment horizontal="right" vertical="center" wrapText="1"/>
    </xf>
    <xf numFmtId="2" fontId="28" fillId="0" borderId="0" xfId="15" applyNumberFormat="1" applyFont="1" applyFill="1" applyAlignment="1">
      <alignment vertical="center" wrapText="1"/>
    </xf>
    <xf numFmtId="4" fontId="28" fillId="0" borderId="0" xfId="15" applyNumberFormat="1" applyFont="1" applyFill="1" applyAlignment="1">
      <alignment vertical="center" wrapText="1"/>
    </xf>
    <xf numFmtId="3" fontId="30" fillId="28" borderId="27" xfId="15" applyNumberFormat="1" applyFont="1" applyFill="1" applyBorder="1" applyAlignment="1">
      <alignment horizontal="center" vertical="center" wrapText="1"/>
    </xf>
    <xf numFmtId="167" fontId="10" fillId="0" borderId="10" xfId="15" applyNumberFormat="1" applyFont="1" applyFill="1" applyBorder="1" applyAlignment="1">
      <alignment horizontal="center" vertical="center" wrapText="1"/>
    </xf>
    <xf numFmtId="4" fontId="10" fillId="25" borderId="10" xfId="15" applyNumberFormat="1"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1" fontId="10" fillId="25" borderId="10" xfId="15" applyNumberFormat="1" applyFont="1" applyFill="1" applyBorder="1" applyAlignment="1">
      <alignment horizontal="center" vertical="center" wrapText="1"/>
    </xf>
    <xf numFmtId="9" fontId="9" fillId="0" borderId="10" xfId="23" applyFont="1" applyFill="1" applyBorder="1" applyAlignment="1">
      <alignment horizontal="right" vertical="center" wrapText="1"/>
    </xf>
    <xf numFmtId="3" fontId="9" fillId="0" borderId="21" xfId="0" applyNumberFormat="1" applyFont="1" applyFill="1" applyBorder="1" applyAlignment="1">
      <alignment vertical="center" wrapText="1"/>
    </xf>
    <xf numFmtId="3" fontId="9" fillId="0" borderId="43" xfId="0" applyNumberFormat="1" applyFont="1" applyFill="1" applyBorder="1" applyAlignment="1">
      <alignment vertical="center" wrapText="1"/>
    </xf>
    <xf numFmtId="3" fontId="30" fillId="0" borderId="0" xfId="15" applyNumberFormat="1" applyFont="1" applyFill="1" applyAlignment="1">
      <alignment vertical="center" wrapText="1"/>
    </xf>
    <xf numFmtId="167" fontId="9" fillId="25" borderId="10" xfId="0" applyNumberFormat="1" applyFont="1" applyFill="1" applyBorder="1" applyAlignment="1">
      <alignment horizontal="center" vertical="center" wrapText="1"/>
    </xf>
    <xf numFmtId="167" fontId="10" fillId="25" borderId="10" xfId="15" applyNumberFormat="1" applyFont="1" applyFill="1" applyBorder="1" applyAlignment="1">
      <alignment horizontal="center" vertical="center" wrapText="1"/>
    </xf>
    <xf numFmtId="167" fontId="10" fillId="0" borderId="10" xfId="0" applyNumberFormat="1"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10" fillId="0" borderId="10" xfId="0" applyFont="1" applyFill="1" applyBorder="1"/>
    <xf numFmtId="0" fontId="10" fillId="0" borderId="20" xfId="0" applyFont="1" applyFill="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173" fontId="10" fillId="0" borderId="0" xfId="0" applyNumberFormat="1" applyFont="1" applyFill="1" applyAlignment="1">
      <alignment vertical="center" wrapText="1"/>
    </xf>
    <xf numFmtId="167" fontId="30" fillId="26" borderId="10" xfId="15" applyNumberFormat="1" applyFont="1" applyFill="1" applyBorder="1" applyAlignment="1">
      <alignment horizontal="right" vertical="center" wrapText="1"/>
    </xf>
    <xf numFmtId="167" fontId="10" fillId="14" borderId="10" xfId="15" applyNumberFormat="1" applyFont="1" applyFill="1" applyBorder="1" applyAlignment="1">
      <alignment horizontal="center" vertical="center" wrapText="1"/>
    </xf>
    <xf numFmtId="0" fontId="10" fillId="0" borderId="26" xfId="15" applyFont="1" applyFill="1" applyBorder="1" applyAlignment="1">
      <alignment horizontal="center" vertical="center" wrapText="1"/>
    </xf>
    <xf numFmtId="3" fontId="10" fillId="0" borderId="26" xfId="15" applyNumberFormat="1" applyFont="1" applyFill="1" applyBorder="1" applyAlignment="1">
      <alignment horizontal="center" vertical="center" wrapText="1"/>
    </xf>
    <xf numFmtId="0" fontId="53" fillId="20" borderId="20" xfId="15" applyFont="1" applyFill="1" applyBorder="1" applyAlignment="1">
      <alignment horizontal="center" vertical="center" wrapText="1"/>
    </xf>
    <xf numFmtId="0" fontId="33" fillId="0" borderId="0" xfId="0" applyFont="1" applyAlignment="1">
      <alignment vertical="center" wrapText="1"/>
    </xf>
    <xf numFmtId="9" fontId="64" fillId="0" borderId="10" xfId="0" applyNumberFormat="1" applyFont="1" applyFill="1" applyBorder="1" applyAlignment="1">
      <alignment horizontal="right" vertical="center" wrapText="1"/>
    </xf>
    <xf numFmtId="1" fontId="10" fillId="0" borderId="0" xfId="0" applyNumberFormat="1" applyFont="1" applyFill="1" applyAlignment="1">
      <alignment vertical="center" wrapText="1"/>
    </xf>
    <xf numFmtId="0" fontId="9" fillId="0" borderId="25" xfId="0" applyFont="1" applyFill="1" applyBorder="1" applyAlignment="1">
      <alignment horizontal="center" vertical="top" wrapText="1"/>
    </xf>
    <xf numFmtId="0" fontId="7" fillId="30" borderId="0" xfId="16" applyFill="1"/>
    <xf numFmtId="0" fontId="7" fillId="0" borderId="0" xfId="16"/>
    <xf numFmtId="0" fontId="26" fillId="0" borderId="0" xfId="16" applyFont="1" applyAlignment="1" applyProtection="1">
      <alignment horizontal="center"/>
    </xf>
    <xf numFmtId="0" fontId="7" fillId="0" borderId="0" xfId="16" applyFont="1"/>
    <xf numFmtId="0" fontId="26" fillId="0" borderId="31" xfId="16" applyFont="1" applyBorder="1" applyAlignment="1" applyProtection="1"/>
    <xf numFmtId="0" fontId="7" fillId="0" borderId="0" xfId="16" applyFont="1" applyProtection="1"/>
    <xf numFmtId="0" fontId="7" fillId="0" borderId="0" xfId="16" applyFont="1" applyAlignment="1">
      <alignment vertical="center"/>
    </xf>
    <xf numFmtId="3" fontId="7" fillId="0" borderId="0" xfId="16" applyNumberFormat="1" applyFont="1"/>
    <xf numFmtId="0" fontId="21" fillId="0" borderId="0" xfId="16" applyFont="1"/>
    <xf numFmtId="0" fontId="24" fillId="0" borderId="0" xfId="16" applyFont="1"/>
    <xf numFmtId="3" fontId="7" fillId="0" borderId="0" xfId="16" applyNumberFormat="1"/>
    <xf numFmtId="0" fontId="7" fillId="0" borderId="0" xfId="16" applyAlignment="1">
      <alignment vertical="center"/>
    </xf>
    <xf numFmtId="0" fontId="24" fillId="0" borderId="0" xfId="16" applyFont="1" applyAlignment="1">
      <alignment vertical="center"/>
    </xf>
    <xf numFmtId="0" fontId="21" fillId="0" borderId="0" xfId="16" applyFont="1" applyAlignment="1">
      <alignment vertical="center"/>
    </xf>
    <xf numFmtId="3" fontId="7" fillId="0" borderId="0" xfId="16" applyNumberFormat="1" applyFont="1" applyAlignment="1">
      <alignment vertical="center"/>
    </xf>
    <xf numFmtId="3" fontId="7" fillId="0" borderId="0" xfId="16" applyNumberFormat="1" applyAlignment="1">
      <alignment vertical="center"/>
    </xf>
    <xf numFmtId="3" fontId="10" fillId="0" borderId="10" xfId="0" applyNumberFormat="1" applyFont="1" applyFill="1" applyBorder="1" applyAlignment="1">
      <alignment horizontal="center" vertical="top" wrapText="1"/>
    </xf>
    <xf numFmtId="0" fontId="10" fillId="0" borderId="10" xfId="0" applyFont="1" applyFill="1" applyBorder="1" applyAlignment="1">
      <alignment horizontal="center" vertical="top" wrapText="1"/>
    </xf>
    <xf numFmtId="169" fontId="10" fillId="0" borderId="0" xfId="0" applyNumberFormat="1" applyFont="1" applyFill="1" applyAlignment="1">
      <alignment vertical="center" wrapText="1"/>
    </xf>
    <xf numFmtId="4" fontId="30" fillId="0" borderId="10" xfId="15" applyNumberFormat="1" applyFont="1" applyFill="1" applyBorder="1" applyAlignment="1">
      <alignment horizontal="center" vertical="center" wrapText="1"/>
    </xf>
    <xf numFmtId="171" fontId="27" fillId="0" borderId="31" xfId="5" applyNumberFormat="1" applyFont="1" applyFill="1" applyBorder="1" applyAlignment="1">
      <alignment horizontal="center" vertical="center" wrapText="1"/>
    </xf>
    <xf numFmtId="171" fontId="27" fillId="0" borderId="0" xfId="5" applyNumberFormat="1" applyFont="1" applyFill="1" applyAlignment="1">
      <alignment horizontal="center" vertical="center" wrapText="1"/>
    </xf>
    <xf numFmtId="3" fontId="27" fillId="0" borderId="0" xfId="5" applyNumberFormat="1" applyFont="1" applyFill="1" applyAlignment="1">
      <alignment horizontal="center" vertical="center" wrapText="1"/>
    </xf>
    <xf numFmtId="173" fontId="9" fillId="0" borderId="10" xfId="0" applyNumberFormat="1" applyFont="1" applyFill="1" applyBorder="1" applyAlignment="1">
      <alignment horizontal="right" vertical="center" wrapText="1"/>
    </xf>
    <xf numFmtId="167" fontId="9" fillId="13" borderId="10" xfId="0" applyNumberFormat="1" applyFont="1" applyFill="1" applyBorder="1" applyAlignment="1">
      <alignment horizontal="center" vertical="center" wrapText="1"/>
    </xf>
    <xf numFmtId="167" fontId="9" fillId="22" borderId="17" xfId="0" applyNumberFormat="1" applyFont="1" applyFill="1" applyBorder="1" applyAlignment="1">
      <alignment horizontal="center" vertical="center" wrapText="1"/>
    </xf>
    <xf numFmtId="167" fontId="10" fillId="8" borderId="0" xfId="0" applyNumberFormat="1" applyFont="1" applyFill="1" applyAlignment="1">
      <alignment horizontal="center" vertical="center" wrapText="1"/>
    </xf>
    <xf numFmtId="167" fontId="10" fillId="0" borderId="26" xfId="15" applyNumberFormat="1" applyFont="1" applyFill="1" applyBorder="1" applyAlignment="1">
      <alignment horizontal="center" vertical="center" wrapText="1"/>
    </xf>
    <xf numFmtId="3" fontId="30" fillId="0" borderId="10" xfId="16" applyNumberFormat="1" applyFont="1" applyFill="1" applyBorder="1" applyAlignment="1">
      <alignment horizontal="right" vertical="center" wrapText="1"/>
    </xf>
    <xf numFmtId="167" fontId="30" fillId="0" borderId="10" xfId="15" applyNumberFormat="1" applyFont="1" applyFill="1" applyBorder="1" applyAlignment="1">
      <alignment horizontal="center" vertical="center" wrapText="1"/>
    </xf>
    <xf numFmtId="169" fontId="56" fillId="0" borderId="10" xfId="0" applyNumberFormat="1" applyFont="1" applyFill="1" applyBorder="1" applyAlignment="1">
      <alignment horizontal="right" vertical="center" wrapText="1"/>
    </xf>
    <xf numFmtId="167" fontId="10" fillId="0" borderId="18" xfId="15" applyNumberFormat="1" applyFont="1" applyFill="1" applyBorder="1" applyAlignment="1">
      <alignment horizontal="center" vertical="center" wrapText="1"/>
    </xf>
    <xf numFmtId="3" fontId="10" fillId="0" borderId="18" xfId="15" applyNumberFormat="1" applyFont="1" applyFill="1" applyBorder="1" applyAlignment="1">
      <alignment horizontal="center" vertical="center" wrapText="1"/>
    </xf>
    <xf numFmtId="3" fontId="33" fillId="19" borderId="26" xfId="16" applyNumberFormat="1" applyFont="1" applyFill="1" applyBorder="1" applyAlignment="1">
      <alignment horizontal="right" vertical="center" wrapText="1"/>
    </xf>
    <xf numFmtId="3" fontId="33" fillId="19" borderId="10" xfId="16" applyNumberFormat="1" applyFont="1" applyFill="1" applyBorder="1" applyAlignment="1">
      <alignment horizontal="right" vertical="center" wrapText="1"/>
    </xf>
    <xf numFmtId="1" fontId="10" fillId="0" borderId="10" xfId="0" applyNumberFormat="1" applyFont="1" applyFill="1" applyBorder="1" applyAlignment="1">
      <alignment horizontal="center" vertical="center" wrapText="1"/>
    </xf>
    <xf numFmtId="3" fontId="9" fillId="0" borderId="18" xfId="15" applyNumberFormat="1" applyFont="1" applyFill="1" applyBorder="1" applyAlignment="1">
      <alignment vertical="center" wrapText="1"/>
    </xf>
    <xf numFmtId="0" fontId="36" fillId="0" borderId="10" xfId="27" applyFont="1" applyBorder="1" applyProtection="1"/>
    <xf numFmtId="0" fontId="37" fillId="0" borderId="10" xfId="27" applyFont="1" applyBorder="1" applyAlignment="1" applyProtection="1">
      <alignment horizontal="center" vertical="top"/>
    </xf>
    <xf numFmtId="1" fontId="38" fillId="6" borderId="10" xfId="27" applyNumberFormat="1" applyFont="1" applyFill="1" applyBorder="1" applyProtection="1"/>
    <xf numFmtId="0" fontId="37" fillId="6" borderId="10" xfId="27" applyFont="1" applyFill="1" applyBorder="1" applyProtection="1"/>
    <xf numFmtId="3" fontId="37" fillId="6" borderId="10" xfId="28" applyNumberFormat="1" applyFont="1" applyFill="1" applyBorder="1" applyProtection="1"/>
    <xf numFmtId="1" fontId="38" fillId="7" borderId="10" xfId="27" applyNumberFormat="1" applyFont="1" applyFill="1" applyBorder="1" applyProtection="1"/>
    <xf numFmtId="0" fontId="37" fillId="7" borderId="10" xfId="27" applyFont="1" applyFill="1" applyBorder="1" applyProtection="1"/>
    <xf numFmtId="3" fontId="37" fillId="7" borderId="10" xfId="28" applyNumberFormat="1" applyFont="1" applyFill="1" applyBorder="1" applyProtection="1"/>
    <xf numFmtId="1" fontId="38" fillId="2" borderId="10" xfId="27" applyNumberFormat="1" applyFont="1" applyFill="1" applyBorder="1" applyProtection="1"/>
    <xf numFmtId="0" fontId="37" fillId="2" borderId="10" xfId="27" applyFont="1" applyFill="1" applyBorder="1" applyProtection="1"/>
    <xf numFmtId="3" fontId="37" fillId="2" borderId="10" xfId="28" applyNumberFormat="1" applyFont="1" applyFill="1" applyBorder="1" applyProtection="1"/>
    <xf numFmtId="1" fontId="38" fillId="0" borderId="10" xfId="27" applyNumberFormat="1" applyFont="1" applyBorder="1" applyProtection="1"/>
    <xf numFmtId="0" fontId="36" fillId="0" borderId="10" xfId="27" applyFont="1" applyFill="1" applyBorder="1" applyProtection="1"/>
    <xf numFmtId="3" fontId="36" fillId="0" borderId="10" xfId="28" applyNumberFormat="1" applyFont="1" applyFill="1" applyBorder="1" applyProtection="1"/>
    <xf numFmtId="0" fontId="38" fillId="0" borderId="10" xfId="27" applyFont="1" applyFill="1" applyBorder="1" applyProtection="1"/>
    <xf numFmtId="3" fontId="38" fillId="0" borderId="10" xfId="28" applyNumberFormat="1" applyFont="1" applyFill="1" applyBorder="1" applyProtection="1"/>
    <xf numFmtId="0" fontId="37" fillId="0" borderId="10" xfId="27" applyFont="1" applyBorder="1" applyProtection="1"/>
    <xf numFmtId="3" fontId="37" fillId="0" borderId="10" xfId="28" applyNumberFormat="1" applyFont="1" applyBorder="1" applyProtection="1"/>
    <xf numFmtId="1" fontId="36" fillId="0" borderId="10" xfId="27" applyNumberFormat="1" applyFont="1" applyBorder="1" applyProtection="1"/>
    <xf numFmtId="3" fontId="38" fillId="0" borderId="10" xfId="28" applyNumberFormat="1" applyFont="1" applyBorder="1" applyProtection="1"/>
    <xf numFmtId="1" fontId="37" fillId="6" borderId="10" xfId="27" applyNumberFormat="1" applyFont="1" applyFill="1" applyBorder="1" applyProtection="1"/>
    <xf numFmtId="1" fontId="38" fillId="8" borderId="10" xfId="27" applyNumberFormat="1" applyFont="1" applyFill="1" applyBorder="1" applyProtection="1"/>
    <xf numFmtId="1" fontId="37" fillId="8" borderId="10" xfId="27" applyNumberFormat="1" applyFont="1" applyFill="1" applyBorder="1" applyProtection="1"/>
    <xf numFmtId="3" fontId="38" fillId="8" borderId="10" xfId="28" applyNumberFormat="1" applyFont="1" applyFill="1" applyBorder="1" applyProtection="1"/>
    <xf numFmtId="3" fontId="37" fillId="8" borderId="10" xfId="28" applyNumberFormat="1" applyFont="1" applyFill="1" applyBorder="1" applyProtection="1"/>
    <xf numFmtId="0" fontId="9" fillId="0" borderId="10" xfId="0" applyFont="1" applyFill="1" applyBorder="1" applyAlignment="1">
      <alignment horizontal="center" vertical="top" wrapText="1"/>
    </xf>
    <xf numFmtId="3" fontId="33" fillId="19" borderId="12" xfId="16" applyNumberFormat="1" applyFont="1" applyFill="1" applyBorder="1" applyAlignment="1">
      <alignment horizontal="right" vertical="center" wrapText="1"/>
    </xf>
    <xf numFmtId="3" fontId="33" fillId="14" borderId="12" xfId="16" applyNumberFormat="1" applyFont="1" applyFill="1" applyBorder="1" applyAlignment="1">
      <alignment horizontal="right" vertical="center" wrapText="1"/>
    </xf>
    <xf numFmtId="3" fontId="33" fillId="19" borderId="21" xfId="16" applyNumberFormat="1" applyFont="1" applyFill="1" applyBorder="1" applyAlignment="1">
      <alignment horizontal="right" vertical="center" wrapText="1"/>
    </xf>
    <xf numFmtId="171" fontId="33" fillId="14" borderId="29" xfId="16" applyNumberFormat="1" applyFont="1" applyFill="1" applyBorder="1" applyAlignment="1">
      <alignment vertical="center" wrapText="1"/>
    </xf>
    <xf numFmtId="3" fontId="33" fillId="19" borderId="12" xfId="16" applyNumberFormat="1" applyFont="1" applyFill="1" applyBorder="1" applyAlignment="1">
      <alignment vertical="center" wrapText="1"/>
    </xf>
    <xf numFmtId="3" fontId="30" fillId="0" borderId="12" xfId="16" applyNumberFormat="1" applyFont="1" applyFill="1" applyBorder="1" applyAlignment="1">
      <alignment horizontal="right" vertical="center" wrapText="1"/>
    </xf>
    <xf numFmtId="3" fontId="33" fillId="14" borderId="12" xfId="16" applyNumberFormat="1" applyFont="1" applyFill="1" applyBorder="1" applyAlignment="1">
      <alignment vertical="center" wrapText="1"/>
    </xf>
    <xf numFmtId="3" fontId="33" fillId="19" borderId="21" xfId="16" applyNumberFormat="1" applyFont="1" applyFill="1" applyBorder="1" applyAlignment="1">
      <alignment vertical="center" wrapText="1"/>
    </xf>
    <xf numFmtId="3" fontId="10" fillId="0" borderId="10" xfId="16" applyNumberFormat="1" applyFont="1" applyFill="1" applyBorder="1" applyAlignment="1">
      <alignment horizontal="center" vertical="center" wrapText="1"/>
    </xf>
    <xf numFmtId="3" fontId="9" fillId="25" borderId="10" xfId="16" applyNumberFormat="1" applyFont="1" applyFill="1" applyBorder="1" applyAlignment="1">
      <alignment horizontal="center" vertical="center" wrapText="1"/>
    </xf>
    <xf numFmtId="3" fontId="9" fillId="14" borderId="10" xfId="16" applyNumberFormat="1" applyFont="1" applyFill="1" applyBorder="1" applyAlignment="1">
      <alignment horizontal="center" vertical="center" wrapText="1"/>
    </xf>
    <xf numFmtId="171" fontId="9" fillId="14" borderId="10" xfId="16" applyNumberFormat="1" applyFont="1" applyFill="1" applyBorder="1" applyAlignment="1">
      <alignment horizontal="center" vertical="center" wrapText="1"/>
    </xf>
    <xf numFmtId="1" fontId="10" fillId="0" borderId="10" xfId="16" applyNumberFormat="1" applyFont="1" applyFill="1" applyBorder="1" applyAlignment="1">
      <alignment horizontal="center" vertical="center" wrapText="1"/>
    </xf>
    <xf numFmtId="3" fontId="53" fillId="0" borderId="10" xfId="16" applyNumberFormat="1" applyFont="1" applyFill="1" applyBorder="1" applyAlignment="1">
      <alignment horizontal="center" vertical="center" wrapText="1"/>
    </xf>
    <xf numFmtId="0" fontId="10" fillId="25" borderId="10" xfId="16" applyFont="1" applyFill="1" applyBorder="1" applyAlignment="1">
      <alignment horizontal="center" vertical="center" wrapText="1"/>
    </xf>
    <xf numFmtId="167" fontId="10" fillId="14" borderId="10" xfId="16" applyNumberFormat="1" applyFont="1" applyFill="1" applyBorder="1" applyAlignment="1">
      <alignment horizontal="center" vertical="center" wrapText="1"/>
    </xf>
    <xf numFmtId="3" fontId="10" fillId="14" borderId="10" xfId="16" applyNumberFormat="1" applyFont="1" applyFill="1" applyBorder="1" applyAlignment="1">
      <alignment horizontal="center" vertical="center" wrapText="1"/>
    </xf>
    <xf numFmtId="3" fontId="10" fillId="0" borderId="10" xfId="0" applyNumberFormat="1" applyFont="1" applyFill="1" applyBorder="1" applyAlignment="1">
      <alignment vertical="center" wrapText="1"/>
    </xf>
    <xf numFmtId="3" fontId="10" fillId="0" borderId="18" xfId="0" applyNumberFormat="1" applyFont="1" applyFill="1" applyBorder="1" applyAlignment="1">
      <alignment vertical="center" wrapText="1"/>
    </xf>
    <xf numFmtId="167" fontId="10" fillId="0" borderId="0" xfId="0" applyNumberFormat="1" applyFont="1" applyFill="1" applyAlignment="1">
      <alignment horizontal="center" vertical="center" wrapText="1"/>
    </xf>
    <xf numFmtId="0" fontId="10" fillId="20" borderId="0" xfId="0" applyFont="1" applyFill="1" applyAlignment="1">
      <alignment vertical="center" wrapText="1"/>
    </xf>
    <xf numFmtId="0" fontId="10" fillId="20" borderId="0" xfId="0" applyFont="1" applyFill="1" applyAlignment="1">
      <alignment horizontal="center" vertical="center" wrapText="1"/>
    </xf>
    <xf numFmtId="167" fontId="10" fillId="20" borderId="0" xfId="0" applyNumberFormat="1" applyFont="1" applyFill="1" applyAlignment="1">
      <alignment horizontal="center" vertical="center" wrapText="1"/>
    </xf>
    <xf numFmtId="4" fontId="10" fillId="20" borderId="0" xfId="0" applyNumberFormat="1" applyFont="1" applyFill="1" applyAlignment="1">
      <alignment horizontal="right" vertical="center" wrapText="1"/>
    </xf>
    <xf numFmtId="4" fontId="10" fillId="0" borderId="20" xfId="15" applyNumberFormat="1" applyFont="1" applyFill="1" applyBorder="1" applyAlignment="1">
      <alignment horizontal="center" vertical="center" wrapText="1"/>
    </xf>
    <xf numFmtId="0" fontId="60" fillId="0" borderId="10" xfId="0" applyFont="1" applyFill="1" applyBorder="1" applyAlignment="1">
      <alignment vertical="center"/>
    </xf>
    <xf numFmtId="167" fontId="10" fillId="0" borderId="10" xfId="16" applyNumberFormat="1" applyFont="1" applyFill="1" applyBorder="1" applyAlignment="1">
      <alignment horizontal="center" vertical="center" wrapText="1"/>
    </xf>
    <xf numFmtId="9" fontId="9" fillId="0" borderId="10" xfId="23" applyNumberFormat="1" applyFont="1" applyFill="1" applyBorder="1" applyAlignment="1">
      <alignment horizontal="right" vertical="center" wrapText="1"/>
    </xf>
    <xf numFmtId="3" fontId="29" fillId="20" borderId="61" xfId="0" applyNumberFormat="1" applyFont="1" applyFill="1" applyBorder="1" applyAlignment="1">
      <alignment horizontal="right" vertical="center" wrapText="1"/>
    </xf>
    <xf numFmtId="3" fontId="10" fillId="31" borderId="10" xfId="0" applyNumberFormat="1" applyFont="1" applyFill="1" applyBorder="1" applyAlignment="1">
      <alignment horizontal="center" vertical="center" wrapText="1"/>
    </xf>
    <xf numFmtId="168" fontId="10" fillId="31" borderId="10" xfId="2" applyNumberFormat="1" applyFont="1" applyFill="1" applyBorder="1" applyAlignment="1">
      <alignment horizontal="center" vertical="center" wrapText="1"/>
    </xf>
    <xf numFmtId="168" fontId="24" fillId="31" borderId="0" xfId="2" applyNumberFormat="1" applyFont="1" applyFill="1" applyAlignment="1">
      <alignment vertical="center" wrapText="1"/>
    </xf>
    <xf numFmtId="3" fontId="10" fillId="31" borderId="10" xfId="16" applyNumberFormat="1" applyFont="1" applyFill="1" applyBorder="1" applyAlignment="1">
      <alignment horizontal="center" vertical="center" wrapText="1"/>
    </xf>
    <xf numFmtId="0" fontId="24" fillId="31" borderId="0" xfId="0" applyFont="1" applyFill="1" applyAlignment="1">
      <alignment vertical="center" wrapText="1"/>
    </xf>
    <xf numFmtId="9" fontId="64" fillId="0" borderId="10" xfId="23" applyFont="1" applyFill="1" applyBorder="1" applyAlignment="1">
      <alignment horizontal="right" vertical="center" wrapText="1"/>
    </xf>
    <xf numFmtId="3" fontId="69" fillId="0" borderId="0" xfId="15" applyNumberFormat="1" applyFont="1" applyFill="1" applyAlignment="1">
      <alignment vertical="center" wrapText="1"/>
    </xf>
    <xf numFmtId="3" fontId="29" fillId="20" borderId="3" xfId="0" applyNumberFormat="1" applyFont="1" applyFill="1" applyBorder="1" applyAlignment="1">
      <alignment horizontal="right" vertical="center" wrapText="1"/>
    </xf>
    <xf numFmtId="9" fontId="29" fillId="20" borderId="23" xfId="23" applyNumberFormat="1" applyFont="1" applyFill="1" applyBorder="1" applyAlignment="1">
      <alignment horizontal="right" vertical="center" wrapText="1"/>
    </xf>
    <xf numFmtId="0" fontId="30" fillId="19" borderId="10" xfId="15" applyFont="1" applyFill="1" applyBorder="1" applyAlignment="1">
      <alignment horizontal="center" vertical="center" wrapText="1"/>
    </xf>
    <xf numFmtId="171" fontId="33" fillId="19" borderId="10" xfId="5" applyNumberFormat="1" applyFont="1" applyFill="1" applyBorder="1" applyAlignment="1">
      <alignment horizontal="center" vertical="center" wrapText="1"/>
    </xf>
    <xf numFmtId="0" fontId="30" fillId="19" borderId="0" xfId="15" applyFont="1" applyFill="1" applyBorder="1" applyAlignment="1">
      <alignment horizontal="center" vertical="center" wrapText="1"/>
    </xf>
    <xf numFmtId="3" fontId="21" fillId="20" borderId="0" xfId="0" applyNumberFormat="1" applyFont="1" applyFill="1" applyAlignment="1">
      <alignment horizontal="right" vertical="center" wrapText="1"/>
    </xf>
    <xf numFmtId="4" fontId="53" fillId="0" borderId="10" xfId="15" applyNumberFormat="1" applyFont="1" applyFill="1" applyBorder="1" applyAlignment="1">
      <alignment horizontal="center" vertical="center" wrapText="1"/>
    </xf>
    <xf numFmtId="179" fontId="9" fillId="0" borderId="10" xfId="23" applyNumberFormat="1" applyFont="1" applyFill="1" applyBorder="1" applyAlignment="1">
      <alignment horizontal="right" vertical="center" wrapText="1"/>
    </xf>
    <xf numFmtId="171" fontId="7" fillId="0" borderId="0" xfId="5" applyNumberFormat="1" applyFont="1" applyFill="1" applyAlignment="1">
      <alignment vertical="center" wrapText="1"/>
    </xf>
    <xf numFmtId="171" fontId="30" fillId="0" borderId="67" xfId="5" applyNumberFormat="1" applyFont="1" applyFill="1" applyBorder="1" applyAlignment="1">
      <alignment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13" borderId="10"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13" borderId="20"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10" fillId="0" borderId="12" xfId="0" applyFont="1" applyBorder="1"/>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10" fillId="0" borderId="10" xfId="0" applyFont="1" applyFill="1" applyBorder="1"/>
    <xf numFmtId="0" fontId="10" fillId="0" borderId="20" xfId="0" applyFont="1" applyFill="1" applyBorder="1"/>
    <xf numFmtId="0" fontId="9" fillId="0" borderId="26"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30" fillId="21" borderId="15" xfId="16" applyFont="1" applyFill="1" applyBorder="1" applyAlignment="1">
      <alignment horizontal="justify" vertical="center" wrapText="1"/>
    </xf>
    <xf numFmtId="0" fontId="30" fillId="0" borderId="18" xfId="16" applyFont="1" applyFill="1" applyBorder="1" applyAlignment="1">
      <alignment vertical="center" wrapText="1"/>
    </xf>
    <xf numFmtId="0" fontId="9" fillId="0" borderId="15" xfId="16" applyFont="1" applyFill="1" applyBorder="1" applyAlignment="1">
      <alignment horizontal="justify" vertical="center" wrapText="1"/>
    </xf>
    <xf numFmtId="3" fontId="9" fillId="22" borderId="17" xfId="0" applyNumberFormat="1" applyFont="1" applyFill="1" applyBorder="1" applyAlignment="1">
      <alignment horizontal="center" vertical="center" wrapText="1"/>
    </xf>
    <xf numFmtId="3" fontId="10" fillId="20" borderId="0" xfId="0" applyNumberFormat="1" applyFont="1" applyFill="1" applyAlignment="1">
      <alignment horizontal="center" vertical="center" wrapText="1"/>
    </xf>
    <xf numFmtId="3" fontId="10" fillId="8" borderId="0" xfId="0" applyNumberFormat="1" applyFont="1" applyFill="1" applyAlignment="1">
      <alignment horizontal="center" vertical="center" wrapText="1"/>
    </xf>
    <xf numFmtId="0" fontId="30" fillId="0" borderId="15" xfId="16" applyFont="1" applyFill="1" applyBorder="1" applyAlignment="1">
      <alignment horizontal="justify" vertical="center" wrapText="1"/>
    </xf>
    <xf numFmtId="0" fontId="30" fillId="0" borderId="10" xfId="16" applyFont="1" applyFill="1" applyBorder="1" applyAlignment="1">
      <alignment horizontal="center" vertical="center" wrapText="1"/>
    </xf>
    <xf numFmtId="3" fontId="10" fillId="18" borderId="10" xfId="15" applyNumberFormat="1" applyFont="1" applyFill="1" applyBorder="1" applyAlignment="1">
      <alignment horizontal="center" vertical="center" wrapText="1"/>
    </xf>
    <xf numFmtId="0" fontId="53" fillId="0" borderId="10" xfId="16" applyFont="1" applyFill="1" applyBorder="1" applyAlignment="1">
      <alignment horizontal="center" vertical="center" wrapText="1"/>
    </xf>
    <xf numFmtId="41" fontId="10" fillId="0" borderId="0" xfId="29" applyFont="1"/>
    <xf numFmtId="41" fontId="10" fillId="0" borderId="0" xfId="29" applyFont="1" applyFill="1" applyAlignment="1">
      <alignment vertical="center" wrapText="1"/>
    </xf>
    <xf numFmtId="41" fontId="9" fillId="0" borderId="0" xfId="29" applyFont="1" applyFill="1" applyAlignment="1">
      <alignment vertical="center" wrapText="1"/>
    </xf>
    <xf numFmtId="41" fontId="10" fillId="8" borderId="0" xfId="29" applyFont="1" applyFill="1" applyAlignment="1">
      <alignment vertical="center" wrapText="1"/>
    </xf>
    <xf numFmtId="0" fontId="9" fillId="0" borderId="68" xfId="0" applyFont="1" applyFill="1" applyBorder="1" applyAlignment="1">
      <alignment horizontal="center" vertical="top" wrapText="1"/>
    </xf>
    <xf numFmtId="3" fontId="29" fillId="20" borderId="53" xfId="0" applyNumberFormat="1" applyFont="1" applyFill="1" applyBorder="1" applyAlignment="1">
      <alignment horizontal="right" vertical="center" wrapText="1"/>
    </xf>
    <xf numFmtId="9" fontId="29" fillId="20" borderId="69" xfId="23" applyFont="1" applyFill="1" applyBorder="1" applyAlignment="1">
      <alignment horizontal="right" vertical="center" wrapText="1"/>
    </xf>
    <xf numFmtId="9" fontId="29" fillId="20" borderId="69" xfId="23" applyNumberFormat="1" applyFont="1" applyFill="1" applyBorder="1" applyAlignment="1">
      <alignment horizontal="right" vertical="center" wrapText="1"/>
    </xf>
    <xf numFmtId="167" fontId="9" fillId="25" borderId="10" xfId="16" applyNumberFormat="1" applyFont="1" applyFill="1" applyBorder="1" applyAlignment="1">
      <alignment horizontal="center" vertical="center" wrapText="1"/>
    </xf>
    <xf numFmtId="3" fontId="24" fillId="0" borderId="0" xfId="16" applyNumberFormat="1" applyFont="1" applyAlignment="1">
      <alignment vertical="center"/>
    </xf>
    <xf numFmtId="3" fontId="21" fillId="0" borderId="0" xfId="16" applyNumberFormat="1" applyFont="1" applyAlignment="1">
      <alignment vertical="center"/>
    </xf>
    <xf numFmtId="3" fontId="10" fillId="20" borderId="0" xfId="0" applyNumberFormat="1" applyFont="1" applyFill="1" applyAlignment="1">
      <alignment horizontal="right" vertical="center" wrapText="1"/>
    </xf>
    <xf numFmtId="3" fontId="10" fillId="0" borderId="0" xfId="0" applyNumberFormat="1" applyFont="1" applyFill="1"/>
    <xf numFmtId="3" fontId="63" fillId="0" borderId="0" xfId="0" applyNumberFormat="1" applyFont="1" applyFill="1" applyAlignment="1">
      <alignment vertical="center" wrapText="1"/>
    </xf>
    <xf numFmtId="9" fontId="10" fillId="0" borderId="0" xfId="23" applyFont="1" applyFill="1" applyAlignment="1">
      <alignment vertical="center" wrapText="1"/>
    </xf>
    <xf numFmtId="179" fontId="10" fillId="0" borderId="0" xfId="23" applyNumberFormat="1" applyFont="1" applyFill="1" applyAlignment="1">
      <alignment vertical="center" wrapText="1"/>
    </xf>
    <xf numFmtId="9" fontId="10" fillId="0" borderId="0" xfId="23" applyNumberFormat="1" applyFont="1" applyFill="1" applyAlignment="1">
      <alignment vertical="center" wrapText="1"/>
    </xf>
    <xf numFmtId="171" fontId="56" fillId="0" borderId="0" xfId="5" applyNumberFormat="1" applyFont="1" applyBorder="1" applyAlignment="1">
      <alignment horizontal="center" vertical="center" wrapText="1"/>
    </xf>
    <xf numFmtId="171" fontId="59" fillId="0" borderId="31" xfId="5" applyNumberFormat="1" applyFont="1" applyFill="1" applyBorder="1" applyAlignment="1">
      <alignment horizontal="center" vertical="center" wrapText="1"/>
    </xf>
    <xf numFmtId="171" fontId="59" fillId="0" borderId="0" xfId="5" applyNumberFormat="1" applyFont="1" applyFill="1" applyAlignment="1">
      <alignment horizontal="center" vertical="center" wrapText="1"/>
    </xf>
    <xf numFmtId="171" fontId="30" fillId="20" borderId="12" xfId="5" applyNumberFormat="1" applyFont="1" applyFill="1" applyBorder="1" applyAlignment="1">
      <alignment vertical="center" wrapText="1"/>
    </xf>
    <xf numFmtId="171" fontId="69" fillId="18" borderId="0" xfId="15" applyNumberFormat="1" applyFont="1" applyFill="1" applyAlignment="1">
      <alignment vertical="center" wrapText="1"/>
    </xf>
    <xf numFmtId="41" fontId="7" fillId="0" borderId="0" xfId="29" applyFont="1" applyFill="1" applyAlignment="1">
      <alignment vertical="center" wrapText="1"/>
    </xf>
    <xf numFmtId="41" fontId="30" fillId="0" borderId="0" xfId="29" applyFont="1" applyFill="1" applyAlignment="1">
      <alignment vertical="center" wrapText="1"/>
    </xf>
    <xf numFmtId="10" fontId="64" fillId="0" borderId="10" xfId="23" applyNumberFormat="1" applyFont="1" applyFill="1" applyBorder="1" applyAlignment="1">
      <alignment horizontal="right" vertical="center" wrapText="1"/>
    </xf>
    <xf numFmtId="168" fontId="24" fillId="0" borderId="0" xfId="2" applyNumberFormat="1" applyFont="1" applyFill="1" applyAlignment="1">
      <alignment vertical="center" wrapText="1"/>
    </xf>
    <xf numFmtId="41" fontId="24" fillId="0" borderId="0" xfId="0" applyNumberFormat="1" applyFont="1" applyFill="1" applyAlignment="1">
      <alignment vertical="center" wrapText="1"/>
    </xf>
    <xf numFmtId="41" fontId="27" fillId="0" borderId="0" xfId="29" applyFont="1" applyFill="1" applyAlignment="1">
      <alignment vertical="center" wrapText="1"/>
    </xf>
    <xf numFmtId="3" fontId="30" fillId="29" borderId="10" xfId="16" applyNumberFormat="1" applyFont="1" applyFill="1" applyBorder="1" applyAlignment="1">
      <alignment horizontal="right" vertical="center" wrapText="1"/>
    </xf>
    <xf numFmtId="3" fontId="30" fillId="32" borderId="10" xfId="16" applyNumberFormat="1" applyFont="1" applyFill="1" applyBorder="1" applyAlignment="1">
      <alignment horizontal="right" vertical="center" wrapText="1"/>
    </xf>
    <xf numFmtId="169" fontId="30" fillId="29" borderId="10" xfId="16" applyNumberFormat="1" applyFont="1" applyFill="1" applyBorder="1" applyAlignment="1">
      <alignment horizontal="right" vertical="center" wrapText="1"/>
    </xf>
    <xf numFmtId="3" fontId="30" fillId="0" borderId="24" xfId="16" applyNumberFormat="1" applyFont="1" applyFill="1" applyBorder="1" applyAlignment="1">
      <alignment horizontal="right" vertical="center" wrapText="1"/>
    </xf>
    <xf numFmtId="3" fontId="30" fillId="0" borderId="27" xfId="16" applyNumberFormat="1" applyFont="1" applyFill="1" applyBorder="1" applyAlignment="1">
      <alignment horizontal="right" vertical="center" wrapText="1"/>
    </xf>
    <xf numFmtId="3" fontId="30" fillId="0" borderId="10" xfId="16" applyNumberFormat="1" applyFont="1" applyFill="1" applyBorder="1" applyAlignment="1">
      <alignment horizontal="center" vertical="center" wrapText="1"/>
    </xf>
    <xf numFmtId="3" fontId="30" fillId="0" borderId="10" xfId="16" applyNumberFormat="1" applyFont="1" applyFill="1" applyBorder="1" applyAlignment="1">
      <alignment vertical="center" wrapText="1"/>
    </xf>
    <xf numFmtId="3" fontId="30" fillId="0" borderId="27" xfId="16" applyNumberFormat="1" applyFont="1" applyFill="1" applyBorder="1" applyAlignment="1">
      <alignment vertical="center" wrapText="1"/>
    </xf>
    <xf numFmtId="3" fontId="30" fillId="0" borderId="26" xfId="16" applyNumberFormat="1" applyFont="1" applyFill="1" applyBorder="1" applyAlignment="1">
      <alignment horizontal="right" vertical="center" wrapText="1"/>
    </xf>
    <xf numFmtId="41" fontId="27" fillId="0" borderId="0" xfId="15" applyNumberFormat="1" applyFont="1" applyFill="1" applyAlignment="1">
      <alignment vertical="center" wrapText="1"/>
    </xf>
    <xf numFmtId="41" fontId="29" fillId="18" borderId="0" xfId="29" applyFont="1" applyFill="1" applyAlignment="1">
      <alignment vertical="center" wrapText="1"/>
    </xf>
    <xf numFmtId="3" fontId="24" fillId="0" borderId="0" xfId="16" applyNumberFormat="1" applyFont="1"/>
    <xf numFmtId="41" fontId="24" fillId="0" borderId="0" xfId="29" applyFont="1" applyFill="1" applyAlignment="1">
      <alignment vertical="center" wrapText="1"/>
    </xf>
    <xf numFmtId="3" fontId="72" fillId="0" borderId="0" xfId="0" applyNumberFormat="1" applyFont="1" applyFill="1" applyAlignment="1">
      <alignment vertical="center" wrapText="1"/>
    </xf>
    <xf numFmtId="0" fontId="26" fillId="30" borderId="0" xfId="16" applyFont="1" applyFill="1" applyBorder="1" applyAlignment="1">
      <alignment horizontal="center" vertical="center"/>
    </xf>
    <xf numFmtId="3" fontId="37" fillId="6" borderId="10" xfId="2" applyNumberFormat="1" applyFont="1" applyFill="1" applyBorder="1" applyProtection="1"/>
    <xf numFmtId="1" fontId="38" fillId="6" borderId="10" xfId="0" applyNumberFormat="1" applyFont="1" applyFill="1" applyBorder="1" applyProtection="1"/>
    <xf numFmtId="3" fontId="37" fillId="8" borderId="10" xfId="2" applyNumberFormat="1" applyFont="1" applyFill="1" applyBorder="1" applyProtection="1"/>
    <xf numFmtId="1" fontId="37" fillId="8" borderId="10" xfId="0" applyNumberFormat="1" applyFont="1" applyFill="1" applyBorder="1" applyProtection="1"/>
    <xf numFmtId="1" fontId="38" fillId="8" borderId="10" xfId="0" applyNumberFormat="1" applyFont="1" applyFill="1" applyBorder="1" applyProtection="1"/>
    <xf numFmtId="3" fontId="38" fillId="8" borderId="10" xfId="2" applyNumberFormat="1" applyFont="1" applyFill="1" applyBorder="1" applyProtection="1"/>
    <xf numFmtId="1" fontId="37" fillId="6" borderId="10" xfId="0" applyNumberFormat="1" applyFont="1" applyFill="1" applyBorder="1" applyProtection="1"/>
    <xf numFmtId="3" fontId="37" fillId="7" borderId="10" xfId="2" applyNumberFormat="1" applyFont="1" applyFill="1" applyBorder="1" applyProtection="1"/>
    <xf numFmtId="0" fontId="37" fillId="7" borderId="10" xfId="0" applyFont="1" applyFill="1" applyBorder="1" applyProtection="1"/>
    <xf numFmtId="1" fontId="38" fillId="7" borderId="10" xfId="0" applyNumberFormat="1" applyFont="1" applyFill="1" applyBorder="1" applyProtection="1"/>
    <xf numFmtId="3" fontId="37" fillId="0" borderId="10" xfId="2" applyNumberFormat="1" applyFont="1" applyBorder="1" applyProtection="1"/>
    <xf numFmtId="0" fontId="37" fillId="0" borderId="10" xfId="0" applyFont="1" applyBorder="1" applyProtection="1"/>
    <xf numFmtId="1" fontId="38" fillId="0" borderId="10" xfId="0" applyNumberFormat="1" applyFont="1" applyBorder="1" applyProtection="1"/>
    <xf numFmtId="3" fontId="36" fillId="0" borderId="10" xfId="2" applyNumberFormat="1" applyFont="1" applyFill="1" applyBorder="1" applyProtection="1"/>
    <xf numFmtId="0" fontId="36" fillId="0" borderId="10" xfId="0" applyFont="1" applyFill="1" applyBorder="1" applyProtection="1"/>
    <xf numFmtId="1" fontId="36" fillId="0" borderId="10" xfId="0" applyNumberFormat="1" applyFont="1" applyBorder="1" applyProtection="1"/>
    <xf numFmtId="3" fontId="21" fillId="0" borderId="0" xfId="16" applyNumberFormat="1" applyFont="1"/>
    <xf numFmtId="3" fontId="38" fillId="0" borderId="10" xfId="2" applyNumberFormat="1" applyFont="1" applyBorder="1" applyProtection="1"/>
    <xf numFmtId="3" fontId="38" fillId="0" borderId="10" xfId="2" applyNumberFormat="1" applyFont="1" applyFill="1" applyBorder="1" applyProtection="1"/>
    <xf numFmtId="0" fontId="38" fillId="0" borderId="10" xfId="0" applyFont="1" applyFill="1" applyBorder="1" applyProtection="1"/>
    <xf numFmtId="3" fontId="37" fillId="2" borderId="10" xfId="2" applyNumberFormat="1" applyFont="1" applyFill="1" applyBorder="1" applyProtection="1"/>
    <xf numFmtId="0" fontId="37" fillId="2" borderId="10" xfId="0" applyFont="1" applyFill="1" applyBorder="1" applyProtection="1"/>
    <xf numFmtId="1" fontId="38" fillId="2" borderId="10" xfId="0" applyNumberFormat="1" applyFont="1" applyFill="1" applyBorder="1" applyProtection="1"/>
    <xf numFmtId="0" fontId="37" fillId="6" borderId="10" xfId="0" applyFont="1" applyFill="1" applyBorder="1" applyProtection="1"/>
    <xf numFmtId="0" fontId="37" fillId="0" borderId="10" xfId="0" applyFont="1" applyBorder="1" applyAlignment="1" applyProtection="1">
      <alignment horizontal="center" vertical="top"/>
    </xf>
    <xf numFmtId="0" fontId="36" fillId="0" borderId="10" xfId="0" applyFont="1" applyBorder="1" applyProtection="1"/>
    <xf numFmtId="4" fontId="71" fillId="0" borderId="0" xfId="0" applyNumberFormat="1" applyFont="1" applyFill="1" applyBorder="1" applyAlignment="1" applyProtection="1">
      <alignment horizontal="right" vertical="top" wrapText="1" shrinkToFit="1"/>
    </xf>
    <xf numFmtId="3" fontId="67" fillId="0" borderId="38" xfId="0" applyNumberFormat="1" applyFont="1" applyFill="1" applyBorder="1" applyAlignment="1" applyProtection="1">
      <alignment vertical="center"/>
    </xf>
    <xf numFmtId="3" fontId="67" fillId="0" borderId="49" xfId="0" applyNumberFormat="1" applyFont="1" applyFill="1" applyBorder="1" applyAlignment="1" applyProtection="1">
      <alignment vertical="center"/>
    </xf>
    <xf numFmtId="3" fontId="43" fillId="0" borderId="43" xfId="0" applyNumberFormat="1" applyFont="1" applyBorder="1" applyAlignment="1" applyProtection="1">
      <alignment vertical="center"/>
    </xf>
    <xf numFmtId="3" fontId="43" fillId="0" borderId="28" xfId="0" applyNumberFormat="1" applyFont="1" applyBorder="1" applyAlignment="1" applyProtection="1">
      <alignment vertical="center"/>
    </xf>
    <xf numFmtId="3" fontId="43" fillId="0" borderId="37" xfId="0" applyNumberFormat="1" applyFont="1" applyBorder="1" applyAlignment="1" applyProtection="1">
      <alignment vertical="center"/>
    </xf>
    <xf numFmtId="3" fontId="43" fillId="0" borderId="9" xfId="0" applyNumberFormat="1" applyFont="1" applyBorder="1" applyAlignment="1" applyProtection="1">
      <alignment vertical="center"/>
    </xf>
    <xf numFmtId="3" fontId="36" fillId="0" borderId="12" xfId="0" applyNumberFormat="1" applyFont="1" applyFill="1" applyBorder="1" applyAlignment="1" applyProtection="1">
      <alignment vertical="center" wrapText="1"/>
      <protection locked="0"/>
    </xf>
    <xf numFmtId="3" fontId="36" fillId="0" borderId="10" xfId="0" applyNumberFormat="1" applyFont="1" applyFill="1" applyBorder="1" applyAlignment="1" applyProtection="1">
      <alignment vertical="center" wrapText="1"/>
      <protection locked="0"/>
    </xf>
    <xf numFmtId="3" fontId="36" fillId="0" borderId="15" xfId="0" applyNumberFormat="1" applyFont="1" applyFill="1" applyBorder="1" applyAlignment="1" applyProtection="1">
      <alignment vertical="center" wrapText="1"/>
      <protection locked="0"/>
    </xf>
    <xf numFmtId="0" fontId="36" fillId="0" borderId="36" xfId="0" applyFont="1" applyFill="1" applyBorder="1" applyAlignment="1" applyProtection="1">
      <alignment vertical="center" wrapText="1"/>
      <protection locked="0"/>
    </xf>
    <xf numFmtId="3" fontId="68" fillId="0" borderId="12" xfId="0" applyNumberFormat="1" applyFont="1" applyFill="1" applyBorder="1" applyAlignment="1" applyProtection="1">
      <alignment vertical="center" wrapText="1"/>
      <protection locked="0"/>
    </xf>
    <xf numFmtId="3" fontId="68" fillId="0" borderId="15" xfId="0" applyNumberFormat="1" applyFont="1" applyFill="1" applyBorder="1" applyAlignment="1" applyProtection="1">
      <alignment vertical="center" wrapText="1"/>
      <protection locked="0"/>
    </xf>
    <xf numFmtId="3" fontId="68" fillId="0" borderId="10" xfId="0" applyNumberFormat="1" applyFont="1" applyFill="1" applyBorder="1" applyAlignment="1" applyProtection="1">
      <alignment vertical="center" wrapText="1"/>
      <protection locked="0"/>
    </xf>
    <xf numFmtId="3" fontId="7" fillId="0" borderId="10" xfId="0" applyNumberFormat="1" applyFont="1" applyBorder="1" applyAlignment="1">
      <alignment vertical="center" wrapText="1"/>
    </xf>
    <xf numFmtId="3" fontId="41" fillId="0" borderId="10" xfId="0" applyNumberFormat="1" applyFont="1" applyBorder="1" applyAlignment="1">
      <alignment horizontal="justify"/>
    </xf>
    <xf numFmtId="3" fontId="41" fillId="0" borderId="10" xfId="0" applyNumberFormat="1" applyFont="1" applyBorder="1" applyAlignment="1">
      <alignment wrapText="1"/>
    </xf>
    <xf numFmtId="3" fontId="7" fillId="0" borderId="10" xfId="0" applyNumberFormat="1" applyFont="1" applyBorder="1" applyAlignment="1">
      <alignment wrapText="1"/>
    </xf>
    <xf numFmtId="3" fontId="37" fillId="0" borderId="12" xfId="0" applyNumberFormat="1" applyFont="1" applyFill="1" applyBorder="1" applyAlignment="1" applyProtection="1">
      <alignment vertical="center" wrapText="1"/>
      <protection locked="0"/>
    </xf>
    <xf numFmtId="3" fontId="37" fillId="0" borderId="10" xfId="0" applyNumberFormat="1" applyFont="1" applyFill="1" applyBorder="1" applyAlignment="1" applyProtection="1">
      <alignment vertical="center" wrapText="1"/>
      <protection locked="0"/>
    </xf>
    <xf numFmtId="3" fontId="37" fillId="0" borderId="15" xfId="0" applyNumberFormat="1" applyFont="1" applyFill="1" applyBorder="1" applyAlignment="1" applyProtection="1">
      <alignment vertical="center" wrapText="1"/>
      <protection locked="0"/>
    </xf>
    <xf numFmtId="3" fontId="37" fillId="0" borderId="56" xfId="0" applyNumberFormat="1" applyFont="1" applyFill="1" applyBorder="1" applyAlignment="1" applyProtection="1">
      <alignment vertical="center" wrapText="1"/>
      <protection locked="0"/>
    </xf>
    <xf numFmtId="3" fontId="37" fillId="0" borderId="29" xfId="0" applyNumberFormat="1" applyFont="1" applyFill="1" applyBorder="1" applyAlignment="1" applyProtection="1">
      <alignment vertical="center" wrapText="1"/>
      <protection locked="0"/>
    </xf>
    <xf numFmtId="3" fontId="37" fillId="0" borderId="26" xfId="0" applyNumberFormat="1" applyFont="1" applyFill="1" applyBorder="1" applyAlignment="1" applyProtection="1">
      <alignment vertical="center" wrapText="1"/>
      <protection locked="0"/>
    </xf>
    <xf numFmtId="3" fontId="37" fillId="0" borderId="33" xfId="0" applyNumberFormat="1" applyFont="1" applyFill="1" applyBorder="1" applyAlignment="1" applyProtection="1">
      <alignment vertical="center" wrapText="1"/>
      <protection locked="0"/>
    </xf>
    <xf numFmtId="3" fontId="37" fillId="0" borderId="70" xfId="0" applyNumberFormat="1" applyFont="1" applyFill="1" applyBorder="1" applyAlignment="1" applyProtection="1">
      <alignment vertical="center" wrapText="1"/>
      <protection locked="0"/>
    </xf>
    <xf numFmtId="3" fontId="36" fillId="0" borderId="43" xfId="0" applyNumberFormat="1" applyFont="1" applyBorder="1" applyAlignment="1" applyProtection="1">
      <alignment vertical="center"/>
    </xf>
    <xf numFmtId="3" fontId="36" fillId="0" borderId="28" xfId="0" applyNumberFormat="1" applyFont="1" applyBorder="1" applyAlignment="1" applyProtection="1">
      <alignment vertical="center"/>
    </xf>
    <xf numFmtId="3" fontId="36" fillId="0" borderId="37" xfId="0" applyNumberFormat="1" applyFont="1" applyBorder="1" applyAlignment="1" applyProtection="1">
      <alignment vertical="center"/>
    </xf>
    <xf numFmtId="3" fontId="36" fillId="0" borderId="9" xfId="0" applyNumberFormat="1" applyFont="1" applyBorder="1" applyAlignment="1" applyProtection="1">
      <alignment vertical="center"/>
    </xf>
    <xf numFmtId="3" fontId="36" fillId="0" borderId="15" xfId="0" applyNumberFormat="1" applyFont="1" applyFill="1" applyBorder="1" applyAlignment="1" applyProtection="1">
      <alignment vertical="center"/>
    </xf>
    <xf numFmtId="3" fontId="67" fillId="0" borderId="40" xfId="0" applyNumberFormat="1" applyFont="1" applyFill="1" applyBorder="1" applyAlignment="1" applyProtection="1">
      <alignment vertical="center"/>
    </xf>
    <xf numFmtId="3" fontId="67" fillId="0" borderId="39" xfId="0" applyNumberFormat="1" applyFont="1" applyFill="1" applyBorder="1" applyAlignment="1" applyProtection="1">
      <alignment vertical="center"/>
    </xf>
    <xf numFmtId="3" fontId="37" fillId="0" borderId="16" xfId="0" applyNumberFormat="1" applyFont="1" applyFill="1" applyBorder="1" applyAlignment="1" applyProtection="1">
      <alignment vertical="center"/>
    </xf>
    <xf numFmtId="3" fontId="37" fillId="0" borderId="23" xfId="0" applyNumberFormat="1" applyFont="1" applyFill="1" applyBorder="1" applyAlignment="1" applyProtection="1">
      <alignment vertical="center"/>
    </xf>
    <xf numFmtId="3" fontId="37" fillId="0" borderId="17" xfId="0" applyNumberFormat="1" applyFont="1" applyFill="1" applyBorder="1" applyAlignment="1" applyProtection="1">
      <alignment vertical="center"/>
    </xf>
    <xf numFmtId="3" fontId="37" fillId="0" borderId="57" xfId="0" applyNumberFormat="1" applyFont="1" applyFill="1" applyBorder="1" applyAlignment="1" applyProtection="1">
      <alignment vertical="center"/>
    </xf>
    <xf numFmtId="3" fontId="36" fillId="0" borderId="12" xfId="0" applyNumberFormat="1" applyFont="1" applyFill="1" applyBorder="1" applyAlignment="1" applyProtection="1">
      <alignment vertical="center"/>
    </xf>
    <xf numFmtId="3" fontId="36" fillId="0" borderId="10" xfId="0" applyNumberFormat="1" applyFont="1" applyFill="1" applyBorder="1" applyAlignment="1" applyProtection="1">
      <alignment vertical="center"/>
    </xf>
    <xf numFmtId="3" fontId="36" fillId="0" borderId="56" xfId="0" applyNumberFormat="1" applyFont="1" applyFill="1" applyBorder="1" applyAlignment="1" applyProtection="1">
      <alignment vertical="center"/>
    </xf>
    <xf numFmtId="3" fontId="37" fillId="0" borderId="15" xfId="0" applyNumberFormat="1" applyFont="1" applyFill="1" applyBorder="1" applyAlignment="1" applyProtection="1">
      <alignment vertical="center"/>
    </xf>
    <xf numFmtId="3" fontId="37" fillId="0" borderId="12" xfId="0" applyNumberFormat="1" applyFont="1" applyFill="1" applyBorder="1" applyAlignment="1" applyProtection="1">
      <alignment vertical="center"/>
    </xf>
    <xf numFmtId="3" fontId="37" fillId="0" borderId="10" xfId="0" applyNumberFormat="1" applyFont="1" applyFill="1" applyBorder="1" applyAlignment="1" applyProtection="1">
      <alignment vertical="center"/>
    </xf>
    <xf numFmtId="3" fontId="37" fillId="0" borderId="56" xfId="0" applyNumberFormat="1" applyFont="1" applyFill="1" applyBorder="1" applyAlignment="1" applyProtection="1">
      <alignment vertical="center"/>
    </xf>
    <xf numFmtId="3" fontId="67" fillId="0" borderId="15" xfId="0" applyNumberFormat="1" applyFont="1" applyFill="1" applyBorder="1" applyAlignment="1" applyProtection="1">
      <alignment vertical="center"/>
    </xf>
    <xf numFmtId="3" fontId="67" fillId="0" borderId="12" xfId="0" applyNumberFormat="1" applyFont="1" applyFill="1" applyBorder="1" applyAlignment="1" applyProtection="1">
      <alignment vertical="center"/>
    </xf>
    <xf numFmtId="3" fontId="67" fillId="0" borderId="10" xfId="0" applyNumberFormat="1" applyFont="1" applyFill="1" applyBorder="1" applyAlignment="1" applyProtection="1">
      <alignment vertical="center"/>
    </xf>
    <xf numFmtId="3" fontId="67" fillId="0" borderId="56" xfId="0" applyNumberFormat="1" applyFont="1" applyFill="1" applyBorder="1" applyAlignment="1" applyProtection="1">
      <alignment vertical="center"/>
    </xf>
    <xf numFmtId="3" fontId="67" fillId="0" borderId="6" xfId="0" applyNumberFormat="1" applyFont="1" applyFill="1" applyBorder="1" applyAlignment="1" applyProtection="1">
      <alignment vertical="center"/>
    </xf>
    <xf numFmtId="3" fontId="67" fillId="0" borderId="14" xfId="0" applyNumberFormat="1" applyFont="1" applyFill="1" applyBorder="1" applyAlignment="1" applyProtection="1">
      <alignment vertical="center"/>
    </xf>
    <xf numFmtId="3" fontId="67" fillId="0" borderId="7" xfId="0" applyNumberFormat="1" applyFont="1" applyFill="1" applyBorder="1" applyAlignment="1" applyProtection="1">
      <alignment vertical="center"/>
    </xf>
    <xf numFmtId="3" fontId="67" fillId="0" borderId="55" xfId="0" applyNumberFormat="1" applyFont="1" applyFill="1" applyBorder="1" applyAlignment="1" applyProtection="1">
      <alignment vertical="center"/>
    </xf>
    <xf numFmtId="3" fontId="36" fillId="0" borderId="16" xfId="0" applyNumberFormat="1" applyFont="1" applyFill="1" applyBorder="1" applyAlignment="1" applyProtection="1">
      <alignment vertical="center"/>
    </xf>
    <xf numFmtId="3" fontId="36" fillId="0" borderId="23" xfId="0" applyNumberFormat="1" applyFont="1" applyFill="1" applyBorder="1" applyAlignment="1" applyProtection="1">
      <alignment vertical="center"/>
    </xf>
    <xf numFmtId="3" fontId="36" fillId="0" borderId="17" xfId="0" applyNumberFormat="1" applyFont="1" applyFill="1" applyBorder="1" applyAlignment="1" applyProtection="1">
      <alignment vertical="center"/>
    </xf>
    <xf numFmtId="3" fontId="36" fillId="0" borderId="57" xfId="0" applyNumberFormat="1" applyFont="1" applyFill="1" applyBorder="1" applyAlignment="1" applyProtection="1">
      <alignment vertical="center"/>
    </xf>
    <xf numFmtId="0" fontId="66" fillId="0" borderId="21" xfId="0" applyFont="1" applyBorder="1" applyAlignment="1" applyProtection="1">
      <alignment horizontal="center" vertical="center" wrapText="1"/>
    </xf>
    <xf numFmtId="0" fontId="66" fillId="0" borderId="20" xfId="0" applyFont="1" applyBorder="1" applyAlignment="1" applyProtection="1">
      <alignment horizontal="center" vertical="center" wrapText="1"/>
    </xf>
    <xf numFmtId="0" fontId="66" fillId="0" borderId="19" xfId="0" applyFont="1" applyBorder="1" applyAlignment="1" applyProtection="1">
      <alignment horizontal="center" vertical="center" wrapText="1"/>
    </xf>
    <xf numFmtId="0" fontId="26" fillId="0" borderId="49" xfId="0" applyFont="1" applyBorder="1" applyAlignment="1" applyProtection="1">
      <alignment vertical="center"/>
    </xf>
    <xf numFmtId="0" fontId="33" fillId="5" borderId="38" xfId="15" applyFont="1" applyFill="1" applyBorder="1" applyAlignment="1">
      <alignment horizontal="center" vertical="center" wrapText="1"/>
    </xf>
    <xf numFmtId="9" fontId="30" fillId="0" borderId="27" xfId="23" applyFont="1" applyFill="1" applyBorder="1" applyAlignment="1">
      <alignment horizontal="center" vertical="center" wrapText="1"/>
    </xf>
    <xf numFmtId="3" fontId="30" fillId="0" borderId="0" xfId="16" applyNumberFormat="1" applyFont="1" applyFill="1" applyAlignment="1">
      <alignment vertical="center" wrapText="1"/>
    </xf>
    <xf numFmtId="3" fontId="30" fillId="0" borderId="31" xfId="15" applyNumberFormat="1" applyFont="1" applyFill="1" applyBorder="1" applyAlignment="1">
      <alignment vertical="center" wrapText="1"/>
    </xf>
    <xf numFmtId="169" fontId="30" fillId="0" borderId="0" xfId="15" applyNumberFormat="1" applyFont="1" applyFill="1" applyAlignment="1">
      <alignment horizontal="center" vertical="center" wrapText="1"/>
    </xf>
    <xf numFmtId="0" fontId="30" fillId="0" borderId="31" xfId="15" applyFont="1" applyFill="1" applyBorder="1" applyAlignment="1">
      <alignment horizontal="center" vertical="center" wrapText="1"/>
    </xf>
    <xf numFmtId="3" fontId="30" fillId="0" borderId="0" xfId="15" applyNumberFormat="1" applyFont="1" applyFill="1" applyAlignment="1">
      <alignment horizontal="center" vertical="center" wrapText="1"/>
    </xf>
    <xf numFmtId="0" fontId="30" fillId="0" borderId="0" xfId="15" applyFont="1" applyFill="1" applyAlignment="1">
      <alignment horizontal="center" vertical="center" wrapText="1"/>
    </xf>
    <xf numFmtId="9" fontId="30" fillId="18" borderId="10" xfId="23" applyFont="1" applyFill="1" applyBorder="1" applyAlignment="1">
      <alignment horizontal="center" vertical="center" wrapText="1"/>
    </xf>
    <xf numFmtId="0" fontId="33" fillId="0" borderId="10" xfId="15" applyFont="1" applyFill="1" applyBorder="1" applyAlignment="1">
      <alignment vertical="center" wrapText="1"/>
    </xf>
    <xf numFmtId="0" fontId="56" fillId="26" borderId="26" xfId="0" applyFont="1" applyFill="1" applyBorder="1" applyAlignment="1">
      <alignment horizontal="right" vertical="center"/>
    </xf>
    <xf numFmtId="3" fontId="30" fillId="26" borderId="27" xfId="15" applyNumberFormat="1" applyFont="1" applyFill="1" applyBorder="1" applyAlignment="1">
      <alignment horizontal="right" vertical="center" wrapText="1"/>
    </xf>
    <xf numFmtId="3" fontId="33" fillId="26" borderId="26" xfId="15" applyNumberFormat="1" applyFont="1" applyFill="1" applyBorder="1" applyAlignment="1">
      <alignment horizontal="center" vertical="center" wrapText="1"/>
    </xf>
    <xf numFmtId="3" fontId="30" fillId="26" borderId="27" xfId="15" applyNumberFormat="1" applyFont="1" applyFill="1" applyBorder="1" applyAlignment="1">
      <alignment horizontal="center" vertical="center" wrapText="1"/>
    </xf>
    <xf numFmtId="3" fontId="33" fillId="26" borderId="10" xfId="15" applyNumberFormat="1" applyFont="1" applyFill="1" applyBorder="1" applyAlignment="1">
      <alignment horizontal="center" vertical="center" wrapText="1"/>
    </xf>
    <xf numFmtId="4" fontId="61" fillId="26" borderId="10" xfId="15" applyNumberFormat="1" applyFont="1" applyFill="1" applyBorder="1" applyAlignment="1">
      <alignment horizontal="center" vertical="center" wrapText="1"/>
    </xf>
    <xf numFmtId="167" fontId="30" fillId="26" borderId="10" xfId="15" applyNumberFormat="1" applyFont="1" applyFill="1" applyBorder="1" applyAlignment="1">
      <alignment horizontal="center" vertical="center" wrapText="1"/>
    </xf>
    <xf numFmtId="3" fontId="61" fillId="26" borderId="10" xfId="15" applyNumberFormat="1" applyFont="1" applyFill="1" applyBorder="1" applyAlignment="1">
      <alignment horizontal="center" vertical="center" wrapText="1"/>
    </xf>
    <xf numFmtId="3" fontId="33" fillId="26" borderId="20" xfId="15" applyNumberFormat="1" applyFont="1" applyFill="1" applyBorder="1" applyAlignment="1">
      <alignment horizontal="center" vertical="center" wrapText="1"/>
    </xf>
    <xf numFmtId="171" fontId="33" fillId="26" borderId="26" xfId="15" applyNumberFormat="1" applyFont="1" applyFill="1" applyBorder="1" applyAlignment="1">
      <alignment horizontal="center" vertical="center" wrapText="1"/>
    </xf>
    <xf numFmtId="4" fontId="30" fillId="26" borderId="10" xfId="15" applyNumberFormat="1" applyFont="1" applyFill="1" applyBorder="1" applyAlignment="1">
      <alignment horizontal="center" vertical="center" wrapText="1"/>
    </xf>
    <xf numFmtId="3" fontId="33" fillId="26" borderId="26" xfId="16" applyNumberFormat="1" applyFont="1" applyFill="1" applyBorder="1" applyAlignment="1">
      <alignment horizontal="center" vertical="center" wrapText="1"/>
    </xf>
    <xf numFmtId="3" fontId="56" fillId="26" borderId="10" xfId="0" applyNumberFormat="1" applyFont="1" applyFill="1" applyBorder="1" applyAlignment="1">
      <alignment horizontal="center" vertical="center" wrapText="1"/>
    </xf>
    <xf numFmtId="169" fontId="56" fillId="26" borderId="10" xfId="0" applyNumberFormat="1" applyFont="1" applyFill="1" applyBorder="1" applyAlignment="1">
      <alignment horizontal="center" vertical="center" wrapText="1"/>
    </xf>
    <xf numFmtId="171" fontId="58" fillId="26" borderId="26" xfId="5" applyNumberFormat="1" applyFont="1" applyFill="1" applyBorder="1" applyAlignment="1">
      <alignment horizontal="center" vertical="center" wrapText="1"/>
    </xf>
    <xf numFmtId="177" fontId="56" fillId="26" borderId="10" xfId="0" applyNumberFormat="1" applyFont="1" applyFill="1" applyBorder="1" applyAlignment="1">
      <alignment horizontal="center" vertical="center" wrapText="1"/>
    </xf>
    <xf numFmtId="178" fontId="56" fillId="26" borderId="10" xfId="0" applyNumberFormat="1" applyFont="1" applyFill="1" applyBorder="1" applyAlignment="1">
      <alignment horizontal="center" vertical="center" wrapText="1"/>
    </xf>
    <xf numFmtId="3" fontId="58" fillId="26" borderId="20" xfId="15" applyNumberFormat="1" applyFont="1" applyFill="1" applyBorder="1" applyAlignment="1">
      <alignment horizontal="center" vertical="center" wrapText="1"/>
    </xf>
    <xf numFmtId="0" fontId="56" fillId="26" borderId="10" xfId="0" applyFont="1" applyFill="1" applyBorder="1" applyAlignment="1">
      <alignment horizontal="center" vertical="center"/>
    </xf>
    <xf numFmtId="171" fontId="58" fillId="26" borderId="28" xfId="5" applyNumberFormat="1" applyFont="1" applyFill="1" applyBorder="1" applyAlignment="1">
      <alignment horizontal="center" vertical="center" wrapText="1"/>
    </xf>
    <xf numFmtId="171" fontId="58" fillId="26" borderId="10" xfId="5" applyNumberFormat="1" applyFont="1" applyFill="1" applyBorder="1" applyAlignment="1">
      <alignment horizontal="center" vertical="center" wrapText="1"/>
    </xf>
    <xf numFmtId="9" fontId="30" fillId="20" borderId="10" xfId="23" applyFont="1" applyFill="1" applyBorder="1" applyAlignment="1">
      <alignment horizontal="center" vertical="center" wrapText="1"/>
    </xf>
    <xf numFmtId="0" fontId="30" fillId="0" borderId="15" xfId="15" applyFont="1" applyFill="1" applyBorder="1" applyAlignment="1">
      <alignment horizontal="justify" vertical="center" wrapText="1"/>
    </xf>
    <xf numFmtId="3" fontId="30" fillId="19" borderId="27" xfId="15" applyNumberFormat="1" applyFont="1" applyFill="1" applyBorder="1" applyAlignment="1">
      <alignment horizontal="center" vertical="center" wrapText="1"/>
    </xf>
    <xf numFmtId="3" fontId="30" fillId="19" borderId="10" xfId="15" applyNumberFormat="1" applyFont="1" applyFill="1" applyBorder="1" applyAlignment="1">
      <alignment horizontal="right" vertical="center" wrapText="1"/>
    </xf>
    <xf numFmtId="167" fontId="30" fillId="19" borderId="10" xfId="15" applyNumberFormat="1" applyFont="1" applyFill="1" applyBorder="1" applyAlignment="1">
      <alignment horizontal="center" vertical="center" wrapText="1"/>
    </xf>
    <xf numFmtId="169" fontId="56" fillId="19" borderId="10" xfId="0" applyNumberFormat="1" applyFont="1" applyFill="1" applyBorder="1" applyAlignment="1">
      <alignment horizontal="center" vertical="center" wrapText="1"/>
    </xf>
    <xf numFmtId="171" fontId="30" fillId="19" borderId="12" xfId="5" applyNumberFormat="1" applyFont="1" applyFill="1" applyBorder="1" applyAlignment="1">
      <alignment vertical="center" wrapText="1"/>
    </xf>
    <xf numFmtId="3" fontId="28" fillId="19" borderId="0" xfId="15" applyNumberFormat="1" applyFont="1" applyFill="1" applyAlignment="1">
      <alignment vertical="center" wrapText="1"/>
    </xf>
    <xf numFmtId="0" fontId="28" fillId="19" borderId="0" xfId="15" applyFont="1" applyFill="1" applyAlignment="1">
      <alignment vertical="center" wrapText="1"/>
    </xf>
    <xf numFmtId="0" fontId="27" fillId="19" borderId="0" xfId="15" applyFont="1" applyFill="1" applyAlignment="1">
      <alignment vertical="center" wrapText="1"/>
    </xf>
    <xf numFmtId="171" fontId="30" fillId="0" borderId="15" xfId="2" applyNumberFormat="1" applyFont="1" applyFill="1" applyBorder="1" applyAlignment="1">
      <alignment horizontal="justify" vertical="center" wrapText="1"/>
    </xf>
    <xf numFmtId="9" fontId="30" fillId="18" borderId="10" xfId="23" applyNumberFormat="1" applyFont="1" applyFill="1" applyBorder="1" applyAlignment="1">
      <alignment horizontal="center" vertical="center" wrapText="1"/>
    </xf>
    <xf numFmtId="3" fontId="56" fillId="0" borderId="10" xfId="16" applyNumberFormat="1" applyFont="1" applyFill="1" applyBorder="1" applyAlignment="1">
      <alignment horizontal="right" vertical="center" wrapText="1"/>
    </xf>
    <xf numFmtId="0" fontId="33" fillId="21" borderId="15" xfId="0" applyFont="1" applyFill="1" applyBorder="1" applyAlignment="1">
      <alignment horizontal="justify" vertical="center" wrapText="1"/>
    </xf>
    <xf numFmtId="0" fontId="9" fillId="0" borderId="18"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22" borderId="10" xfId="0" applyFont="1" applyFill="1" applyBorder="1" applyAlignment="1">
      <alignment horizontal="center"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9" fillId="22" borderId="20" xfId="0" applyFont="1" applyFill="1" applyBorder="1" applyAlignment="1">
      <alignment horizontal="center" vertical="center" wrapText="1"/>
    </xf>
    <xf numFmtId="0" fontId="9" fillId="0" borderId="10" xfId="0" applyFont="1" applyFill="1" applyBorder="1" applyAlignment="1">
      <alignment horizontal="center" vertical="top" wrapText="1"/>
    </xf>
    <xf numFmtId="41" fontId="30" fillId="0" borderId="0" xfId="15" applyNumberFormat="1" applyFont="1" applyFill="1" applyAlignment="1">
      <alignment vertical="center" wrapText="1"/>
    </xf>
    <xf numFmtId="0" fontId="73" fillId="19" borderId="10" xfId="15" applyFont="1" applyFill="1" applyBorder="1" applyAlignment="1">
      <alignment horizontal="center" vertical="center" wrapText="1"/>
    </xf>
    <xf numFmtId="3" fontId="9" fillId="19" borderId="10" xfId="16" applyNumberFormat="1" applyFont="1" applyFill="1" applyBorder="1" applyAlignment="1">
      <alignment horizontal="center" vertical="center" wrapText="1"/>
    </xf>
    <xf numFmtId="3" fontId="10" fillId="20" borderId="0" xfId="0" applyNumberFormat="1" applyFont="1" applyFill="1" applyAlignment="1">
      <alignment vertical="center" wrapText="1"/>
    </xf>
    <xf numFmtId="3" fontId="10" fillId="20" borderId="10" xfId="0" applyNumberFormat="1" applyFont="1" applyFill="1" applyBorder="1" applyAlignment="1">
      <alignment vertical="center" wrapText="1"/>
    </xf>
    <xf numFmtId="3" fontId="9" fillId="20" borderId="10" xfId="0" applyNumberFormat="1" applyFont="1" applyFill="1" applyBorder="1" applyAlignment="1">
      <alignment vertical="center" wrapText="1"/>
    </xf>
    <xf numFmtId="0" fontId="9" fillId="20" borderId="20" xfId="0" applyFont="1" applyFill="1" applyBorder="1" applyAlignment="1">
      <alignment horizontal="center" vertical="center" wrapText="1"/>
    </xf>
    <xf numFmtId="4" fontId="9" fillId="20" borderId="10" xfId="0" applyNumberFormat="1" applyFont="1" applyFill="1" applyBorder="1" applyAlignment="1">
      <alignment horizontal="center" vertical="center" wrapText="1"/>
    </xf>
    <xf numFmtId="0" fontId="9" fillId="20" borderId="18" xfId="0" applyFont="1" applyFill="1" applyBorder="1" applyAlignment="1">
      <alignment horizontal="center" vertical="center" wrapText="1"/>
    </xf>
    <xf numFmtId="0" fontId="10" fillId="20" borderId="15" xfId="0" applyFont="1" applyFill="1" applyBorder="1" applyAlignment="1">
      <alignment horizontal="justify" vertical="center"/>
    </xf>
    <xf numFmtId="41" fontId="10" fillId="0" borderId="0" xfId="29" applyFont="1" applyFill="1" applyAlignment="1">
      <alignment horizontal="left" vertical="center" wrapText="1"/>
    </xf>
    <xf numFmtId="3" fontId="30" fillId="0" borderId="10" xfId="29" applyNumberFormat="1" applyFont="1" applyFill="1" applyBorder="1" applyAlignment="1">
      <alignment horizontal="center" vertical="center"/>
    </xf>
    <xf numFmtId="4" fontId="10" fillId="0" borderId="10" xfId="15" applyNumberFormat="1" applyFont="1" applyFill="1" applyBorder="1" applyAlignment="1">
      <alignment horizontal="center" vertical="center" wrapText="1"/>
    </xf>
    <xf numFmtId="0" fontId="74" fillId="3" borderId="3" xfId="16" applyFont="1" applyFill="1" applyBorder="1" applyAlignment="1">
      <alignment horizontal="center" vertical="top" wrapText="1"/>
    </xf>
    <xf numFmtId="0" fontId="74" fillId="33" borderId="3" xfId="16" applyFont="1" applyFill="1" applyBorder="1" applyAlignment="1">
      <alignment horizontal="center" vertical="top" wrapText="1"/>
    </xf>
    <xf numFmtId="1" fontId="64" fillId="0" borderId="10" xfId="0" applyNumberFormat="1" applyFont="1" applyFill="1" applyBorder="1" applyAlignment="1">
      <alignment horizontal="right" vertical="center" wrapText="1"/>
    </xf>
    <xf numFmtId="3" fontId="76" fillId="8" borderId="0" xfId="0" applyNumberFormat="1" applyFont="1" applyFill="1" applyAlignment="1">
      <alignment vertical="center" wrapText="1"/>
    </xf>
    <xf numFmtId="4" fontId="10" fillId="0" borderId="26" xfId="15" applyNumberFormat="1" applyFont="1" applyFill="1" applyBorder="1" applyAlignment="1">
      <alignment horizontal="center" vertical="center" wrapText="1"/>
    </xf>
    <xf numFmtId="1" fontId="30" fillId="18" borderId="10" xfId="23" applyNumberFormat="1" applyFont="1" applyFill="1" applyBorder="1" applyAlignment="1">
      <alignment horizontal="center" vertical="center" wrapText="1"/>
    </xf>
    <xf numFmtId="1" fontId="30" fillId="0" borderId="27" xfId="23" applyNumberFormat="1" applyFont="1" applyFill="1" applyBorder="1" applyAlignment="1">
      <alignment horizontal="center" vertical="center" wrapText="1"/>
    </xf>
    <xf numFmtId="1" fontId="10" fillId="0" borderId="10" xfId="15" applyNumberFormat="1" applyFont="1" applyFill="1" applyBorder="1" applyAlignment="1">
      <alignment horizontal="center" vertical="center" wrapText="1"/>
    </xf>
    <xf numFmtId="1" fontId="10" fillId="0" borderId="10" xfId="23" applyNumberFormat="1" applyFont="1" applyFill="1" applyBorder="1" applyAlignment="1">
      <alignment horizontal="center" vertical="center" wrapText="1"/>
    </xf>
    <xf numFmtId="173" fontId="10" fillId="0" borderId="10" xfId="23" applyNumberFormat="1" applyFont="1" applyFill="1" applyBorder="1" applyAlignment="1">
      <alignment horizontal="center" vertical="center" wrapText="1"/>
    </xf>
    <xf numFmtId="173" fontId="10" fillId="0" borderId="10" xfId="16" applyNumberFormat="1" applyFont="1" applyFill="1" applyBorder="1" applyAlignment="1">
      <alignment horizontal="center" vertical="center" wrapText="1"/>
    </xf>
    <xf numFmtId="9" fontId="29" fillId="20" borderId="66" xfId="23" applyNumberFormat="1" applyFont="1" applyFill="1" applyBorder="1" applyAlignment="1">
      <alignment horizontal="right" vertical="center" wrapText="1"/>
    </xf>
    <xf numFmtId="168" fontId="9" fillId="0" borderId="10" xfId="0" applyNumberFormat="1" applyFont="1" applyFill="1" applyBorder="1" applyAlignment="1">
      <alignment horizontal="justify" vertical="center" wrapText="1"/>
    </xf>
    <xf numFmtId="3" fontId="9" fillId="0" borderId="10" xfId="0" applyNumberFormat="1" applyFont="1" applyFill="1" applyBorder="1" applyAlignment="1">
      <alignment horizontal="justify" vertical="center" wrapText="1"/>
    </xf>
    <xf numFmtId="3" fontId="10" fillId="0" borderId="10" xfId="0" applyNumberFormat="1" applyFont="1" applyFill="1" applyBorder="1" applyAlignment="1">
      <alignment horizontal="justify" vertical="center" wrapText="1"/>
    </xf>
    <xf numFmtId="0" fontId="77" fillId="0" borderId="10" xfId="0" applyFont="1" applyBorder="1" applyAlignment="1">
      <alignment horizontal="justify" vertical="center" wrapText="1"/>
    </xf>
    <xf numFmtId="166" fontId="10" fillId="0" borderId="10" xfId="2" applyFont="1" applyFill="1" applyBorder="1" applyAlignment="1">
      <alignment horizontal="justify" vertical="center" wrapText="1"/>
    </xf>
    <xf numFmtId="0" fontId="78" fillId="0" borderId="10" xfId="0" applyFont="1" applyBorder="1" applyAlignment="1">
      <alignment horizontal="justify" vertical="center" wrapText="1"/>
    </xf>
    <xf numFmtId="0" fontId="74" fillId="4" borderId="3" xfId="16" applyFont="1" applyFill="1" applyBorder="1" applyAlignment="1">
      <alignment horizontal="center" vertical="top" wrapText="1"/>
    </xf>
    <xf numFmtId="0" fontId="74" fillId="10" borderId="3" xfId="16" applyFont="1" applyFill="1" applyBorder="1" applyAlignment="1">
      <alignment horizontal="center" vertical="top" wrapText="1"/>
    </xf>
    <xf numFmtId="0" fontId="74" fillId="10" borderId="8" xfId="16" applyFont="1" applyFill="1" applyBorder="1" applyAlignment="1">
      <alignment horizontal="center" vertical="top" wrapText="1"/>
    </xf>
    <xf numFmtId="0" fontId="9" fillId="14" borderId="10" xfId="0" applyFont="1" applyFill="1" applyBorder="1" applyAlignment="1">
      <alignment horizontal="center" vertical="top" wrapText="1"/>
    </xf>
    <xf numFmtId="171" fontId="9" fillId="14" borderId="10" xfId="2" applyNumberFormat="1" applyFont="1" applyFill="1" applyBorder="1" applyAlignment="1">
      <alignment horizontal="center" vertical="center" wrapText="1"/>
    </xf>
    <xf numFmtId="0" fontId="10" fillId="25" borderId="10" xfId="15" applyFont="1" applyFill="1" applyBorder="1" applyAlignment="1">
      <alignment horizontal="justify" vertical="center" wrapText="1"/>
    </xf>
    <xf numFmtId="0" fontId="9" fillId="14" borderId="10" xfId="0" applyFont="1" applyFill="1" applyBorder="1" applyAlignment="1">
      <alignment horizontal="center" vertical="center" wrapText="1"/>
    </xf>
    <xf numFmtId="4" fontId="9" fillId="14" borderId="10" xfId="0" applyNumberFormat="1" applyFont="1" applyFill="1" applyBorder="1" applyAlignment="1">
      <alignment horizontal="center" vertical="center" wrapText="1"/>
    </xf>
    <xf numFmtId="167" fontId="9" fillId="14" borderId="10" xfId="0" applyNumberFormat="1" applyFont="1" applyFill="1" applyBorder="1" applyAlignment="1">
      <alignment horizontal="center" vertical="center" wrapText="1"/>
    </xf>
    <xf numFmtId="0" fontId="9" fillId="19" borderId="10" xfId="15" applyFont="1" applyFill="1" applyBorder="1" applyAlignment="1">
      <alignment horizontal="justify" vertical="center" wrapText="1"/>
    </xf>
    <xf numFmtId="0" fontId="9" fillId="25" borderId="10" xfId="15" applyFont="1" applyFill="1" applyBorder="1" applyAlignment="1">
      <alignment horizontal="justify" vertical="center" wrapText="1"/>
    </xf>
    <xf numFmtId="0" fontId="9" fillId="21" borderId="10" xfId="0" applyFont="1" applyFill="1" applyBorder="1" applyAlignment="1">
      <alignment horizontal="justify" vertical="center" wrapText="1"/>
    </xf>
    <xf numFmtId="3" fontId="52" fillId="14" borderId="10" xfId="0" applyNumberFormat="1" applyFont="1" applyFill="1" applyBorder="1" applyAlignment="1">
      <alignment horizontal="center" vertical="center" wrapText="1"/>
    </xf>
    <xf numFmtId="3" fontId="9" fillId="14" borderId="10" xfId="15" applyNumberFormat="1" applyFont="1" applyFill="1" applyBorder="1" applyAlignment="1">
      <alignment horizontal="center" vertical="center" wrapText="1"/>
    </xf>
    <xf numFmtId="2" fontId="10" fillId="0" borderId="10" xfId="16" applyNumberFormat="1" applyFont="1" applyFill="1" applyBorder="1" applyAlignment="1">
      <alignment horizontal="center" vertical="center" wrapText="1"/>
    </xf>
    <xf numFmtId="0" fontId="10" fillId="0" borderId="10" xfId="15" applyFont="1" applyFill="1" applyBorder="1" applyAlignment="1">
      <alignment horizontal="justify" vertical="center" wrapText="1"/>
    </xf>
    <xf numFmtId="1" fontId="49" fillId="18" borderId="10" xfId="23" applyNumberFormat="1" applyFont="1" applyFill="1" applyBorder="1" applyAlignment="1">
      <alignment horizontal="center" vertical="center" wrapText="1"/>
    </xf>
    <xf numFmtId="3" fontId="33" fillId="14" borderId="26" xfId="15" applyNumberFormat="1" applyFont="1" applyFill="1" applyBorder="1" applyAlignment="1">
      <alignment horizontal="center" vertical="center" wrapText="1"/>
    </xf>
    <xf numFmtId="3" fontId="30" fillId="26" borderId="26" xfId="15" applyNumberFormat="1" applyFont="1" applyFill="1" applyBorder="1" applyAlignment="1">
      <alignment horizontal="center" vertical="center" wrapText="1"/>
    </xf>
    <xf numFmtId="1" fontId="30" fillId="26" borderId="10" xfId="15" applyNumberFormat="1" applyFont="1" applyFill="1" applyBorder="1" applyAlignment="1">
      <alignment horizontal="center" vertical="center" wrapText="1"/>
    </xf>
    <xf numFmtId="3" fontId="30" fillId="26" borderId="18" xfId="15" applyNumberFormat="1" applyFont="1" applyFill="1" applyBorder="1" applyAlignment="1">
      <alignment horizontal="center" vertical="center" wrapText="1"/>
    </xf>
    <xf numFmtId="167" fontId="30" fillId="26" borderId="18" xfId="15" applyNumberFormat="1" applyFont="1" applyFill="1" applyBorder="1" applyAlignment="1">
      <alignment horizontal="center" vertical="center" wrapText="1"/>
    </xf>
    <xf numFmtId="167" fontId="30" fillId="26" borderId="26" xfId="15" applyNumberFormat="1" applyFont="1" applyFill="1" applyBorder="1" applyAlignment="1">
      <alignment horizontal="center" vertical="center" wrapText="1"/>
    </xf>
    <xf numFmtId="1" fontId="56" fillId="26" borderId="10" xfId="14" applyNumberFormat="1" applyFont="1" applyFill="1" applyBorder="1" applyAlignment="1">
      <alignment horizontal="center" vertical="center"/>
    </xf>
    <xf numFmtId="0" fontId="56" fillId="26" borderId="10" xfId="14" applyFont="1" applyFill="1" applyBorder="1" applyAlignment="1">
      <alignment horizontal="center" vertical="center"/>
    </xf>
    <xf numFmtId="3" fontId="33" fillId="26" borderId="0" xfId="15" applyNumberFormat="1" applyFont="1" applyFill="1" applyBorder="1" applyAlignment="1">
      <alignment horizontal="center" vertical="center" wrapText="1"/>
    </xf>
    <xf numFmtId="173" fontId="30" fillId="26" borderId="10" xfId="23" applyNumberFormat="1" applyFont="1" applyFill="1" applyBorder="1" applyAlignment="1">
      <alignment horizontal="center" vertical="center" wrapText="1"/>
    </xf>
    <xf numFmtId="3" fontId="33" fillId="14" borderId="35" xfId="15" applyNumberFormat="1" applyFont="1" applyFill="1" applyBorder="1" applyAlignment="1">
      <alignment horizontal="center" vertical="center" wrapText="1"/>
    </xf>
    <xf numFmtId="0" fontId="27" fillId="26" borderId="31" xfId="15" applyFont="1" applyFill="1" applyBorder="1" applyAlignment="1">
      <alignment horizontal="center" vertical="center" wrapText="1"/>
    </xf>
    <xf numFmtId="0" fontId="30" fillId="4" borderId="10" xfId="15" applyFont="1" applyFill="1" applyBorder="1" applyAlignment="1">
      <alignment horizontal="center" vertical="center" wrapText="1"/>
    </xf>
    <xf numFmtId="0" fontId="30" fillId="4" borderId="0" xfId="15" applyFont="1" applyFill="1" applyBorder="1" applyAlignment="1">
      <alignment horizontal="center" vertical="center" wrapText="1"/>
    </xf>
    <xf numFmtId="0" fontId="33" fillId="5" borderId="38" xfId="15" applyFont="1" applyFill="1" applyBorder="1" applyAlignment="1">
      <alignment horizontal="center" vertical="center" wrapText="1"/>
    </xf>
    <xf numFmtId="0" fontId="33" fillId="14" borderId="39" xfId="15" applyFont="1" applyFill="1" applyBorder="1" applyAlignment="1">
      <alignment horizontal="center" vertical="center" wrapText="1"/>
    </xf>
    <xf numFmtId="0" fontId="33" fillId="5" borderId="35" xfId="15" applyFont="1" applyFill="1" applyBorder="1" applyAlignment="1">
      <alignment horizontal="center" vertical="center" wrapText="1"/>
    </xf>
    <xf numFmtId="0" fontId="50" fillId="9" borderId="49" xfId="15" applyFont="1" applyFill="1" applyBorder="1" applyAlignment="1">
      <alignment horizontal="center" vertical="center" wrapText="1"/>
    </xf>
    <xf numFmtId="0" fontId="50" fillId="9" borderId="50" xfId="15" applyFont="1" applyFill="1" applyBorder="1" applyAlignment="1">
      <alignment horizontal="center" vertical="center" wrapText="1"/>
    </xf>
    <xf numFmtId="0" fontId="50" fillId="9" borderId="51" xfId="15" applyFont="1" applyFill="1" applyBorder="1" applyAlignment="1">
      <alignment horizontal="center" vertical="center" wrapText="1"/>
    </xf>
    <xf numFmtId="0" fontId="33" fillId="0" borderId="30" xfId="15" applyFont="1" applyFill="1" applyBorder="1" applyAlignment="1">
      <alignment horizontal="center" vertical="center" wrapText="1"/>
    </xf>
    <xf numFmtId="0" fontId="33" fillId="0" borderId="31" xfId="15" applyFont="1" applyFill="1" applyBorder="1" applyAlignment="1">
      <alignment horizontal="center" vertical="center" wrapText="1"/>
    </xf>
    <xf numFmtId="0" fontId="33" fillId="13" borderId="44" xfId="15" applyFont="1" applyFill="1" applyBorder="1" applyAlignment="1">
      <alignment horizontal="center" vertical="center" wrapText="1"/>
    </xf>
    <xf numFmtId="0" fontId="33" fillId="13" borderId="52" xfId="15" applyFont="1" applyFill="1" applyBorder="1" applyAlignment="1">
      <alignment horizontal="center" vertical="center" wrapText="1"/>
    </xf>
    <xf numFmtId="0" fontId="33" fillId="13" borderId="45" xfId="15" applyFont="1" applyFill="1" applyBorder="1" applyAlignment="1">
      <alignment horizontal="center" vertical="center" wrapText="1"/>
    </xf>
    <xf numFmtId="0" fontId="33" fillId="26" borderId="44" xfId="15" applyFont="1" applyFill="1" applyBorder="1" applyAlignment="1">
      <alignment horizontal="center" vertical="center" wrapText="1"/>
    </xf>
    <xf numFmtId="0" fontId="33" fillId="26" borderId="45" xfId="15" applyFont="1" applyFill="1" applyBorder="1" applyAlignment="1">
      <alignment horizontal="center" vertical="center" wrapText="1"/>
    </xf>
    <xf numFmtId="0" fontId="33" fillId="13" borderId="46" xfId="15" applyFont="1" applyFill="1" applyBorder="1" applyAlignment="1">
      <alignment horizontal="center" vertical="center" wrapText="1"/>
    </xf>
    <xf numFmtId="0" fontId="33" fillId="13" borderId="47" xfId="15" applyFont="1" applyFill="1" applyBorder="1" applyAlignment="1">
      <alignment horizontal="center" vertical="center" wrapText="1"/>
    </xf>
    <xf numFmtId="0" fontId="33" fillId="13" borderId="48" xfId="15" applyFont="1" applyFill="1" applyBorder="1" applyAlignment="1">
      <alignment horizontal="center" vertical="center" wrapText="1"/>
    </xf>
    <xf numFmtId="0" fontId="12" fillId="30" borderId="49" xfId="16" applyFont="1" applyFill="1" applyBorder="1" applyAlignment="1">
      <alignment horizontal="center" vertical="center" wrapText="1"/>
    </xf>
    <xf numFmtId="0" fontId="12" fillId="30" borderId="50" xfId="16" applyFont="1" applyFill="1" applyBorder="1" applyAlignment="1">
      <alignment horizontal="center" vertical="center" wrapText="1"/>
    </xf>
    <xf numFmtId="0" fontId="12" fillId="30" borderId="51" xfId="16" applyFont="1" applyFill="1" applyBorder="1" applyAlignment="1">
      <alignment horizontal="center" vertical="center" wrapText="1"/>
    </xf>
    <xf numFmtId="0" fontId="75" fillId="34" borderId="6" xfId="0" applyFont="1" applyFill="1" applyBorder="1" applyAlignment="1" applyProtection="1">
      <alignment horizontal="center" vertical="center" wrapText="1"/>
      <protection locked="0"/>
    </xf>
    <xf numFmtId="0" fontId="75" fillId="34" borderId="19" xfId="0" applyFont="1" applyFill="1" applyBorder="1" applyAlignment="1" applyProtection="1">
      <alignment horizontal="center" vertical="center" wrapText="1"/>
      <protection locked="0"/>
    </xf>
    <xf numFmtId="0" fontId="75" fillId="34" borderId="7" xfId="0" applyFont="1" applyFill="1" applyBorder="1" applyAlignment="1" applyProtection="1">
      <alignment horizontal="center" vertical="center" wrapText="1"/>
      <protection locked="0"/>
    </xf>
    <xf numFmtId="0" fontId="75" fillId="34" borderId="20" xfId="0" applyFont="1" applyFill="1" applyBorder="1" applyAlignment="1" applyProtection="1">
      <alignment horizontal="center" vertical="center" wrapText="1"/>
      <protection locked="0"/>
    </xf>
    <xf numFmtId="0" fontId="75" fillId="34" borderId="14" xfId="0" applyFont="1" applyFill="1" applyBorder="1" applyAlignment="1" applyProtection="1">
      <alignment horizontal="center" vertical="center" wrapText="1"/>
      <protection locked="0"/>
    </xf>
    <xf numFmtId="0" fontId="75" fillId="34" borderId="21" xfId="0" applyFont="1" applyFill="1" applyBorder="1" applyAlignment="1" applyProtection="1">
      <alignment horizontal="center" vertical="center" wrapText="1"/>
      <protection locked="0"/>
    </xf>
    <xf numFmtId="0" fontId="9" fillId="35" borderId="9" xfId="0" applyFont="1" applyFill="1" applyBorder="1" applyAlignment="1">
      <alignment horizontal="center" vertical="center" wrapText="1"/>
    </xf>
    <xf numFmtId="0" fontId="9" fillId="35" borderId="0" xfId="0" applyFont="1" applyFill="1" applyBorder="1" applyAlignment="1">
      <alignment horizontal="center" vertical="center" wrapText="1"/>
    </xf>
    <xf numFmtId="3" fontId="10" fillId="0" borderId="10" xfId="0" applyNumberFormat="1" applyFont="1" applyFill="1" applyBorder="1" applyAlignment="1">
      <alignment horizontal="justify" vertical="center" wrapText="1"/>
    </xf>
    <xf numFmtId="0" fontId="9" fillId="14" borderId="1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18"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0"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9" fillId="20" borderId="28" xfId="0" applyFont="1" applyFill="1" applyBorder="1" applyAlignment="1">
      <alignment horizontal="center" vertical="center" wrapText="1"/>
    </xf>
    <xf numFmtId="3" fontId="9" fillId="0" borderId="26" xfId="0" applyNumberFormat="1" applyFont="1" applyFill="1" applyBorder="1" applyAlignment="1">
      <alignment horizontal="left" vertical="center" wrapText="1"/>
    </xf>
    <xf numFmtId="3" fontId="9" fillId="0" borderId="10" xfId="0" applyNumberFormat="1" applyFont="1" applyFill="1" applyBorder="1" applyAlignment="1">
      <alignment horizontal="left" vertical="center" wrapText="1"/>
    </xf>
    <xf numFmtId="0" fontId="9" fillId="0" borderId="20" xfId="0" applyFont="1" applyFill="1" applyBorder="1" applyAlignment="1">
      <alignment horizontal="left" vertical="center" wrapText="1"/>
    </xf>
    <xf numFmtId="3" fontId="9" fillId="0" borderId="18" xfId="0" applyNumberFormat="1" applyFont="1" applyFill="1" applyBorder="1" applyAlignment="1">
      <alignment horizontal="left" vertical="center" wrapText="1"/>
    </xf>
    <xf numFmtId="3" fontId="9" fillId="0" borderId="25" xfId="0" applyNumberFormat="1" applyFont="1" applyFill="1" applyBorder="1" applyAlignment="1">
      <alignment horizontal="left" vertical="center" wrapText="1"/>
    </xf>
    <xf numFmtId="3" fontId="9" fillId="0" borderId="27" xfId="0" applyNumberFormat="1" applyFont="1" applyFill="1" applyBorder="1" applyAlignment="1">
      <alignment horizontal="left" vertical="center" wrapText="1"/>
    </xf>
    <xf numFmtId="3" fontId="9" fillId="0" borderId="12" xfId="0" applyNumberFormat="1" applyFont="1" applyFill="1" applyBorder="1" applyAlignment="1">
      <alignment horizontal="right" vertical="center" wrapText="1"/>
    </xf>
    <xf numFmtId="0" fontId="9" fillId="22" borderId="10"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10" fillId="0" borderId="10" xfId="0" applyFont="1" applyFill="1" applyBorder="1"/>
    <xf numFmtId="0" fontId="10" fillId="0" borderId="20" xfId="0" applyFont="1" applyFill="1" applyBorder="1"/>
    <xf numFmtId="0" fontId="9" fillId="13" borderId="20"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27" borderId="57" xfId="0" applyFont="1" applyFill="1" applyBorder="1" applyAlignment="1">
      <alignment horizontal="left" vertical="justify" wrapText="1"/>
    </xf>
    <xf numFmtId="0" fontId="9" fillId="27" borderId="58" xfId="0" applyFont="1" applyFill="1" applyBorder="1" applyAlignment="1">
      <alignment horizontal="left" vertical="justify" wrapText="1"/>
    </xf>
    <xf numFmtId="0" fontId="9" fillId="27" borderId="59" xfId="0" applyFont="1" applyFill="1" applyBorder="1" applyAlignment="1">
      <alignment horizontal="left" vertical="justify" wrapText="1"/>
    </xf>
    <xf numFmtId="0" fontId="9" fillId="0" borderId="20" xfId="0" applyFont="1" applyFill="1" applyBorder="1" applyAlignment="1">
      <alignment horizontal="center" vertical="top" wrapText="1"/>
    </xf>
    <xf numFmtId="0" fontId="9" fillId="0" borderId="28" xfId="0" applyFont="1" applyFill="1" applyBorder="1" applyAlignment="1">
      <alignment horizontal="center" vertical="top" wrapText="1"/>
    </xf>
    <xf numFmtId="0" fontId="9" fillId="27" borderId="49" xfId="0" applyFont="1" applyFill="1" applyBorder="1" applyAlignment="1">
      <alignment horizontal="left" vertical="center" wrapText="1"/>
    </xf>
    <xf numFmtId="0" fontId="9" fillId="27" borderId="50" xfId="0" applyFont="1" applyFill="1" applyBorder="1" applyAlignment="1">
      <alignment horizontal="left" vertical="center" wrapText="1"/>
    </xf>
    <xf numFmtId="0" fontId="9" fillId="27" borderId="65" xfId="0" applyFont="1" applyFill="1" applyBorder="1" applyAlignment="1">
      <alignment horizontal="left" vertical="center" wrapText="1"/>
    </xf>
    <xf numFmtId="0" fontId="9" fillId="27" borderId="55" xfId="0" applyFont="1" applyFill="1" applyBorder="1" applyAlignment="1">
      <alignment horizontal="left" vertical="justify" wrapText="1"/>
    </xf>
    <xf numFmtId="0" fontId="9" fillId="27" borderId="52" xfId="0" applyFont="1" applyFill="1" applyBorder="1" applyAlignment="1">
      <alignment horizontal="left" vertical="justify" wrapText="1"/>
    </xf>
    <xf numFmtId="0" fontId="9" fillId="27" borderId="45" xfId="0" applyFont="1" applyFill="1" applyBorder="1" applyAlignment="1">
      <alignment horizontal="left" vertical="justify" wrapText="1"/>
    </xf>
    <xf numFmtId="0" fontId="9" fillId="27" borderId="63" xfId="0" applyFont="1" applyFill="1" applyBorder="1" applyAlignment="1">
      <alignment horizontal="left" vertical="justify" wrapText="1"/>
    </xf>
    <xf numFmtId="0" fontId="9" fillId="27" borderId="64" xfId="0" applyFont="1" applyFill="1" applyBorder="1" applyAlignment="1">
      <alignment horizontal="left" vertical="justify" wrapText="1"/>
    </xf>
    <xf numFmtId="3" fontId="9" fillId="0" borderId="3" xfId="0" applyNumberFormat="1" applyFont="1" applyFill="1" applyBorder="1" applyAlignment="1">
      <alignment horizontal="center" vertical="center" wrapText="1"/>
    </xf>
    <xf numFmtId="3" fontId="9" fillId="0" borderId="62" xfId="0" applyNumberFormat="1" applyFont="1" applyFill="1" applyBorder="1" applyAlignment="1">
      <alignment horizontal="center" vertical="center" wrapText="1"/>
    </xf>
    <xf numFmtId="3" fontId="9" fillId="0" borderId="22" xfId="0" applyNumberFormat="1" applyFont="1" applyFill="1" applyBorder="1" applyAlignment="1">
      <alignment horizontal="center" vertical="center" wrapText="1"/>
    </xf>
    <xf numFmtId="0" fontId="9" fillId="0" borderId="19" xfId="0" applyFont="1" applyFill="1" applyBorder="1" applyAlignment="1">
      <alignment horizontal="center" vertical="top" wrapText="1"/>
    </xf>
    <xf numFmtId="0" fontId="9" fillId="0" borderId="37" xfId="0" applyFont="1" applyFill="1" applyBorder="1" applyAlignment="1">
      <alignment horizontal="center" vertical="top" wrapText="1"/>
    </xf>
    <xf numFmtId="0" fontId="9" fillId="0" borderId="33" xfId="0" applyFont="1" applyFill="1" applyBorder="1" applyAlignment="1">
      <alignment horizontal="center" vertical="top" wrapText="1"/>
    </xf>
    <xf numFmtId="0" fontId="9" fillId="22" borderId="20" xfId="0" applyFont="1" applyFill="1" applyBorder="1" applyAlignment="1">
      <alignment horizontal="center" vertical="center" wrapText="1"/>
    </xf>
    <xf numFmtId="0" fontId="9" fillId="22" borderId="26" xfId="0" applyFont="1" applyFill="1" applyBorder="1" applyAlignment="1">
      <alignment horizontal="center" vertical="center" wrapText="1"/>
    </xf>
    <xf numFmtId="0" fontId="9" fillId="0" borderId="18"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7" xfId="0" applyFont="1" applyFill="1" applyBorder="1" applyAlignment="1">
      <alignment horizontal="left" vertical="center" wrapText="1"/>
    </xf>
    <xf numFmtId="4" fontId="9" fillId="13" borderId="10" xfId="0" applyNumberFormat="1" applyFont="1" applyFill="1" applyBorder="1" applyAlignment="1">
      <alignment horizontal="center" vertical="center" wrapText="1"/>
    </xf>
    <xf numFmtId="4" fontId="9" fillId="13" borderId="12" xfId="0" applyNumberFormat="1" applyFont="1" applyFill="1" applyBorder="1" applyAlignment="1">
      <alignment horizontal="center" vertical="center" wrapText="1"/>
    </xf>
    <xf numFmtId="0" fontId="9" fillId="13" borderId="7" xfId="0" applyFont="1" applyFill="1" applyBorder="1" applyAlignment="1">
      <alignment horizontal="center" vertical="center" wrapText="1"/>
    </xf>
    <xf numFmtId="4" fontId="9" fillId="13" borderId="7" xfId="0" applyNumberFormat="1" applyFont="1" applyFill="1" applyBorder="1" applyAlignment="1">
      <alignment horizontal="center" vertical="center" wrapText="1"/>
    </xf>
    <xf numFmtId="4" fontId="9" fillId="13" borderId="14" xfId="0" applyNumberFormat="1"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16" xfId="0" applyFont="1" applyFill="1" applyBorder="1" applyAlignment="1">
      <alignment horizontal="center" vertical="center" wrapText="1"/>
    </xf>
    <xf numFmtId="0" fontId="9" fillId="22" borderId="7"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13" borderId="15" xfId="0" applyFont="1" applyFill="1" applyBorder="1" applyAlignment="1">
      <alignment horizontal="center" vertical="center" wrapText="1"/>
    </xf>
    <xf numFmtId="0" fontId="10" fillId="0" borderId="12" xfId="0" applyFont="1" applyBorder="1"/>
    <xf numFmtId="0" fontId="9" fillId="0" borderId="1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0" xfId="0" applyFont="1" applyFill="1" applyBorder="1" applyAlignment="1">
      <alignment horizontal="center" vertical="top" wrapText="1"/>
    </xf>
    <xf numFmtId="0" fontId="9" fillId="13" borderId="34" xfId="0" applyFont="1" applyFill="1" applyBorder="1" applyAlignment="1">
      <alignment horizontal="center" vertical="center" wrapText="1"/>
    </xf>
    <xf numFmtId="0" fontId="9" fillId="13" borderId="35" xfId="0" applyFont="1" applyFill="1" applyBorder="1" applyAlignment="1">
      <alignment horizontal="center" vertical="center" wrapText="1"/>
    </xf>
    <xf numFmtId="0" fontId="9" fillId="0" borderId="26" xfId="0" applyFont="1" applyFill="1" applyBorder="1" applyAlignment="1">
      <alignment horizontal="center" vertical="top" wrapText="1"/>
    </xf>
    <xf numFmtId="0" fontId="10" fillId="8" borderId="2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13" borderId="19" xfId="0" applyFont="1" applyFill="1" applyBorder="1" applyAlignment="1">
      <alignment horizontal="center" vertical="center" wrapText="1"/>
    </xf>
    <xf numFmtId="0" fontId="9" fillId="13" borderId="33" xfId="0" applyFont="1" applyFill="1" applyBorder="1" applyAlignment="1">
      <alignment horizontal="center" vertical="center" wrapText="1"/>
    </xf>
    <xf numFmtId="0" fontId="9" fillId="27" borderId="9" xfId="0" applyFont="1" applyFill="1" applyBorder="1" applyAlignment="1">
      <alignment horizontal="left" vertical="justify" wrapText="1"/>
    </xf>
    <xf numFmtId="0" fontId="9" fillId="27" borderId="0" xfId="0" applyFont="1" applyFill="1" applyBorder="1" applyAlignment="1">
      <alignment horizontal="left" vertical="justify" wrapText="1"/>
    </xf>
    <xf numFmtId="0" fontId="9" fillId="27" borderId="49" xfId="0" applyFont="1" applyFill="1" applyBorder="1" applyAlignment="1">
      <alignment horizontal="left" vertical="justify" wrapText="1"/>
    </xf>
    <xf numFmtId="0" fontId="9" fillId="27" borderId="50" xfId="0" applyFont="1" applyFill="1" applyBorder="1" applyAlignment="1">
      <alignment horizontal="left" vertical="justify" wrapText="1"/>
    </xf>
    <xf numFmtId="0" fontId="9" fillId="27" borderId="51" xfId="0" applyFont="1" applyFill="1" applyBorder="1" applyAlignment="1">
      <alignment horizontal="left" vertical="justify" wrapText="1"/>
    </xf>
    <xf numFmtId="0" fontId="26" fillId="0" borderId="0" xfId="16" applyFont="1" applyBorder="1" applyAlignment="1" applyProtection="1">
      <alignment horizontal="center"/>
    </xf>
    <xf numFmtId="0" fontId="26" fillId="0" borderId="31" xfId="16" applyFont="1" applyBorder="1" applyAlignment="1" applyProtection="1">
      <alignment horizontal="center"/>
    </xf>
    <xf numFmtId="0" fontId="26" fillId="30" borderId="0" xfId="16" applyFont="1" applyFill="1" applyBorder="1" applyAlignment="1">
      <alignment horizontal="center" vertical="center"/>
    </xf>
    <xf numFmtId="0" fontId="26" fillId="0" borderId="8" xfId="16" applyFont="1" applyBorder="1" applyAlignment="1" applyProtection="1">
      <alignment horizontal="center" vertical="center"/>
    </xf>
    <xf numFmtId="0" fontId="26" fillId="0" borderId="53" xfId="16" applyFont="1" applyBorder="1" applyAlignment="1" applyProtection="1">
      <alignment horizontal="center" vertical="center"/>
    </xf>
    <xf numFmtId="0" fontId="26" fillId="0" borderId="54" xfId="16" applyFont="1" applyBorder="1" applyAlignment="1" applyProtection="1">
      <alignment horizontal="center" vertical="center"/>
    </xf>
    <xf numFmtId="0" fontId="26" fillId="0" borderId="9" xfId="16" applyFont="1" applyBorder="1" applyAlignment="1" applyProtection="1">
      <alignment horizontal="center" vertical="center"/>
    </xf>
    <xf numFmtId="0" fontId="26" fillId="0" borderId="0" xfId="16" applyFont="1" applyBorder="1" applyAlignment="1" applyProtection="1">
      <alignment horizontal="center" vertical="center"/>
    </xf>
    <xf numFmtId="0" fontId="26" fillId="0" borderId="13" xfId="16" applyFont="1" applyBorder="1" applyAlignment="1" applyProtection="1">
      <alignment horizontal="center" vertical="center"/>
    </xf>
    <xf numFmtId="0" fontId="0" fillId="0" borderId="50" xfId="0" applyBorder="1" applyAlignment="1" applyProtection="1">
      <alignment horizontal="center" vertical="center"/>
    </xf>
    <xf numFmtId="0" fontId="0" fillId="0" borderId="51" xfId="0" applyBorder="1" applyAlignment="1" applyProtection="1">
      <alignment horizontal="center" vertical="center"/>
    </xf>
    <xf numFmtId="0" fontId="19" fillId="0" borderId="9"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29" fillId="13" borderId="15" xfId="0" applyFont="1" applyFill="1" applyBorder="1" applyAlignment="1">
      <alignment horizontal="left" vertical="center" wrapText="1"/>
    </xf>
    <xf numFmtId="0" fontId="29" fillId="13" borderId="10" xfId="0" applyFont="1" applyFill="1" applyBorder="1" applyAlignment="1">
      <alignment horizontal="left" vertical="center" wrapText="1"/>
    </xf>
    <xf numFmtId="0" fontId="29" fillId="13" borderId="12" xfId="0" applyFont="1" applyFill="1" applyBorder="1" applyAlignment="1">
      <alignment horizontal="left" vertical="center" wrapText="1"/>
    </xf>
    <xf numFmtId="0" fontId="11" fillId="0" borderId="53" xfId="0" applyFont="1" applyFill="1" applyBorder="1" applyAlignment="1">
      <alignment horizontal="center" vertical="center"/>
    </xf>
    <xf numFmtId="0" fontId="11" fillId="0" borderId="5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13" xfId="0" applyFont="1" applyFill="1" applyBorder="1" applyAlignment="1">
      <alignment horizontal="center" vertical="center" wrapText="1"/>
    </xf>
    <xf numFmtId="166" fontId="29" fillId="13" borderId="15" xfId="3" applyNumberFormat="1" applyFont="1" applyFill="1" applyBorder="1" applyAlignment="1">
      <alignment horizontal="left" vertical="center" wrapText="1"/>
    </xf>
    <xf numFmtId="166" fontId="29" fillId="13" borderId="10" xfId="3" applyNumberFormat="1" applyFont="1" applyFill="1" applyBorder="1" applyAlignment="1">
      <alignment horizontal="left" vertical="center" wrapText="1"/>
    </xf>
    <xf numFmtId="166" fontId="29" fillId="13" borderId="12" xfId="3" applyNumberFormat="1" applyFont="1" applyFill="1" applyBorder="1" applyAlignment="1">
      <alignment horizontal="left" vertical="center" wrapText="1"/>
    </xf>
    <xf numFmtId="0" fontId="19" fillId="0" borderId="15" xfId="0" applyFont="1" applyBorder="1" applyAlignment="1" applyProtection="1">
      <alignment horizontal="center" vertical="center" wrapText="1"/>
    </xf>
    <xf numFmtId="0" fontId="19" fillId="0" borderId="7" xfId="0" applyFont="1" applyBorder="1" applyAlignment="1" applyProtection="1">
      <alignment horizontal="center" vertical="center"/>
    </xf>
    <xf numFmtId="0" fontId="19" fillId="0" borderId="14" xfId="0" applyFont="1" applyBorder="1" applyAlignment="1" applyProtection="1">
      <alignment horizontal="center" vertical="center"/>
    </xf>
    <xf numFmtId="0" fontId="15" fillId="2" borderId="8" xfId="0" applyFont="1" applyFill="1" applyBorder="1" applyAlignment="1">
      <alignment horizontal="center" wrapText="1"/>
    </xf>
    <xf numFmtId="0" fontId="15" fillId="2" borderId="60" xfId="0" applyFont="1" applyFill="1" applyBorder="1" applyAlignment="1">
      <alignment horizontal="center" wrapText="1"/>
    </xf>
    <xf numFmtId="0" fontId="15" fillId="2" borderId="30" xfId="0" applyFont="1" applyFill="1" applyBorder="1" applyAlignment="1">
      <alignment horizontal="center" wrapText="1"/>
    </xf>
    <xf numFmtId="0" fontId="15" fillId="2" borderId="2" xfId="0" applyFont="1" applyFill="1" applyBorder="1" applyAlignment="1">
      <alignment horizontal="center" wrapText="1"/>
    </xf>
    <xf numFmtId="0" fontId="15" fillId="0" borderId="31" xfId="0" applyFont="1" applyBorder="1" applyAlignment="1">
      <alignment horizontal="center"/>
    </xf>
    <xf numFmtId="0" fontId="65"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cellXfs>
  <cellStyles count="37">
    <cellStyle name="Euro" xfId="1"/>
    <cellStyle name="Millares" xfId="2" builtinId="3"/>
    <cellStyle name="Millares [0]" xfId="29" builtinId="6"/>
    <cellStyle name="Millares 10" xfId="33"/>
    <cellStyle name="Millares 11" xfId="35"/>
    <cellStyle name="Millares 2" xfId="3"/>
    <cellStyle name="Millares 2 2" xfId="4"/>
    <cellStyle name="Millares 3" xfId="5"/>
    <cellStyle name="Millares 3 2" xfId="6"/>
    <cellStyle name="Millares 4" xfId="7"/>
    <cellStyle name="Millares 5" xfId="8"/>
    <cellStyle name="Millares 6" xfId="9"/>
    <cellStyle name="Millares 7" xfId="26"/>
    <cellStyle name="Millares 8" xfId="28"/>
    <cellStyle name="Millares 9" xfId="31"/>
    <cellStyle name="Moneda [0] 2" xfId="10"/>
    <cellStyle name="Moneda 2" xfId="11"/>
    <cellStyle name="Moneda 2 2" xfId="12"/>
    <cellStyle name="Moneda 3" xfId="13"/>
    <cellStyle name="Normal" xfId="0" builtinId="0"/>
    <cellStyle name="Normal 10" xfId="34"/>
    <cellStyle name="Normal 11" xfId="36"/>
    <cellStyle name="Normal 2" xfId="14"/>
    <cellStyle name="Normal 2 2" xfId="15"/>
    <cellStyle name="Normal 2 2 2" xfId="16"/>
    <cellStyle name="Normal 2 3" xfId="17"/>
    <cellStyle name="Normal 3" xfId="18"/>
    <cellStyle name="Normal 3 2" xfId="19"/>
    <cellStyle name="Normal 3 3" xfId="20"/>
    <cellStyle name="Normal 4" xfId="21"/>
    <cellStyle name="Normal 5" xfId="22"/>
    <cellStyle name="Normal 6" xfId="25"/>
    <cellStyle name="Normal 7" xfId="27"/>
    <cellStyle name="Normal 8" xfId="30"/>
    <cellStyle name="Normal 9" xfId="32"/>
    <cellStyle name="Porcentaje" xfId="23" builtinId="5"/>
    <cellStyle name="Porcentaje 2" xfId="2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1</xdr:row>
      <xdr:rowOff>0</xdr:rowOff>
    </xdr:to>
    <xdr:grpSp>
      <xdr:nvGrpSpPr>
        <xdr:cNvPr id="2" name="1 Grupo">
          <a:extLst>
            <a:ext uri="{FF2B5EF4-FFF2-40B4-BE49-F238E27FC236}">
              <a16:creationId xmlns:a16="http://schemas.microsoft.com/office/drawing/2014/main" xmlns="" id="{00000000-0008-0000-0100-000002000000}"/>
            </a:ext>
          </a:extLst>
        </xdr:cNvPr>
        <xdr:cNvGrpSpPr>
          <a:grpSpLocks/>
        </xdr:cNvGrpSpPr>
      </xdr:nvGrpSpPr>
      <xdr:grpSpPr bwMode="auto">
        <a:xfrm>
          <a:off x="0" y="0"/>
          <a:ext cx="8233833" cy="1682750"/>
          <a:chOff x="57150" y="47625"/>
          <a:chExt cx="6181725" cy="1581150"/>
        </a:xfrm>
      </xdr:grpSpPr>
      <xdr:pic>
        <xdr:nvPicPr>
          <xdr:cNvPr id="3" name="1 Imagen" descr="ESCUDO-transp-lema-blanco.png">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57150" y="47625"/>
            <a:ext cx="1209675" cy="1581150"/>
          </a:xfrm>
          <a:prstGeom prst="rect">
            <a:avLst/>
          </a:prstGeom>
          <a:noFill/>
          <a:ln w="9525">
            <a:noFill/>
            <a:miter lim="800000"/>
            <a:headEnd/>
            <a:tailEnd/>
          </a:ln>
        </xdr:spPr>
      </xdr:pic>
      <xdr:sp macro="" textlink="">
        <xdr:nvSpPr>
          <xdr:cNvPr id="4" name="3 CuadroTexto">
            <a:extLst>
              <a:ext uri="{FF2B5EF4-FFF2-40B4-BE49-F238E27FC236}">
                <a16:creationId xmlns:a16="http://schemas.microsoft.com/office/drawing/2014/main" xmlns="" id="{00000000-0008-0000-0100-000004000000}"/>
              </a:ext>
            </a:extLst>
          </xdr:cNvPr>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578567</xdr:colOff>
      <xdr:row>0</xdr:row>
      <xdr:rowOff>116759</xdr:rowOff>
    </xdr:from>
    <xdr:to>
      <xdr:col>1</xdr:col>
      <xdr:colOff>473792</xdr:colOff>
      <xdr:row>2</xdr:row>
      <xdr:rowOff>154859</xdr:rowOff>
    </xdr:to>
    <xdr:pic>
      <xdr:nvPicPr>
        <xdr:cNvPr id="26773" name="Imagen 1">
          <a:extLst>
            <a:ext uri="{FF2B5EF4-FFF2-40B4-BE49-F238E27FC236}">
              <a16:creationId xmlns:a16="http://schemas.microsoft.com/office/drawing/2014/main" xmlns="" id="{00000000-0008-0000-0200-00009568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578567" y="116759"/>
          <a:ext cx="1385427" cy="852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 name="Imagen 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29844" name="Picture 1">
          <a:extLst>
            <a:ext uri="{FF2B5EF4-FFF2-40B4-BE49-F238E27FC236}">
              <a16:creationId xmlns:a16="http://schemas.microsoft.com/office/drawing/2014/main" xmlns="" id="{00000000-0008-0000-0700-000094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1892" name="Imagen 2" descr="C:\Users\acortes.CAM\Desktop\CAM 20 AÑOS FINAL.jpg">
          <a:extLst>
            <a:ext uri="{FF2B5EF4-FFF2-40B4-BE49-F238E27FC236}">
              <a16:creationId xmlns:a16="http://schemas.microsoft.com/office/drawing/2014/main" xmlns="" id="{00000000-0008-0000-0800-000094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DUSSAN/INFORME%20DE%20GESTI&#211;N%202020/PLAN%20DE%20ACCI&#211;N%20CUATRIENIO%20HA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DDUSSAN\INFORME%20DE%20GESTI&#211;N%202019\MATRIZ%20MINISTERIO%20MARZO\MATRIZ%20%2031%20MARZO%20%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dussan\Downloads\ingresos-gastos2016-2019octubre%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barrera\Documents\presupeusto2018\EJECUCIONES\DIRECTOR\ANASIS%20DIRECTIVO%20CAMJUNIO3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2.1"/>
      <sheetName val="2.2"/>
      <sheetName val="3.1"/>
      <sheetName val="3.2"/>
      <sheetName val="3.3"/>
      <sheetName val="4.1"/>
      <sheetName val="4.2"/>
      <sheetName val="4.3"/>
    </sheetNames>
    <sheetDataSet>
      <sheetData sheetId="0"/>
      <sheetData sheetId="1"/>
      <sheetData sheetId="2"/>
      <sheetData sheetId="3"/>
      <sheetData sheetId="4"/>
      <sheetData sheetId="5"/>
      <sheetData sheetId="6"/>
      <sheetData sheetId="7"/>
      <sheetData sheetId="8"/>
      <sheetData sheetId="9">
        <row r="15">
          <cell r="N15">
            <v>26039607802.6688</v>
          </cell>
          <cell r="R15">
            <v>27452378455.575069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GENERAL CONSOLIDADA"/>
      <sheetName val="Anexo 1 Matriz SINA Inf Gestión"/>
      <sheetName val="Anexo 2 Matriz Inf. Ejecución"/>
      <sheetName val="ANEXO 5.1 INGRESOS "/>
      <sheetName val="5.2 GASTOS"/>
      <sheetName val="Anexo 3 Matriz Ind Min Jun"/>
      <sheetName val="Anexos 5-1 Ingresos "/>
      <sheetName val="Anexo 5-2 Gastos"/>
      <sheetName val="Anexo 2 Protocolo Inf Gestión"/>
      <sheetName val="Anexo 4 ProtocoloMatrizINdica"/>
      <sheetName val="Hoja1"/>
      <sheetName val="Hoja2"/>
    </sheetNames>
    <sheetDataSet>
      <sheetData sheetId="0" refreshError="1">
        <row r="7">
          <cell r="T7">
            <v>14</v>
          </cell>
        </row>
        <row r="60">
          <cell r="T60">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
      <sheetName val="GASTOS "/>
    </sheetNames>
    <sheetDataSet>
      <sheetData sheetId="0">
        <row r="3">
          <cell r="A3" t="str">
            <v>CORPORACION AUTONOMA REGIONAL DEL ALTO MAGDALENA CAM</v>
          </cell>
          <cell r="B3"/>
          <cell r="C3"/>
          <cell r="D3"/>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s 2015"/>
      <sheetName val="Reserv 2017"/>
      <sheetName val="GASTOS 2018"/>
      <sheetName val="INGRESOS A "/>
    </sheetNames>
    <sheetDataSet>
      <sheetData sheetId="0"/>
      <sheetData sheetId="1"/>
      <sheetData sheetId="2"/>
      <sheetData sheetId="3">
        <row r="9">
          <cell r="D9">
            <v>9133016496</v>
          </cell>
        </row>
        <row r="13">
          <cell r="F13">
            <v>1324022079</v>
          </cell>
        </row>
        <row r="14">
          <cell r="D14">
            <v>1070506847</v>
          </cell>
        </row>
        <row r="15">
          <cell r="D15">
            <v>151754308</v>
          </cell>
        </row>
        <row r="16">
          <cell r="D16">
            <v>253747000</v>
          </cell>
        </row>
        <row r="17">
          <cell r="D17">
            <v>907653683</v>
          </cell>
        </row>
        <row r="18">
          <cell r="D18">
            <v>7195334584</v>
          </cell>
        </row>
        <row r="19">
          <cell r="D19">
            <v>56702815</v>
          </cell>
        </row>
        <row r="30">
          <cell r="E30">
            <v>5210149325</v>
          </cell>
        </row>
        <row r="31">
          <cell r="E31">
            <v>4828952214</v>
          </cell>
        </row>
        <row r="32">
          <cell r="D32">
            <v>720000000</v>
          </cell>
        </row>
        <row r="33">
          <cell r="D33">
            <v>4042566415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row>
        <row r="37">
          <cell r="F37">
            <v>31033711871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76"/>
  <sheetViews>
    <sheetView zoomScale="60" zoomScaleNormal="60" workbookViewId="0">
      <pane xSplit="1" ySplit="4" topLeftCell="B49" activePane="bottomRight" state="frozen"/>
      <selection activeCell="G53" sqref="G53"/>
      <selection pane="topRight" activeCell="G53" sqref="G53"/>
      <selection pane="bottomLeft" activeCell="G53" sqref="G53"/>
      <selection pane="bottomRight" activeCell="J54" sqref="J54"/>
    </sheetView>
  </sheetViews>
  <sheetFormatPr baseColWidth="10" defaultRowHeight="18"/>
  <cols>
    <col min="1" max="1" width="67" style="59" customWidth="1"/>
    <col min="2" max="2" width="13.85546875" style="59" hidden="1" customWidth="1"/>
    <col min="3" max="3" width="22.28515625" style="59" customWidth="1"/>
    <col min="4" max="4" width="17.42578125" style="59" hidden="1" customWidth="1"/>
    <col min="5" max="5" width="28" style="64" hidden="1" customWidth="1"/>
    <col min="6" max="6" width="30.5703125" style="60" hidden="1" customWidth="1"/>
    <col min="7" max="7" width="25.28515625" style="65" hidden="1" customWidth="1"/>
    <col min="8" max="8" width="22.85546875" style="59" customWidth="1"/>
    <col min="9" max="9" width="35.28515625" style="411" customWidth="1"/>
    <col min="10" max="10" width="20.28515625" style="290" customWidth="1"/>
    <col min="11" max="11" width="40.28515625" style="713" customWidth="1"/>
    <col min="12" max="12" width="14.140625" style="59" customWidth="1"/>
    <col min="13" max="13" width="38.7109375" style="59" customWidth="1"/>
    <col min="14" max="14" width="18.5703125" style="59" customWidth="1"/>
    <col min="15" max="15" width="20.85546875" style="59" customWidth="1"/>
    <col min="16" max="16" width="18.85546875" style="59" customWidth="1"/>
    <col min="17" max="17" width="32.7109375" style="62" customWidth="1"/>
    <col min="18" max="18" width="20" style="460" customWidth="1"/>
    <col min="19" max="19" width="29.140625" style="63" customWidth="1"/>
    <col min="20" max="20" width="13.5703125" style="59" customWidth="1"/>
    <col min="21" max="21" width="35.7109375" style="62" customWidth="1"/>
    <col min="22" max="22" width="16.42578125" style="596" customWidth="1"/>
    <col min="23" max="23" width="30.42578125" style="63" customWidth="1"/>
    <col min="24" max="24" width="17.5703125" style="391" bestFit="1" customWidth="1"/>
    <col min="25" max="25" width="31.28515625" style="391" customWidth="1"/>
    <col min="26" max="26" width="20.42578125" style="391" customWidth="1"/>
    <col min="27" max="27" width="14.85546875" style="59" bestFit="1" customWidth="1"/>
    <col min="28" max="29" width="11.42578125" style="59"/>
    <col min="30" max="30" width="16.42578125" style="59" customWidth="1"/>
    <col min="31" max="16384" width="11.42578125" style="59"/>
  </cols>
  <sheetData>
    <row r="1" spans="1:30" s="215" customFormat="1" ht="54" customHeight="1" thickBot="1">
      <c r="A1" s="823" t="s">
        <v>541</v>
      </c>
      <c r="B1" s="824"/>
      <c r="C1" s="824"/>
      <c r="D1" s="824"/>
      <c r="E1" s="824"/>
      <c r="F1" s="824"/>
      <c r="G1" s="824"/>
      <c r="H1" s="824"/>
      <c r="I1" s="824"/>
      <c r="J1" s="824"/>
      <c r="K1" s="824"/>
      <c r="L1" s="824"/>
      <c r="M1" s="824"/>
      <c r="N1" s="824"/>
      <c r="O1" s="824"/>
      <c r="P1" s="824"/>
      <c r="Q1" s="824"/>
      <c r="R1" s="824"/>
      <c r="S1" s="824"/>
      <c r="T1" s="824"/>
      <c r="U1" s="824"/>
      <c r="V1" s="824"/>
      <c r="W1" s="825"/>
      <c r="X1" s="390"/>
      <c r="Y1" s="390"/>
      <c r="Z1" s="390"/>
    </row>
    <row r="2" spans="1:30" s="58" customFormat="1" ht="11.25" customHeight="1" thickBot="1">
      <c r="A2" s="826"/>
      <c r="B2" s="827"/>
      <c r="C2" s="827"/>
      <c r="D2" s="827"/>
      <c r="E2" s="827"/>
      <c r="F2" s="827"/>
      <c r="G2" s="827"/>
      <c r="H2" s="827"/>
      <c r="I2" s="827"/>
      <c r="J2" s="827"/>
      <c r="K2" s="827"/>
      <c r="L2" s="827"/>
      <c r="M2" s="827"/>
      <c r="N2" s="827"/>
      <c r="O2" s="827"/>
      <c r="P2" s="827"/>
      <c r="Q2" s="827"/>
      <c r="R2" s="827"/>
      <c r="S2" s="827"/>
      <c r="T2" s="827"/>
      <c r="U2" s="827"/>
      <c r="V2" s="594"/>
      <c r="W2" s="163"/>
      <c r="X2" s="390"/>
      <c r="Y2" s="390"/>
      <c r="Z2" s="390"/>
    </row>
    <row r="3" spans="1:30" ht="50.25" customHeight="1">
      <c r="A3" s="834" t="s">
        <v>542</v>
      </c>
      <c r="B3" s="246" t="s">
        <v>182</v>
      </c>
      <c r="C3" s="828" t="s">
        <v>594</v>
      </c>
      <c r="D3" s="829"/>
      <c r="E3" s="830"/>
      <c r="F3" s="828" t="s">
        <v>531</v>
      </c>
      <c r="G3" s="830"/>
      <c r="H3" s="831" t="s">
        <v>532</v>
      </c>
      <c r="I3" s="832"/>
      <c r="J3" s="828" t="s">
        <v>533</v>
      </c>
      <c r="K3" s="830"/>
      <c r="L3" s="831" t="s">
        <v>534</v>
      </c>
      <c r="M3" s="832"/>
      <c r="N3" s="828" t="s">
        <v>535</v>
      </c>
      <c r="O3" s="830"/>
      <c r="P3" s="831" t="s">
        <v>536</v>
      </c>
      <c r="Q3" s="832"/>
      <c r="R3" s="828" t="s">
        <v>537</v>
      </c>
      <c r="S3" s="830"/>
      <c r="T3" s="831" t="s">
        <v>538</v>
      </c>
      <c r="U3" s="832"/>
      <c r="V3" s="828" t="s">
        <v>539</v>
      </c>
      <c r="W3" s="833"/>
    </row>
    <row r="4" spans="1:30" s="60" customFormat="1" ht="54.75" customHeight="1" thickBot="1">
      <c r="A4" s="835"/>
      <c r="B4" s="247"/>
      <c r="C4" s="164" t="s">
        <v>95</v>
      </c>
      <c r="D4" s="226" t="s">
        <v>183</v>
      </c>
      <c r="E4" s="227" t="s">
        <v>184</v>
      </c>
      <c r="F4" s="226" t="s">
        <v>185</v>
      </c>
      <c r="G4" s="227" t="s">
        <v>184</v>
      </c>
      <c r="H4" s="164" t="s">
        <v>185</v>
      </c>
      <c r="I4" s="164" t="s">
        <v>184</v>
      </c>
      <c r="J4" s="164" t="s">
        <v>185</v>
      </c>
      <c r="K4" s="164" t="s">
        <v>184</v>
      </c>
      <c r="L4" s="164" t="s">
        <v>185</v>
      </c>
      <c r="M4" s="164" t="s">
        <v>184</v>
      </c>
      <c r="N4" s="164" t="s">
        <v>185</v>
      </c>
      <c r="O4" s="164" t="s">
        <v>184</v>
      </c>
      <c r="P4" s="164" t="s">
        <v>185</v>
      </c>
      <c r="Q4" s="202" t="s">
        <v>184</v>
      </c>
      <c r="R4" s="164" t="s">
        <v>185</v>
      </c>
      <c r="S4" s="164" t="s">
        <v>184</v>
      </c>
      <c r="T4" s="164" t="s">
        <v>185</v>
      </c>
      <c r="U4" s="202" t="s">
        <v>184</v>
      </c>
      <c r="V4" s="206" t="s">
        <v>185</v>
      </c>
      <c r="W4" s="204" t="s">
        <v>184</v>
      </c>
      <c r="X4" s="392"/>
      <c r="Y4" s="392"/>
      <c r="Z4" s="392"/>
    </row>
    <row r="5" spans="1:30" ht="53.25" customHeight="1" thickBot="1">
      <c r="A5" s="706" t="s">
        <v>540</v>
      </c>
      <c r="B5" s="274"/>
      <c r="C5" s="274"/>
      <c r="D5" s="274"/>
      <c r="E5" s="275">
        <f>+E6+E17</f>
        <v>58758967941.378006</v>
      </c>
      <c r="F5" s="275">
        <f t="shared" ref="F5:H5" si="0">+F6+F17</f>
        <v>0</v>
      </c>
      <c r="G5" s="275">
        <f t="shared" si="0"/>
        <v>606726686.63199997</v>
      </c>
      <c r="H5" s="275">
        <f t="shared" si="0"/>
        <v>0</v>
      </c>
      <c r="I5" s="275">
        <f>+I6+I17</f>
        <v>14234674919.063999</v>
      </c>
      <c r="J5" s="275">
        <f t="shared" ref="J5" si="1">+J6+J17</f>
        <v>0</v>
      </c>
      <c r="K5" s="275">
        <f t="shared" ref="K5" si="2">+K6+K17</f>
        <v>606726686.63199997</v>
      </c>
      <c r="L5" s="275">
        <f t="shared" ref="L5" si="3">+L6+L17</f>
        <v>0</v>
      </c>
      <c r="M5" s="275">
        <f t="shared" ref="M5" si="4">+M6+M17</f>
        <v>14194823127.92</v>
      </c>
      <c r="N5" s="275">
        <f t="shared" ref="N5" si="5">+N6+N17</f>
        <v>0</v>
      </c>
      <c r="O5" s="275">
        <f t="shared" ref="O5" si="6">+O6+O17</f>
        <v>0</v>
      </c>
      <c r="P5" s="275">
        <f t="shared" ref="P5" si="7">+P6+P17</f>
        <v>0</v>
      </c>
      <c r="Q5" s="275">
        <f>+Q6+Q17</f>
        <v>14326460144.4</v>
      </c>
      <c r="R5" s="275">
        <f t="shared" ref="R5" si="8">+R6+R17</f>
        <v>0</v>
      </c>
      <c r="S5" s="275">
        <f t="shared" ref="S5" si="9">+S6+S17</f>
        <v>0</v>
      </c>
      <c r="T5" s="275">
        <f t="shared" ref="T5" si="10">+T6+T17</f>
        <v>0</v>
      </c>
      <c r="U5" s="275">
        <f t="shared" ref="U5" si="11">+U6+U17</f>
        <v>16003009848.993999</v>
      </c>
      <c r="V5" s="275">
        <f t="shared" ref="V5" si="12">+V6+V17</f>
        <v>0</v>
      </c>
      <c r="W5" s="275">
        <f t="shared" ref="W5" si="13">+W6+W17</f>
        <v>0</v>
      </c>
      <c r="X5" s="398"/>
    </row>
    <row r="6" spans="1:30" ht="81.75" customHeight="1">
      <c r="A6" s="259" t="s">
        <v>511</v>
      </c>
      <c r="B6" s="172"/>
      <c r="C6" s="270"/>
      <c r="D6" s="271"/>
      <c r="E6" s="272">
        <f>SUM(E7:E16)</f>
        <v>16214287631.878004</v>
      </c>
      <c r="F6" s="273"/>
      <c r="G6" s="298">
        <f>SUM(G7:G16)</f>
        <v>331007155</v>
      </c>
      <c r="H6" s="272"/>
      <c r="I6" s="272">
        <f>SUM(I7:I16)</f>
        <v>3990284305.7640004</v>
      </c>
      <c r="J6" s="807"/>
      <c r="K6" s="294">
        <f>SUM(K8:K16)</f>
        <v>331007155</v>
      </c>
      <c r="L6" s="273"/>
      <c r="M6" s="387">
        <f>SUM(M7:M16)</f>
        <v>3899317629.52</v>
      </c>
      <c r="N6" s="399"/>
      <c r="O6" s="272">
        <v>0</v>
      </c>
      <c r="P6" s="272"/>
      <c r="Q6" s="272">
        <f>SUM(Q7:Q16)</f>
        <v>4033496995.5999999</v>
      </c>
      <c r="R6" s="718"/>
      <c r="S6" s="272">
        <f>SUM(S7:S16)</f>
        <v>0</v>
      </c>
      <c r="T6" s="272"/>
      <c r="U6" s="472">
        <f>SUM(U7:U16)</f>
        <v>4291188799.994</v>
      </c>
      <c r="V6" s="727"/>
      <c r="W6" s="472">
        <f>SUM(W7:W16)</f>
        <v>0</v>
      </c>
      <c r="X6" s="393"/>
      <c r="AD6" s="61"/>
    </row>
    <row r="7" spans="1:30" ht="81.75" customHeight="1">
      <c r="A7" s="216" t="s">
        <v>370</v>
      </c>
      <c r="B7" s="199" t="s">
        <v>188</v>
      </c>
      <c r="C7" s="171" t="s">
        <v>466</v>
      </c>
      <c r="D7" s="221">
        <f>AVERAGE(H7,L7,P7,T7)</f>
        <v>30</v>
      </c>
      <c r="E7" s="68">
        <f>+I7+M7+Q7+U7</f>
        <v>400121690.48000002</v>
      </c>
      <c r="F7" s="265">
        <f>AVERAGE(J7,N7,R7,V7)</f>
        <v>1.25</v>
      </c>
      <c r="G7" s="68">
        <f>+K7+O7+S7+W7</f>
        <v>0</v>
      </c>
      <c r="H7" s="234">
        <v>30</v>
      </c>
      <c r="I7" s="611">
        <v>74790993.280000001</v>
      </c>
      <c r="J7" s="807">
        <v>5</v>
      </c>
      <c r="K7" s="169">
        <v>0</v>
      </c>
      <c r="L7" s="239">
        <v>30</v>
      </c>
      <c r="M7" s="613">
        <v>95744700</v>
      </c>
      <c r="N7" s="716">
        <v>0</v>
      </c>
      <c r="O7" s="68">
        <v>0</v>
      </c>
      <c r="P7" s="237">
        <v>30</v>
      </c>
      <c r="Q7" s="611">
        <v>117292998.59999999</v>
      </c>
      <c r="R7" s="289">
        <v>0</v>
      </c>
      <c r="S7" s="68">
        <v>0</v>
      </c>
      <c r="T7" s="245">
        <v>30</v>
      </c>
      <c r="U7" s="68">
        <v>112292998.59999999</v>
      </c>
      <c r="V7" s="728">
        <v>0</v>
      </c>
      <c r="W7" s="205">
        <v>0</v>
      </c>
      <c r="X7" s="393"/>
      <c r="AD7" s="61"/>
    </row>
    <row r="8" spans="1:30" ht="81.75" customHeight="1">
      <c r="A8" s="276" t="s">
        <v>512</v>
      </c>
      <c r="B8" s="170" t="s">
        <v>188</v>
      </c>
      <c r="C8" s="69" t="s">
        <v>521</v>
      </c>
      <c r="D8" s="221">
        <v>3</v>
      </c>
      <c r="E8" s="68">
        <f>+I8+M8+Q8+U8</f>
        <v>400200000</v>
      </c>
      <c r="F8" s="265">
        <f>AVERAGE(J8,N8,R8,V8)</f>
        <v>0.25</v>
      </c>
      <c r="G8" s="68">
        <f>+K8+O8+S8+W8</f>
        <v>0</v>
      </c>
      <c r="H8" s="234">
        <v>3</v>
      </c>
      <c r="I8" s="608">
        <v>90040000</v>
      </c>
      <c r="J8" s="289">
        <v>1</v>
      </c>
      <c r="K8" s="291">
        <v>0</v>
      </c>
      <c r="L8" s="241">
        <v>3</v>
      </c>
      <c r="M8" s="467">
        <v>90040000</v>
      </c>
      <c r="N8" s="288">
        <v>0</v>
      </c>
      <c r="O8" s="68">
        <v>0</v>
      </c>
      <c r="P8" s="237">
        <v>3</v>
      </c>
      <c r="Q8" s="611">
        <v>125060000</v>
      </c>
      <c r="R8" s="289">
        <v>0</v>
      </c>
      <c r="S8" s="68">
        <v>0</v>
      </c>
      <c r="T8" s="245">
        <v>3</v>
      </c>
      <c r="U8" s="68">
        <v>95060000</v>
      </c>
      <c r="V8" s="728">
        <v>0</v>
      </c>
      <c r="W8" s="205">
        <v>0</v>
      </c>
      <c r="X8" s="393"/>
      <c r="Z8" s="401"/>
      <c r="AD8" s="61"/>
    </row>
    <row r="9" spans="1:30" ht="81.75" customHeight="1">
      <c r="A9" s="277" t="s">
        <v>513</v>
      </c>
      <c r="B9" s="170" t="s">
        <v>188</v>
      </c>
      <c r="C9" s="169" t="s">
        <v>521</v>
      </c>
      <c r="D9" s="221">
        <v>2</v>
      </c>
      <c r="E9" s="68">
        <f>+I9+M9+Q9+U9</f>
        <v>574786013.86000001</v>
      </c>
      <c r="F9" s="198">
        <f>AVERAGE(J9,N9,R9,V9)</f>
        <v>0</v>
      </c>
      <c r="G9" s="68">
        <f t="shared" ref="G9:G15" si="14">+K9+O9+S9+W9</f>
        <v>0</v>
      </c>
      <c r="H9" s="237">
        <v>2</v>
      </c>
      <c r="I9" s="609">
        <v>183153053.44</v>
      </c>
      <c r="J9" s="289">
        <v>0</v>
      </c>
      <c r="K9" s="266">
        <v>0</v>
      </c>
      <c r="L9" s="237">
        <v>2</v>
      </c>
      <c r="M9" s="467">
        <v>91576526.420000002</v>
      </c>
      <c r="N9" s="288">
        <v>0</v>
      </c>
      <c r="O9" s="68">
        <v>0</v>
      </c>
      <c r="P9" s="237">
        <v>2</v>
      </c>
      <c r="Q9" s="611">
        <v>195056434</v>
      </c>
      <c r="R9" s="289">
        <v>0</v>
      </c>
      <c r="S9" s="68">
        <v>0</v>
      </c>
      <c r="T9" s="245">
        <v>1</v>
      </c>
      <c r="U9" s="68">
        <v>105000000</v>
      </c>
      <c r="V9" s="728">
        <v>0</v>
      </c>
      <c r="W9" s="205">
        <v>0</v>
      </c>
      <c r="X9" s="391">
        <f>+P9*0.6</f>
        <v>1.2</v>
      </c>
      <c r="AD9" s="61"/>
    </row>
    <row r="10" spans="1:30" ht="81.75" customHeight="1">
      <c r="A10" s="278" t="s">
        <v>514</v>
      </c>
      <c r="B10" s="170" t="s">
        <v>186</v>
      </c>
      <c r="C10" s="69" t="s">
        <v>521</v>
      </c>
      <c r="D10" s="221">
        <v>3</v>
      </c>
      <c r="E10" s="68">
        <f>+I10+M10+Q10+U10</f>
        <v>938167976.60000002</v>
      </c>
      <c r="F10" s="198">
        <f>+J10+N10+R10+V10</f>
        <v>0</v>
      </c>
      <c r="G10" s="68">
        <f t="shared" si="14"/>
        <v>0</v>
      </c>
      <c r="H10" s="237">
        <v>3</v>
      </c>
      <c r="I10" s="609">
        <v>558167976.60000002</v>
      </c>
      <c r="J10" s="289">
        <v>0</v>
      </c>
      <c r="K10" s="292">
        <v>0</v>
      </c>
      <c r="L10" s="237">
        <v>2</v>
      </c>
      <c r="M10" s="467">
        <v>380000000</v>
      </c>
      <c r="N10" s="288">
        <v>0</v>
      </c>
      <c r="O10" s="68">
        <v>0</v>
      </c>
      <c r="P10" s="237"/>
      <c r="Q10" s="611">
        <v>0</v>
      </c>
      <c r="R10" s="289">
        <v>0</v>
      </c>
      <c r="S10" s="68">
        <v>0</v>
      </c>
      <c r="T10" s="245"/>
      <c r="U10" s="68">
        <v>0</v>
      </c>
      <c r="V10" s="728">
        <v>0</v>
      </c>
      <c r="W10" s="205">
        <v>0</v>
      </c>
      <c r="X10" s="391" t="e">
        <f>+R10/P10*100</f>
        <v>#DIV/0!</v>
      </c>
      <c r="AD10" s="61"/>
    </row>
    <row r="11" spans="1:30" ht="87" customHeight="1">
      <c r="A11" s="279" t="s">
        <v>515</v>
      </c>
      <c r="B11" s="166" t="s">
        <v>188</v>
      </c>
      <c r="C11" s="167" t="s">
        <v>1</v>
      </c>
      <c r="D11" s="707">
        <v>0.5714285714285714</v>
      </c>
      <c r="E11" s="68">
        <f>+I11+M11+Q11+U11</f>
        <v>620708222.84000003</v>
      </c>
      <c r="F11" s="198">
        <f>AVERAGE(J11,N11,R11,V11)</f>
        <v>0</v>
      </c>
      <c r="G11" s="68">
        <f t="shared" si="14"/>
        <v>0</v>
      </c>
      <c r="H11" s="805">
        <v>57</v>
      </c>
      <c r="I11" s="609">
        <v>280708222.84000003</v>
      </c>
      <c r="J11" s="289">
        <v>0</v>
      </c>
      <c r="K11" s="710">
        <v>0</v>
      </c>
      <c r="L11" s="714">
        <v>0.28999999999999998</v>
      </c>
      <c r="M11" s="467">
        <v>165000000</v>
      </c>
      <c r="N11" s="288">
        <v>0</v>
      </c>
      <c r="O11" s="68">
        <v>0</v>
      </c>
      <c r="P11" s="714">
        <v>0.14285714285714285</v>
      </c>
      <c r="Q11" s="611">
        <v>175000000</v>
      </c>
      <c r="R11" s="289">
        <v>0</v>
      </c>
      <c r="S11" s="68">
        <v>0</v>
      </c>
      <c r="T11" s="241"/>
      <c r="U11" s="68"/>
      <c r="V11" s="729">
        <v>0</v>
      </c>
      <c r="W11" s="205">
        <v>0</v>
      </c>
      <c r="AD11" s="61"/>
    </row>
    <row r="12" spans="1:30" ht="93.75" customHeight="1">
      <c r="A12" s="276" t="s">
        <v>516</v>
      </c>
      <c r="B12" s="166" t="s">
        <v>188</v>
      </c>
      <c r="C12" s="167" t="s">
        <v>1</v>
      </c>
      <c r="D12" s="221">
        <v>100</v>
      </c>
      <c r="E12" s="68">
        <f>+I12+M12+Q12+U12-100</f>
        <v>19999900</v>
      </c>
      <c r="F12" s="468">
        <f>AVERAGE(J12,N12,R12,V12)</f>
        <v>5</v>
      </c>
      <c r="G12" s="68">
        <f t="shared" si="14"/>
        <v>0</v>
      </c>
      <c r="H12" s="238">
        <v>100</v>
      </c>
      <c r="I12" s="609">
        <v>5000000</v>
      </c>
      <c r="J12" s="808">
        <v>20</v>
      </c>
      <c r="K12" s="292">
        <v>0</v>
      </c>
      <c r="L12" s="241">
        <v>100</v>
      </c>
      <c r="M12" s="467">
        <v>5000000</v>
      </c>
      <c r="N12" s="430">
        <v>0</v>
      </c>
      <c r="O12" s="68">
        <v>0</v>
      </c>
      <c r="P12" s="241">
        <v>100</v>
      </c>
      <c r="Q12" s="611">
        <v>5000000</v>
      </c>
      <c r="R12" s="289">
        <v>0</v>
      </c>
      <c r="S12" s="68">
        <v>0</v>
      </c>
      <c r="T12" s="241">
        <v>100</v>
      </c>
      <c r="U12" s="68">
        <v>5000000</v>
      </c>
      <c r="V12" s="729">
        <v>0</v>
      </c>
      <c r="W12" s="205">
        <v>0</v>
      </c>
      <c r="Y12" s="391">
        <f>3*0.95</f>
        <v>2.8499999999999996</v>
      </c>
      <c r="AD12" s="61"/>
    </row>
    <row r="13" spans="1:30" ht="81.75" customHeight="1">
      <c r="A13" s="223" t="s">
        <v>517</v>
      </c>
      <c r="B13" s="166" t="s">
        <v>188</v>
      </c>
      <c r="C13" s="167" t="s">
        <v>1</v>
      </c>
      <c r="D13" s="221">
        <v>100</v>
      </c>
      <c r="E13" s="68">
        <f>+I13+M13+Q13+U13</f>
        <v>9573294256.2000008</v>
      </c>
      <c r="F13" s="221">
        <f>+J13+N13+R13+V13</f>
        <v>20</v>
      </c>
      <c r="G13" s="68">
        <f t="shared" si="14"/>
        <v>254844477</v>
      </c>
      <c r="H13" s="238">
        <v>100</v>
      </c>
      <c r="I13" s="609">
        <v>1902862692.0999999</v>
      </c>
      <c r="J13" s="289">
        <v>20</v>
      </c>
      <c r="K13" s="292">
        <v>254844477</v>
      </c>
      <c r="L13" s="241">
        <v>100</v>
      </c>
      <c r="M13" s="467">
        <v>2209677653.0999999</v>
      </c>
      <c r="N13" s="288">
        <v>0</v>
      </c>
      <c r="O13" s="68">
        <v>0</v>
      </c>
      <c r="P13" s="241">
        <v>100</v>
      </c>
      <c r="Q13" s="611">
        <v>2468500000</v>
      </c>
      <c r="R13" s="289">
        <v>0</v>
      </c>
      <c r="S13" s="68">
        <v>0</v>
      </c>
      <c r="T13" s="241">
        <v>100</v>
      </c>
      <c r="U13" s="68">
        <v>2992253911</v>
      </c>
      <c r="V13" s="729">
        <v>0</v>
      </c>
      <c r="W13" s="205">
        <v>0</v>
      </c>
      <c r="AD13" s="61"/>
    </row>
    <row r="14" spans="1:30" ht="81.75" customHeight="1">
      <c r="A14" s="738" t="s">
        <v>518</v>
      </c>
      <c r="B14" s="170" t="s">
        <v>186</v>
      </c>
      <c r="C14" s="169" t="s">
        <v>1</v>
      </c>
      <c r="D14" s="221">
        <v>25</v>
      </c>
      <c r="E14" s="68">
        <f>+I14+M14+Q14+U14</f>
        <v>2763939367.9500003</v>
      </c>
      <c r="F14" s="221">
        <f>+J14+N14+R14+V14</f>
        <v>5</v>
      </c>
      <c r="G14" s="68">
        <f t="shared" si="14"/>
        <v>0</v>
      </c>
      <c r="H14" s="238">
        <v>25</v>
      </c>
      <c r="I14" s="609">
        <v>652210000.04400015</v>
      </c>
      <c r="J14" s="719">
        <v>5</v>
      </c>
      <c r="K14" s="295">
        <v>0</v>
      </c>
      <c r="L14" s="238">
        <v>25</v>
      </c>
      <c r="M14" s="609">
        <v>637126750</v>
      </c>
      <c r="N14" s="717">
        <v>0</v>
      </c>
      <c r="O14" s="168">
        <v>0</v>
      </c>
      <c r="P14" s="238">
        <v>25</v>
      </c>
      <c r="Q14" s="612">
        <v>723553787</v>
      </c>
      <c r="R14" s="719">
        <v>0</v>
      </c>
      <c r="S14" s="221">
        <v>0</v>
      </c>
      <c r="T14" s="238">
        <v>25</v>
      </c>
      <c r="U14" s="168">
        <v>751048830.90600002</v>
      </c>
      <c r="V14" s="719">
        <v>0</v>
      </c>
      <c r="W14" s="205">
        <v>0</v>
      </c>
      <c r="AD14" s="61"/>
    </row>
    <row r="15" spans="1:30" ht="81.75" customHeight="1">
      <c r="A15" s="738" t="s">
        <v>519</v>
      </c>
      <c r="B15" s="170" t="s">
        <v>188</v>
      </c>
      <c r="C15" s="198" t="s">
        <v>1</v>
      </c>
      <c r="D15" s="221">
        <v>100</v>
      </c>
      <c r="E15" s="68">
        <f>+I15+M15+Q15+U15</f>
        <v>699607576.46000004</v>
      </c>
      <c r="F15" s="198">
        <f>AVERAGE(J15,N15,R15,V15)</f>
        <v>5</v>
      </c>
      <c r="G15" s="68">
        <f t="shared" si="14"/>
        <v>28635375</v>
      </c>
      <c r="H15" s="249">
        <v>100</v>
      </c>
      <c r="I15" s="467">
        <v>191824064.46000001</v>
      </c>
      <c r="J15" s="809">
        <v>20</v>
      </c>
      <c r="K15" s="293">
        <v>28635375</v>
      </c>
      <c r="L15" s="241">
        <v>100</v>
      </c>
      <c r="M15" s="467">
        <v>168000000</v>
      </c>
      <c r="N15" s="288">
        <v>0</v>
      </c>
      <c r="O15" s="68">
        <v>0</v>
      </c>
      <c r="P15" s="241">
        <v>100</v>
      </c>
      <c r="Q15" s="611">
        <v>166724000</v>
      </c>
      <c r="R15" s="289">
        <v>0</v>
      </c>
      <c r="S15" s="68">
        <v>0</v>
      </c>
      <c r="T15" s="241">
        <v>100</v>
      </c>
      <c r="U15" s="469">
        <v>173059512</v>
      </c>
      <c r="V15" s="719">
        <v>0</v>
      </c>
      <c r="W15" s="547">
        <v>0</v>
      </c>
      <c r="AD15" s="61"/>
    </row>
    <row r="16" spans="1:30" ht="81.75" customHeight="1">
      <c r="A16" s="738" t="s">
        <v>520</v>
      </c>
      <c r="B16" s="170"/>
      <c r="C16" s="198" t="s">
        <v>471</v>
      </c>
      <c r="D16" s="221">
        <v>1</v>
      </c>
      <c r="E16" s="68">
        <f>+I16+M16+Q16+U16+1</f>
        <v>223462627.48800001</v>
      </c>
      <c r="F16" s="198">
        <f>AVERAGE(J16,N16,R16,V16)</f>
        <v>0.1</v>
      </c>
      <c r="G16" s="68">
        <f>+K16+O16+S16+W16</f>
        <v>47527303</v>
      </c>
      <c r="H16" s="249">
        <v>1</v>
      </c>
      <c r="I16" s="467">
        <v>51527303</v>
      </c>
      <c r="J16" s="810">
        <v>0.4</v>
      </c>
      <c r="K16" s="293">
        <v>47527303</v>
      </c>
      <c r="L16" s="241"/>
      <c r="M16" s="467">
        <v>57152000</v>
      </c>
      <c r="N16" s="288">
        <v>0</v>
      </c>
      <c r="O16" s="68">
        <v>0</v>
      </c>
      <c r="P16" s="241"/>
      <c r="Q16" s="611">
        <v>57309776</v>
      </c>
      <c r="R16" s="289">
        <v>0</v>
      </c>
      <c r="S16" s="68">
        <v>0</v>
      </c>
      <c r="T16" s="241"/>
      <c r="U16" s="469">
        <v>57473547.487999998</v>
      </c>
      <c r="V16" s="719">
        <v>0</v>
      </c>
      <c r="W16" s="547">
        <v>0</v>
      </c>
      <c r="X16" s="393"/>
      <c r="AD16" s="61"/>
    </row>
    <row r="17" spans="1:26" ht="68.25" customHeight="1">
      <c r="A17" s="259" t="s">
        <v>543</v>
      </c>
      <c r="B17" s="172"/>
      <c r="C17" s="173"/>
      <c r="D17" s="174"/>
      <c r="E17" s="175">
        <f>SUM(E18:E26)</f>
        <v>42544680309.5</v>
      </c>
      <c r="F17" s="176"/>
      <c r="G17" s="175">
        <f>SUM(G18:G26)</f>
        <v>275719531.63199997</v>
      </c>
      <c r="H17" s="239"/>
      <c r="I17" s="267">
        <f>SUM(I18:I26)</f>
        <v>10244390613.299999</v>
      </c>
      <c r="J17" s="720"/>
      <c r="K17" s="267">
        <f>SUM(K18:K26)</f>
        <v>275719531.63199997</v>
      </c>
      <c r="L17" s="241"/>
      <c r="M17" s="183">
        <f>SUM(M18:M26)</f>
        <v>10295505498.4</v>
      </c>
      <c r="N17" s="176"/>
      <c r="O17" s="175">
        <f>SUM(O18:O26)</f>
        <v>0</v>
      </c>
      <c r="P17" s="248"/>
      <c r="Q17" s="175">
        <f>SUM(Q18:Q26)</f>
        <v>10292963148.799999</v>
      </c>
      <c r="R17" s="720"/>
      <c r="S17" s="175">
        <f>SUM(S18:S26)</f>
        <v>0</v>
      </c>
      <c r="T17" s="175"/>
      <c r="U17" s="473">
        <f>SUM(U18:U26)</f>
        <v>11711821049</v>
      </c>
      <c r="V17" s="730"/>
      <c r="W17" s="502">
        <f>SUM(W18:W26)</f>
        <v>0</v>
      </c>
      <c r="X17" s="393"/>
      <c r="Y17" s="537">
        <f>+Z17-U17</f>
        <v>-4261403514.448</v>
      </c>
      <c r="Z17" s="393">
        <v>7450417534.552</v>
      </c>
    </row>
    <row r="18" spans="1:26" ht="116.25" customHeight="1">
      <c r="A18" s="279" t="s">
        <v>522</v>
      </c>
      <c r="B18" s="250" t="s">
        <v>188</v>
      </c>
      <c r="C18" s="169" t="s">
        <v>1</v>
      </c>
      <c r="D18" s="221">
        <v>30</v>
      </c>
      <c r="E18" s="68">
        <f>+I18+M18+Q18+U18</f>
        <v>3390558888.8000002</v>
      </c>
      <c r="F18" s="221">
        <f>AVERAGE(H18,L18,P18,T18)</f>
        <v>63.75</v>
      </c>
      <c r="G18" s="68">
        <f t="shared" ref="G18:G26" si="15">+K18+O18+S18+W18</f>
        <v>10184422</v>
      </c>
      <c r="H18" s="238">
        <v>30</v>
      </c>
      <c r="I18" s="610">
        <v>675782143.39999998</v>
      </c>
      <c r="J18" s="289">
        <v>3</v>
      </c>
      <c r="K18" s="198">
        <v>10184422</v>
      </c>
      <c r="L18" s="241">
        <v>50</v>
      </c>
      <c r="M18" s="605">
        <v>700000000</v>
      </c>
      <c r="N18" s="288"/>
      <c r="O18" s="68"/>
      <c r="P18" s="241">
        <v>75</v>
      </c>
      <c r="Q18" s="467">
        <v>1764776745.4000001</v>
      </c>
      <c r="R18" s="289"/>
      <c r="S18" s="68"/>
      <c r="T18" s="241">
        <v>100</v>
      </c>
      <c r="U18" s="467">
        <v>250000000</v>
      </c>
      <c r="V18" s="729"/>
      <c r="W18" s="205"/>
      <c r="X18" s="393">
        <f>0.8*100</f>
        <v>80</v>
      </c>
      <c r="Y18" s="393"/>
      <c r="Z18" s="393"/>
    </row>
    <row r="19" spans="1:26" ht="116.25" customHeight="1">
      <c r="A19" s="276" t="s">
        <v>523</v>
      </c>
      <c r="B19" s="166" t="s">
        <v>188</v>
      </c>
      <c r="C19" s="217" t="s">
        <v>1</v>
      </c>
      <c r="D19" s="221">
        <v>100</v>
      </c>
      <c r="E19" s="68">
        <f>+I19+M19+Q19+U19</f>
        <v>22243001773.199997</v>
      </c>
      <c r="F19" s="221">
        <v>5</v>
      </c>
      <c r="G19" s="68">
        <f t="shared" si="15"/>
        <v>178236212.81999999</v>
      </c>
      <c r="H19" s="238">
        <v>100</v>
      </c>
      <c r="I19" s="610">
        <v>4133045375.4000001</v>
      </c>
      <c r="J19" s="289">
        <v>10</v>
      </c>
      <c r="K19" s="198">
        <v>178236212.81999999</v>
      </c>
      <c r="L19" s="241">
        <v>100</v>
      </c>
      <c r="M19" s="605">
        <v>5678075925.3999996</v>
      </c>
      <c r="N19" s="288"/>
      <c r="O19" s="68"/>
      <c r="P19" s="241">
        <v>100</v>
      </c>
      <c r="Q19" s="467">
        <v>4892848580.3999996</v>
      </c>
      <c r="R19" s="289"/>
      <c r="S19" s="68"/>
      <c r="T19" s="241">
        <v>100</v>
      </c>
      <c r="U19" s="606">
        <v>7539031892</v>
      </c>
      <c r="V19" s="729"/>
      <c r="W19" s="597"/>
      <c r="X19" s="527">
        <v>4</v>
      </c>
      <c r="Z19" s="394"/>
    </row>
    <row r="20" spans="1:26" ht="68.25" customHeight="1">
      <c r="A20" s="279" t="s">
        <v>524</v>
      </c>
      <c r="B20" s="166" t="s">
        <v>186</v>
      </c>
      <c r="C20" s="169" t="s">
        <v>1</v>
      </c>
      <c r="D20" s="221">
        <v>100</v>
      </c>
      <c r="E20" s="68">
        <f t="shared" ref="E20:E26" si="16">+I20+M20+Q20+U20</f>
        <v>0</v>
      </c>
      <c r="F20" s="221">
        <f t="shared" ref="F20:F26" si="17">+J20+N20+R20+V20</f>
        <v>0</v>
      </c>
      <c r="G20" s="68">
        <f t="shared" si="15"/>
        <v>0</v>
      </c>
      <c r="H20" s="240">
        <v>100</v>
      </c>
      <c r="I20" s="610">
        <v>0</v>
      </c>
      <c r="J20" s="289">
        <v>0</v>
      </c>
      <c r="K20" s="198"/>
      <c r="L20" s="241">
        <v>100</v>
      </c>
      <c r="M20" s="605">
        <v>0</v>
      </c>
      <c r="N20" s="288"/>
      <c r="O20" s="68"/>
      <c r="P20" s="241">
        <v>100</v>
      </c>
      <c r="Q20" s="467">
        <v>0</v>
      </c>
      <c r="R20" s="289"/>
      <c r="S20" s="68"/>
      <c r="T20" s="241">
        <v>100</v>
      </c>
      <c r="U20" s="467">
        <v>0</v>
      </c>
      <c r="V20" s="728"/>
      <c r="W20" s="205"/>
    </row>
    <row r="21" spans="1:26" ht="99.75" customHeight="1">
      <c r="A21" s="218" t="s">
        <v>525</v>
      </c>
      <c r="B21" s="166" t="s">
        <v>186</v>
      </c>
      <c r="C21" s="177" t="s">
        <v>433</v>
      </c>
      <c r="D21" s="251">
        <v>25</v>
      </c>
      <c r="E21" s="68">
        <f>+I21+M21+Q21+U21</f>
        <v>403037761</v>
      </c>
      <c r="F21" s="221">
        <f t="shared" si="17"/>
        <v>2.5</v>
      </c>
      <c r="G21" s="68">
        <f t="shared" si="15"/>
        <v>5020000</v>
      </c>
      <c r="H21" s="240">
        <v>25</v>
      </c>
      <c r="I21" s="610">
        <v>66787200</v>
      </c>
      <c r="J21" s="722">
        <v>2.5</v>
      </c>
      <c r="K21" s="198">
        <v>5020000</v>
      </c>
      <c r="L21" s="241">
        <v>50</v>
      </c>
      <c r="M21" s="605">
        <v>107717376</v>
      </c>
      <c r="N21" s="288"/>
      <c r="O21" s="68"/>
      <c r="P21" s="241">
        <v>50</v>
      </c>
      <c r="Q21" s="467">
        <v>112026071</v>
      </c>
      <c r="R21" s="289"/>
      <c r="S21" s="68"/>
      <c r="T21" s="241">
        <v>50</v>
      </c>
      <c r="U21" s="467">
        <v>116507114</v>
      </c>
      <c r="V21" s="731"/>
      <c r="W21" s="205"/>
    </row>
    <row r="22" spans="1:26" ht="68.25" customHeight="1">
      <c r="A22" s="262" t="s">
        <v>526</v>
      </c>
      <c r="B22" s="203" t="s">
        <v>186</v>
      </c>
      <c r="C22" s="737" t="s">
        <v>1</v>
      </c>
      <c r="D22" s="251">
        <f>+H22+L22+P22+T22</f>
        <v>400</v>
      </c>
      <c r="E22" s="68">
        <f t="shared" si="16"/>
        <v>1301609346.4000001</v>
      </c>
      <c r="F22" s="221">
        <f t="shared" si="17"/>
        <v>12</v>
      </c>
      <c r="G22" s="68">
        <f t="shared" si="15"/>
        <v>37542845</v>
      </c>
      <c r="H22" s="240">
        <v>100</v>
      </c>
      <c r="I22" s="610">
        <v>304823665.39999998</v>
      </c>
      <c r="J22" s="289">
        <v>12</v>
      </c>
      <c r="K22" s="198">
        <v>37542845</v>
      </c>
      <c r="L22" s="241">
        <v>100</v>
      </c>
      <c r="M22" s="605">
        <v>343484522</v>
      </c>
      <c r="N22" s="288"/>
      <c r="O22" s="68"/>
      <c r="P22" s="241">
        <v>100</v>
      </c>
      <c r="Q22" s="467">
        <v>306212458</v>
      </c>
      <c r="R22" s="289"/>
      <c r="S22" s="68"/>
      <c r="T22" s="241">
        <v>100</v>
      </c>
      <c r="U22" s="467">
        <v>347088701</v>
      </c>
      <c r="V22" s="729"/>
      <c r="W22" s="205"/>
      <c r="X22" s="598">
        <f>+U22-W22</f>
        <v>347088701</v>
      </c>
    </row>
    <row r="23" spans="1:26" ht="68.25" customHeight="1">
      <c r="A23" s="262" t="s">
        <v>527</v>
      </c>
      <c r="B23" s="203" t="s">
        <v>186</v>
      </c>
      <c r="C23" s="220" t="s">
        <v>433</v>
      </c>
      <c r="D23" s="251">
        <v>500</v>
      </c>
      <c r="E23" s="68">
        <f t="shared" si="16"/>
        <v>1775037937.0999999</v>
      </c>
      <c r="F23" s="198">
        <f t="shared" si="17"/>
        <v>0</v>
      </c>
      <c r="G23" s="68">
        <f t="shared" si="15"/>
        <v>33702927.811999999</v>
      </c>
      <c r="H23" s="240">
        <v>500</v>
      </c>
      <c r="I23" s="610">
        <v>703407316.10000002</v>
      </c>
      <c r="J23" s="289">
        <v>0</v>
      </c>
      <c r="K23" s="198">
        <v>33702927.811999999</v>
      </c>
      <c r="L23" s="241">
        <v>300</v>
      </c>
      <c r="M23" s="605">
        <v>343295304</v>
      </c>
      <c r="N23" s="288"/>
      <c r="O23" s="68"/>
      <c r="P23" s="241">
        <v>300</v>
      </c>
      <c r="Q23" s="467">
        <v>357027116</v>
      </c>
      <c r="R23" s="289"/>
      <c r="S23" s="68"/>
      <c r="T23" s="241">
        <v>300</v>
      </c>
      <c r="U23" s="467">
        <v>371308201</v>
      </c>
      <c r="V23" s="729"/>
      <c r="W23" s="205"/>
    </row>
    <row r="24" spans="1:26" ht="68.25" customHeight="1">
      <c r="A24" s="262" t="s">
        <v>528</v>
      </c>
      <c r="B24" s="203" t="s">
        <v>186</v>
      </c>
      <c r="C24" s="220" t="s">
        <v>1</v>
      </c>
      <c r="D24" s="251">
        <v>100</v>
      </c>
      <c r="E24" s="68">
        <f t="shared" si="16"/>
        <v>2351599580</v>
      </c>
      <c r="F24" s="198">
        <f t="shared" si="17"/>
        <v>0</v>
      </c>
      <c r="G24" s="68">
        <f t="shared" si="15"/>
        <v>0</v>
      </c>
      <c r="H24" s="240">
        <v>100</v>
      </c>
      <c r="I24" s="610">
        <v>398051099</v>
      </c>
      <c r="J24" s="289">
        <v>0</v>
      </c>
      <c r="K24" s="198"/>
      <c r="L24" s="241">
        <v>100</v>
      </c>
      <c r="M24" s="605">
        <v>789465799</v>
      </c>
      <c r="N24" s="288"/>
      <c r="O24" s="68"/>
      <c r="P24" s="241">
        <v>100</v>
      </c>
      <c r="Q24" s="467">
        <v>641671557</v>
      </c>
      <c r="R24" s="289"/>
      <c r="S24" s="68"/>
      <c r="T24" s="241">
        <v>100</v>
      </c>
      <c r="U24" s="467">
        <v>522411125</v>
      </c>
      <c r="V24" s="729"/>
      <c r="W24" s="205"/>
    </row>
    <row r="25" spans="1:26" ht="96.75" customHeight="1">
      <c r="A25" s="262" t="s">
        <v>529</v>
      </c>
      <c r="B25" s="203" t="s">
        <v>186</v>
      </c>
      <c r="C25" s="219" t="s">
        <v>433</v>
      </c>
      <c r="D25" s="251">
        <v>340</v>
      </c>
      <c r="E25" s="68">
        <f t="shared" si="16"/>
        <v>1456863662</v>
      </c>
      <c r="F25" s="198">
        <f t="shared" si="17"/>
        <v>0</v>
      </c>
      <c r="G25" s="68">
        <f t="shared" si="15"/>
        <v>11033124</v>
      </c>
      <c r="H25" s="240">
        <v>340</v>
      </c>
      <c r="I25" s="610">
        <v>385530542</v>
      </c>
      <c r="J25" s="289">
        <v>0</v>
      </c>
      <c r="K25" s="198">
        <v>11033124</v>
      </c>
      <c r="L25" s="241">
        <v>300</v>
      </c>
      <c r="M25" s="605">
        <v>343200000</v>
      </c>
      <c r="N25" s="288"/>
      <c r="O25" s="68"/>
      <c r="P25" s="241">
        <v>300</v>
      </c>
      <c r="Q25" s="467">
        <v>356928000</v>
      </c>
      <c r="R25" s="289"/>
      <c r="S25" s="68"/>
      <c r="T25" s="241">
        <v>300</v>
      </c>
      <c r="U25" s="467">
        <v>371205120</v>
      </c>
      <c r="V25" s="729"/>
      <c r="W25" s="205"/>
      <c r="X25" s="396"/>
    </row>
    <row r="26" spans="1:26" ht="133.5" customHeight="1">
      <c r="A26" s="715" t="s">
        <v>530</v>
      </c>
      <c r="B26" s="203" t="s">
        <v>186</v>
      </c>
      <c r="C26" s="219" t="s">
        <v>521</v>
      </c>
      <c r="D26" s="251">
        <v>1</v>
      </c>
      <c r="E26" s="68">
        <f t="shared" si="16"/>
        <v>9622971361</v>
      </c>
      <c r="F26" s="198">
        <f t="shared" si="17"/>
        <v>0</v>
      </c>
      <c r="G26" s="68">
        <f t="shared" si="15"/>
        <v>0</v>
      </c>
      <c r="H26" s="240">
        <v>1</v>
      </c>
      <c r="I26" s="610">
        <v>3576963272</v>
      </c>
      <c r="J26" s="289">
        <v>0</v>
      </c>
      <c r="K26" s="198">
        <v>0</v>
      </c>
      <c r="L26" s="241">
        <v>1</v>
      </c>
      <c r="M26" s="605">
        <v>1990266572</v>
      </c>
      <c r="N26" s="288"/>
      <c r="O26" s="68"/>
      <c r="P26" s="241">
        <v>1</v>
      </c>
      <c r="Q26" s="467">
        <v>1861472621</v>
      </c>
      <c r="R26" s="721"/>
      <c r="S26" s="68"/>
      <c r="T26" s="241">
        <v>1</v>
      </c>
      <c r="U26" s="467">
        <v>2194268896</v>
      </c>
      <c r="V26" s="732"/>
      <c r="W26" s="205"/>
      <c r="X26" s="393"/>
    </row>
    <row r="27" spans="1:26" ht="71.25" customHeight="1">
      <c r="A27" s="222" t="s">
        <v>544</v>
      </c>
      <c r="B27" s="181"/>
      <c r="C27" s="165"/>
      <c r="D27" s="182"/>
      <c r="E27" s="183">
        <f>+E28+E32</f>
        <v>3747565144</v>
      </c>
      <c r="F27" s="183">
        <f t="shared" ref="F27:H27" si="18">+F28+F32</f>
        <v>0</v>
      </c>
      <c r="G27" s="183">
        <f t="shared" si="18"/>
        <v>209552402</v>
      </c>
      <c r="H27" s="182">
        <f t="shared" si="18"/>
        <v>0</v>
      </c>
      <c r="I27" s="183">
        <f>+I28+I32</f>
        <v>334519644</v>
      </c>
      <c r="J27" s="720"/>
      <c r="K27" s="182">
        <f>+K28+K32</f>
        <v>209552402</v>
      </c>
      <c r="L27" s="182"/>
      <c r="M27" s="183">
        <f>+M28+M32</f>
        <v>1100375048</v>
      </c>
      <c r="N27" s="183">
        <f t="shared" ref="N27:U27" si="19">+N28+N32</f>
        <v>0</v>
      </c>
      <c r="O27" s="183">
        <f t="shared" si="19"/>
        <v>0</v>
      </c>
      <c r="P27" s="183">
        <f t="shared" si="19"/>
        <v>0</v>
      </c>
      <c r="Q27" s="183">
        <f>+Q28+Q32</f>
        <v>1120790907</v>
      </c>
      <c r="R27" s="183">
        <f t="shared" si="19"/>
        <v>0</v>
      </c>
      <c r="S27" s="183">
        <f t="shared" si="19"/>
        <v>0</v>
      </c>
      <c r="T27" s="183">
        <f t="shared" si="19"/>
        <v>0</v>
      </c>
      <c r="U27" s="183">
        <f t="shared" si="19"/>
        <v>1191879545</v>
      </c>
      <c r="V27" s="720"/>
      <c r="W27" s="503">
        <f>+W28+W32</f>
        <v>0</v>
      </c>
      <c r="X27" s="393"/>
    </row>
    <row r="28" spans="1:26" ht="44.25" customHeight="1">
      <c r="A28" s="263" t="s">
        <v>545</v>
      </c>
      <c r="B28" s="184"/>
      <c r="C28" s="179"/>
      <c r="D28" s="185"/>
      <c r="E28" s="175">
        <f>SUM(E29:E31)</f>
        <v>1966932879</v>
      </c>
      <c r="F28" s="176"/>
      <c r="G28" s="175">
        <f>SUM(G29:G31)</f>
        <v>79513506</v>
      </c>
      <c r="H28" s="242">
        <v>0</v>
      </c>
      <c r="I28" s="175">
        <f>SUM(I29:I31)</f>
        <v>203528147</v>
      </c>
      <c r="J28" s="720"/>
      <c r="K28" s="267">
        <f>SUM(K29:K31)</f>
        <v>79513506</v>
      </c>
      <c r="L28" s="176">
        <v>0</v>
      </c>
      <c r="M28" s="183">
        <f>SUM(M29:M31)</f>
        <v>585619848</v>
      </c>
      <c r="N28" s="176"/>
      <c r="O28" s="175">
        <f>SUM(O29:O31)</f>
        <v>0</v>
      </c>
      <c r="P28" s="175"/>
      <c r="Q28" s="175">
        <f>SUM(Q29:Q31)</f>
        <v>587797947</v>
      </c>
      <c r="R28" s="720"/>
      <c r="S28" s="175">
        <f>SUM(S29:S31)</f>
        <v>0</v>
      </c>
      <c r="T28" s="175"/>
      <c r="U28" s="175">
        <f>SUM(U29:U31)</f>
        <v>589986937</v>
      </c>
      <c r="V28" s="730"/>
      <c r="W28" s="502">
        <f>SUM(W29:W31)</f>
        <v>0</v>
      </c>
      <c r="X28" s="393"/>
      <c r="Z28" s="393"/>
    </row>
    <row r="29" spans="1:26" ht="113.25" customHeight="1">
      <c r="A29" s="223" t="s">
        <v>546</v>
      </c>
      <c r="B29" s="170" t="s">
        <v>186</v>
      </c>
      <c r="C29" s="198" t="s">
        <v>1</v>
      </c>
      <c r="D29" s="221">
        <f>+H29+L29+P29+T29</f>
        <v>400</v>
      </c>
      <c r="E29" s="68">
        <f>+I29+M29+Q29+U29</f>
        <v>1250457176</v>
      </c>
      <c r="F29" s="249">
        <f>+J29+R29+V29</f>
        <v>45</v>
      </c>
      <c r="G29" s="68">
        <f>+K29+O29+S29+W29</f>
        <v>29995410</v>
      </c>
      <c r="H29" s="238">
        <v>100</v>
      </c>
      <c r="I29" s="609">
        <v>72999300</v>
      </c>
      <c r="J29" s="289">
        <v>45</v>
      </c>
      <c r="K29" s="266">
        <v>29995410</v>
      </c>
      <c r="L29" s="241">
        <v>100</v>
      </c>
      <c r="M29" s="605">
        <v>391669970</v>
      </c>
      <c r="N29" s="288"/>
      <c r="O29" s="68"/>
      <c r="P29" s="241">
        <v>100</v>
      </c>
      <c r="Q29" s="467">
        <v>392503320</v>
      </c>
      <c r="R29" s="289"/>
      <c r="S29" s="68"/>
      <c r="T29" s="241">
        <v>100</v>
      </c>
      <c r="U29" s="68">
        <v>393284586</v>
      </c>
      <c r="V29" s="731"/>
      <c r="W29" s="205"/>
      <c r="X29" s="402">
        <f>+V30/T30</f>
        <v>0</v>
      </c>
      <c r="Z29" s="393"/>
    </row>
    <row r="30" spans="1:26" ht="88.5" customHeight="1">
      <c r="A30" s="280" t="s">
        <v>547</v>
      </c>
      <c r="B30" s="170" t="s">
        <v>186</v>
      </c>
      <c r="C30" s="219" t="s">
        <v>1</v>
      </c>
      <c r="D30" s="221">
        <f>+H30+L30+P30+T30</f>
        <v>100</v>
      </c>
      <c r="E30" s="68">
        <f>+I30+M30+Q30+U30</f>
        <v>618265107</v>
      </c>
      <c r="F30" s="458">
        <f>+J30+N30+R30+V30+1720</f>
        <v>1728</v>
      </c>
      <c r="G30" s="68">
        <f>+K30+O30+S30+W30</f>
        <v>30120000</v>
      </c>
      <c r="H30" s="240">
        <v>25</v>
      </c>
      <c r="I30" s="609">
        <v>111130751</v>
      </c>
      <c r="J30" s="289">
        <v>8</v>
      </c>
      <c r="K30" s="266">
        <v>30120000</v>
      </c>
      <c r="L30" s="241">
        <v>25</v>
      </c>
      <c r="M30" s="605">
        <v>168949878</v>
      </c>
      <c r="N30" s="288"/>
      <c r="O30" s="68"/>
      <c r="P30" s="241">
        <v>25</v>
      </c>
      <c r="Q30" s="467">
        <v>169044627</v>
      </c>
      <c r="R30" s="723"/>
      <c r="S30" s="68"/>
      <c r="T30" s="241">
        <v>25</v>
      </c>
      <c r="U30" s="397">
        <v>169139851</v>
      </c>
      <c r="V30" s="729"/>
      <c r="W30" s="205"/>
      <c r="X30" s="393">
        <f>+X29*30</f>
        <v>0</v>
      </c>
    </row>
    <row r="31" spans="1:26" ht="88.5" customHeight="1">
      <c r="A31" s="435" t="s">
        <v>548</v>
      </c>
      <c r="B31" s="170" t="s">
        <v>186</v>
      </c>
      <c r="C31" s="198" t="s">
        <v>471</v>
      </c>
      <c r="D31" s="221">
        <f>+L31+P31+T31</f>
        <v>3</v>
      </c>
      <c r="E31" s="68">
        <f>+I31+M31+Q31+U31</f>
        <v>98210596</v>
      </c>
      <c r="F31" s="221">
        <f>+N31+R31+V31</f>
        <v>0</v>
      </c>
      <c r="G31" s="68">
        <f>+K31+O31+S31+W31</f>
        <v>19398096</v>
      </c>
      <c r="H31" s="249">
        <v>1</v>
      </c>
      <c r="I31" s="467">
        <v>19398096</v>
      </c>
      <c r="J31" s="249">
        <v>1</v>
      </c>
      <c r="K31" s="198">
        <v>19398096</v>
      </c>
      <c r="L31" s="241">
        <v>1</v>
      </c>
      <c r="M31" s="605">
        <v>25000000</v>
      </c>
      <c r="N31" s="288"/>
      <c r="O31" s="190"/>
      <c r="P31" s="241">
        <v>1</v>
      </c>
      <c r="Q31" s="467">
        <v>26250000</v>
      </c>
      <c r="R31" s="289"/>
      <c r="S31" s="68"/>
      <c r="T31" s="241">
        <v>1</v>
      </c>
      <c r="U31" s="397">
        <v>27562500</v>
      </c>
      <c r="V31" s="729"/>
      <c r="W31" s="205"/>
      <c r="X31" s="393"/>
    </row>
    <row r="32" spans="1:26" ht="75.75" customHeight="1">
      <c r="A32" s="260" t="s">
        <v>549</v>
      </c>
      <c r="B32" s="186"/>
      <c r="C32" s="187"/>
      <c r="D32" s="188"/>
      <c r="E32" s="189">
        <f>SUM(E33:E34)</f>
        <v>1780632265</v>
      </c>
      <c r="F32" s="176"/>
      <c r="G32" s="175">
        <f>SUM(G33:G34)</f>
        <v>130038896</v>
      </c>
      <c r="H32" s="236"/>
      <c r="I32" s="175">
        <f>SUM(I33:I34)</f>
        <v>130991497</v>
      </c>
      <c r="J32" s="724"/>
      <c r="K32" s="208">
        <f>SUM(K33:K34)</f>
        <v>130038896</v>
      </c>
      <c r="L32" s="252"/>
      <c r="M32" s="388">
        <f>SUM(M33:M34)</f>
        <v>514755200</v>
      </c>
      <c r="N32" s="189"/>
      <c r="O32" s="189">
        <f>SUM(O33:O34)</f>
        <v>0</v>
      </c>
      <c r="P32" s="252"/>
      <c r="Q32" s="189">
        <f>SUM(Q33:Q34)</f>
        <v>532992960</v>
      </c>
      <c r="R32" s="724"/>
      <c r="S32" s="189">
        <f>SUM(S33:S34)</f>
        <v>0</v>
      </c>
      <c r="T32" s="189"/>
      <c r="U32" s="189">
        <f>SUM(U33:U34)</f>
        <v>601892608</v>
      </c>
      <c r="V32" s="733"/>
      <c r="W32" s="504">
        <f>SUM(W33:W34)</f>
        <v>0</v>
      </c>
      <c r="X32" s="393">
        <v>2924210004.7832093</v>
      </c>
      <c r="Y32" s="393">
        <f>+U32-X32</f>
        <v>-2322317396.7832093</v>
      </c>
      <c r="Z32" s="393"/>
    </row>
    <row r="33" spans="1:31" ht="42.75" customHeight="1">
      <c r="A33" s="279" t="s">
        <v>550</v>
      </c>
      <c r="B33" s="224" t="s">
        <v>457</v>
      </c>
      <c r="C33" s="198" t="s">
        <v>1</v>
      </c>
      <c r="D33" s="221">
        <f>AVERAGE(H33,L33,P33,T33)</f>
        <v>100</v>
      </c>
      <c r="E33" s="68">
        <f>+I33+M33+Q33+U33</f>
        <v>1682421669</v>
      </c>
      <c r="F33" s="221"/>
      <c r="G33" s="297">
        <f>+K33+O33+S33+W33</f>
        <v>110640800</v>
      </c>
      <c r="H33" s="261">
        <v>100</v>
      </c>
      <c r="I33" s="708">
        <v>111593401</v>
      </c>
      <c r="J33" s="289">
        <v>65</v>
      </c>
      <c r="K33" s="198">
        <v>110640800</v>
      </c>
      <c r="L33" s="241">
        <v>100</v>
      </c>
      <c r="M33" s="605">
        <v>489755200</v>
      </c>
      <c r="N33" s="288"/>
      <c r="O33" s="190"/>
      <c r="P33" s="241">
        <v>100</v>
      </c>
      <c r="Q33" s="467">
        <v>506742960</v>
      </c>
      <c r="R33" s="289"/>
      <c r="S33" s="68"/>
      <c r="T33" s="241">
        <v>100</v>
      </c>
      <c r="U33" s="397">
        <v>574330108</v>
      </c>
      <c r="V33" s="729"/>
      <c r="W33" s="205"/>
      <c r="X33" s="393"/>
      <c r="Z33" s="393"/>
    </row>
    <row r="34" spans="1:31" ht="46.5" customHeight="1">
      <c r="A34" s="276" t="s">
        <v>548</v>
      </c>
      <c r="B34" s="224" t="s">
        <v>457</v>
      </c>
      <c r="C34" s="219" t="s">
        <v>471</v>
      </c>
      <c r="D34" s="221">
        <v>99948</v>
      </c>
      <c r="E34" s="68">
        <f>+I34+M34+Q34+U34</f>
        <v>98210596</v>
      </c>
      <c r="F34" s="251"/>
      <c r="G34" s="297">
        <f>+K34+O34+S34+W34</f>
        <v>19398096</v>
      </c>
      <c r="H34" s="249">
        <v>1</v>
      </c>
      <c r="I34" s="467">
        <v>19398096</v>
      </c>
      <c r="J34" s="811">
        <v>0.4</v>
      </c>
      <c r="K34" s="198">
        <v>19398096</v>
      </c>
      <c r="L34" s="241">
        <v>1</v>
      </c>
      <c r="M34" s="605">
        <v>25000000</v>
      </c>
      <c r="N34" s="288"/>
      <c r="O34" s="190"/>
      <c r="P34" s="241">
        <v>1</v>
      </c>
      <c r="Q34" s="467">
        <v>26250000</v>
      </c>
      <c r="R34" s="289"/>
      <c r="S34" s="68"/>
      <c r="T34" s="241">
        <v>1</v>
      </c>
      <c r="U34" s="397">
        <v>27562500</v>
      </c>
      <c r="V34" s="729"/>
      <c r="W34" s="205"/>
      <c r="X34" s="393"/>
      <c r="Y34" s="403">
        <f>AVERAGE(AC34,AG34,AK34+AO34)+25636.64</f>
        <v>25636.639999999999</v>
      </c>
      <c r="Z34" s="615">
        <v>21687999</v>
      </c>
    </row>
    <row r="35" spans="1:31" ht="52.5" customHeight="1">
      <c r="A35" s="228" t="s">
        <v>551</v>
      </c>
      <c r="B35" s="165"/>
      <c r="C35" s="191"/>
      <c r="D35" s="191"/>
      <c r="E35" s="229">
        <f>+E36+E41+E44</f>
        <v>10623497111.278576</v>
      </c>
      <c r="F35" s="229">
        <f t="shared" ref="F35:H35" si="20">+F36+F41+F44</f>
        <v>0</v>
      </c>
      <c r="G35" s="229">
        <f t="shared" si="20"/>
        <v>589431897.60000002</v>
      </c>
      <c r="H35" s="806">
        <f t="shared" si="20"/>
        <v>0</v>
      </c>
      <c r="I35" s="229">
        <f>+I36+I41+I44</f>
        <v>2589233218.4000001</v>
      </c>
      <c r="J35" s="725"/>
      <c r="K35" s="268">
        <f>+K36+K41</f>
        <v>589431897.60000002</v>
      </c>
      <c r="L35" s="268"/>
      <c r="M35" s="387">
        <f>+M36+M41+M44</f>
        <v>2541761017.4000001</v>
      </c>
      <c r="N35" s="387">
        <f t="shared" ref="N35:U35" si="21">+N36+N41+N44</f>
        <v>0</v>
      </c>
      <c r="O35" s="387">
        <f t="shared" si="21"/>
        <v>0</v>
      </c>
      <c r="P35" s="387">
        <f t="shared" si="21"/>
        <v>0</v>
      </c>
      <c r="Q35" s="387">
        <f>+Q36+Q41+Q44</f>
        <v>2730635723.4785752</v>
      </c>
      <c r="R35" s="387">
        <f t="shared" si="21"/>
        <v>0</v>
      </c>
      <c r="S35" s="387">
        <f t="shared" si="21"/>
        <v>0</v>
      </c>
      <c r="T35" s="387">
        <f t="shared" si="21"/>
        <v>0</v>
      </c>
      <c r="U35" s="387">
        <f t="shared" si="21"/>
        <v>2761867152</v>
      </c>
      <c r="V35" s="725"/>
      <c r="W35" s="505">
        <f>+W36+W41</f>
        <v>0</v>
      </c>
      <c r="X35" s="393"/>
      <c r="Y35" s="391">
        <v>167</v>
      </c>
    </row>
    <row r="36" spans="1:31" ht="51" customHeight="1">
      <c r="A36" s="263" t="s">
        <v>552</v>
      </c>
      <c r="B36" s="178"/>
      <c r="C36" s="194"/>
      <c r="D36" s="195"/>
      <c r="E36" s="196">
        <f>SUM(E37:E40)</f>
        <v>3053201206.8000002</v>
      </c>
      <c r="F36" s="540"/>
      <c r="G36" s="196">
        <f>SUM(G37:G40)</f>
        <v>335636638</v>
      </c>
      <c r="H36" s="236">
        <v>0</v>
      </c>
      <c r="I36" s="272">
        <f>SUM(I37:I40)</f>
        <v>785177624.39999998</v>
      </c>
      <c r="J36" s="720"/>
      <c r="K36" s="267">
        <f>SUM(K37:K40)</f>
        <v>335636638</v>
      </c>
      <c r="L36" s="818">
        <v>0</v>
      </c>
      <c r="M36" s="230">
        <f>SUM(M37:M40)</f>
        <v>719436505.39999998</v>
      </c>
      <c r="N36" s="195"/>
      <c r="O36" s="196">
        <f>SUM(O37:O40)</f>
        <v>0</v>
      </c>
      <c r="P36" s="196"/>
      <c r="Q36" s="196">
        <f>SUM(Q37:Q40)</f>
        <v>755408330</v>
      </c>
      <c r="R36" s="720"/>
      <c r="S36" s="196">
        <f>SUM(S37:S40)</f>
        <v>0</v>
      </c>
      <c r="T36" s="196"/>
      <c r="U36" s="196">
        <f>SUM(U37:U40)</f>
        <v>793178747</v>
      </c>
      <c r="V36" s="730"/>
      <c r="W36" s="506">
        <f>SUM(W37:W40)</f>
        <v>0</v>
      </c>
      <c r="X36" s="393"/>
      <c r="Y36" s="393" t="e">
        <f>+#REF!-Y35</f>
        <v>#REF!</v>
      </c>
      <c r="Z36" s="393"/>
      <c r="AA36" s="59">
        <f>75+Y35</f>
        <v>242</v>
      </c>
    </row>
    <row r="37" spans="1:31" ht="116.25" customHeight="1">
      <c r="A37" s="223" t="s">
        <v>553</v>
      </c>
      <c r="B37" s="224" t="s">
        <v>186</v>
      </c>
      <c r="C37" s="167" t="s">
        <v>1</v>
      </c>
      <c r="D37" s="221">
        <v>100</v>
      </c>
      <c r="E37" s="68">
        <f>+I37+M37+Q37+U37</f>
        <v>862025000.39999998</v>
      </c>
      <c r="F37" s="198">
        <f>+J37+N37+R37+V37</f>
        <v>55</v>
      </c>
      <c r="G37" s="68">
        <f>+K37+O37+S37+W37</f>
        <v>168673004</v>
      </c>
      <c r="H37" s="241">
        <v>100</v>
      </c>
      <c r="I37" s="467">
        <v>200000000.40000001</v>
      </c>
      <c r="J37" s="289">
        <v>55</v>
      </c>
      <c r="K37" s="198">
        <v>168673004</v>
      </c>
      <c r="L37" s="241">
        <v>100</v>
      </c>
      <c r="M37" s="605">
        <v>210000000</v>
      </c>
      <c r="N37" s="288"/>
      <c r="O37" s="68"/>
      <c r="P37" s="241">
        <v>100</v>
      </c>
      <c r="Q37" s="467">
        <v>220500000</v>
      </c>
      <c r="R37" s="289"/>
      <c r="S37" s="68"/>
      <c r="T37" s="241">
        <v>100</v>
      </c>
      <c r="U37" s="68">
        <v>231525000</v>
      </c>
      <c r="V37" s="729"/>
      <c r="W37" s="205"/>
      <c r="X37" s="393"/>
      <c r="Y37" s="393" t="e">
        <f>+#REF!-Y35</f>
        <v>#REF!</v>
      </c>
      <c r="Z37" s="393">
        <v>0.64864864864864902</v>
      </c>
    </row>
    <row r="38" spans="1:31" ht="80.25" customHeight="1">
      <c r="A38" s="279" t="s">
        <v>554</v>
      </c>
      <c r="B38" s="224" t="s">
        <v>186</v>
      </c>
      <c r="C38" s="167" t="s">
        <v>1</v>
      </c>
      <c r="D38" s="221">
        <v>100</v>
      </c>
      <c r="E38" s="68">
        <f t="shared" ref="E38:E45" si="22">+I38+M38+Q38+U38</f>
        <v>215506250</v>
      </c>
      <c r="F38" s="198">
        <f>+J38+N38+R38+V38</f>
        <v>50</v>
      </c>
      <c r="G38" s="68">
        <f>+K38+O38+S38+W38</f>
        <v>0</v>
      </c>
      <c r="H38" s="241">
        <v>100</v>
      </c>
      <c r="I38" s="467">
        <v>50000000</v>
      </c>
      <c r="J38" s="289">
        <v>50</v>
      </c>
      <c r="K38" s="198">
        <v>0</v>
      </c>
      <c r="L38" s="249">
        <v>100</v>
      </c>
      <c r="M38" s="605">
        <v>52500000</v>
      </c>
      <c r="N38" s="288"/>
      <c r="O38" s="68"/>
      <c r="P38" s="241">
        <v>100</v>
      </c>
      <c r="Q38" s="467">
        <v>55125000</v>
      </c>
      <c r="R38" s="289"/>
      <c r="S38" s="68"/>
      <c r="T38" s="241">
        <v>100</v>
      </c>
      <c r="U38" s="68">
        <v>57881250</v>
      </c>
      <c r="V38" s="289"/>
      <c r="W38" s="507"/>
      <c r="X38" s="393">
        <f>+P38*0.67</f>
        <v>67</v>
      </c>
      <c r="Y38" s="395"/>
      <c r="Z38" s="395">
        <v>0.54054054054054057</v>
      </c>
      <c r="AA38" s="231"/>
      <c r="AB38" s="231"/>
      <c r="AC38" s="231"/>
      <c r="AD38" s="232"/>
      <c r="AE38" s="233"/>
    </row>
    <row r="39" spans="1:31" ht="105.75" customHeight="1">
      <c r="A39" s="279" t="s">
        <v>555</v>
      </c>
      <c r="B39" s="224" t="s">
        <v>186</v>
      </c>
      <c r="C39" s="167" t="s">
        <v>1</v>
      </c>
      <c r="D39" s="221">
        <v>100</v>
      </c>
      <c r="E39" s="68">
        <f>+I39+M39+Q39+U39</f>
        <v>1824815581.4000001</v>
      </c>
      <c r="F39" s="198">
        <f>+J39+N39+R39+V39</f>
        <v>10</v>
      </c>
      <c r="G39" s="68">
        <f>+K39+O39+S39+W39</f>
        <v>149989597</v>
      </c>
      <c r="H39" s="241">
        <v>100</v>
      </c>
      <c r="I39" s="467">
        <v>500177624</v>
      </c>
      <c r="J39" s="289">
        <v>10</v>
      </c>
      <c r="K39" s="198">
        <v>149989597</v>
      </c>
      <c r="L39" s="241">
        <v>100</v>
      </c>
      <c r="M39" s="605">
        <v>420186505.39999998</v>
      </c>
      <c r="N39" s="288"/>
      <c r="O39" s="68"/>
      <c r="P39" s="241">
        <v>100</v>
      </c>
      <c r="Q39" s="467">
        <v>441195830</v>
      </c>
      <c r="R39" s="722"/>
      <c r="S39" s="68"/>
      <c r="T39" s="241">
        <v>100</v>
      </c>
      <c r="U39" s="68">
        <v>463255622</v>
      </c>
      <c r="V39" s="729"/>
      <c r="W39" s="205"/>
      <c r="X39" s="393">
        <f>+R39/P39*100</f>
        <v>0</v>
      </c>
      <c r="Y39" s="393">
        <v>21687999</v>
      </c>
      <c r="Z39" s="393">
        <f>+E39-G39</f>
        <v>1674825984.4000001</v>
      </c>
    </row>
    <row r="40" spans="1:31" ht="36">
      <c r="A40" s="282" t="s">
        <v>556</v>
      </c>
      <c r="B40" s="224" t="s">
        <v>190</v>
      </c>
      <c r="C40" s="167">
        <v>1</v>
      </c>
      <c r="D40" s="221">
        <f>AVERAGE(H40,L40,P40,T40)</f>
        <v>1</v>
      </c>
      <c r="E40" s="68">
        <f>+I40+M40+Q40+U40</f>
        <v>150854375</v>
      </c>
      <c r="F40" s="198" t="s">
        <v>472</v>
      </c>
      <c r="G40" s="68">
        <f>+K40+O40+S40+W40</f>
        <v>16974037</v>
      </c>
      <c r="H40" s="241">
        <v>1</v>
      </c>
      <c r="I40" s="467">
        <v>35000000</v>
      </c>
      <c r="J40" s="289">
        <v>0</v>
      </c>
      <c r="K40" s="198">
        <v>16974037</v>
      </c>
      <c r="L40" s="241">
        <v>1</v>
      </c>
      <c r="M40" s="605">
        <v>36750000</v>
      </c>
      <c r="N40" s="288"/>
      <c r="O40" s="68"/>
      <c r="P40" s="241">
        <v>1</v>
      </c>
      <c r="Q40" s="467">
        <v>38587500</v>
      </c>
      <c r="R40" s="722"/>
      <c r="S40" s="68"/>
      <c r="T40" s="241">
        <v>1</v>
      </c>
      <c r="U40" s="68">
        <v>40516875</v>
      </c>
      <c r="V40" s="729"/>
      <c r="W40" s="205"/>
      <c r="X40" s="393"/>
    </row>
    <row r="41" spans="1:31" ht="36">
      <c r="A41" s="260" t="s">
        <v>557</v>
      </c>
      <c r="B41" s="178"/>
      <c r="C41" s="195"/>
      <c r="D41" s="197"/>
      <c r="E41" s="196">
        <f>SUM(E42:E43)</f>
        <v>6520295904.4785748</v>
      </c>
      <c r="F41" s="541"/>
      <c r="G41" s="196">
        <f>SUM(G42:G43)</f>
        <v>253795259.59999999</v>
      </c>
      <c r="H41" s="236">
        <v>0</v>
      </c>
      <c r="I41" s="196">
        <f>SUM(I42:I43)</f>
        <v>1604055594</v>
      </c>
      <c r="J41" s="720"/>
      <c r="K41" s="267">
        <f>SUM(K42:K43)</f>
        <v>253795259.59999999</v>
      </c>
      <c r="L41" s="236">
        <v>0</v>
      </c>
      <c r="M41" s="196">
        <f>SUM(M42:M43)</f>
        <v>1572324512</v>
      </c>
      <c r="N41" s="195"/>
      <c r="O41" s="196">
        <f>SUM(O42:O43)</f>
        <v>0</v>
      </c>
      <c r="P41" s="254"/>
      <c r="Q41" s="196">
        <f>SUM(Q42:Q43)</f>
        <v>1675227393.4785752</v>
      </c>
      <c r="R41" s="720"/>
      <c r="S41" s="196">
        <f>SUM(S42:S43)</f>
        <v>0</v>
      </c>
      <c r="T41" s="196"/>
      <c r="U41" s="196">
        <f>SUM(U42:U43)</f>
        <v>1668688405</v>
      </c>
      <c r="V41" s="730"/>
      <c r="W41" s="506">
        <f>SUM(W42:W43)</f>
        <v>0</v>
      </c>
      <c r="X41" s="393"/>
      <c r="Z41" s="393"/>
    </row>
    <row r="42" spans="1:31" ht="64.5" customHeight="1">
      <c r="A42" s="738" t="s">
        <v>558</v>
      </c>
      <c r="B42" s="171" t="s">
        <v>186</v>
      </c>
      <c r="C42" s="167" t="s">
        <v>1</v>
      </c>
      <c r="D42" s="221">
        <v>100</v>
      </c>
      <c r="E42" s="68">
        <f t="shared" si="22"/>
        <v>5308310903.9335747</v>
      </c>
      <c r="F42" s="198">
        <f>+J42+N42+R42+V42</f>
        <v>56</v>
      </c>
      <c r="G42" s="68">
        <f>+K42+O42+S42+W42</f>
        <v>253795259.59999999</v>
      </c>
      <c r="H42" s="241">
        <v>100</v>
      </c>
      <c r="I42" s="467">
        <v>1498230496</v>
      </c>
      <c r="J42" s="289">
        <v>56</v>
      </c>
      <c r="K42" s="198">
        <v>253795259.59999999</v>
      </c>
      <c r="L42" s="241">
        <v>100</v>
      </c>
      <c r="M42" s="605">
        <v>1237208159</v>
      </c>
      <c r="N42" s="288"/>
      <c r="O42" s="68"/>
      <c r="P42" s="241">
        <v>100</v>
      </c>
      <c r="Q42" s="68">
        <v>1307675222.9335752</v>
      </c>
      <c r="R42" s="289"/>
      <c r="S42" s="257"/>
      <c r="T42" s="253">
        <v>100</v>
      </c>
      <c r="U42" s="68">
        <v>1265197026</v>
      </c>
      <c r="V42" s="734"/>
      <c r="W42" s="205">
        <v>0</v>
      </c>
      <c r="X42" s="393">
        <f>+R42/P42*100</f>
        <v>0</v>
      </c>
      <c r="Z42" s="393"/>
    </row>
    <row r="43" spans="1:31" ht="49.5" customHeight="1">
      <c r="A43" s="218" t="s">
        <v>559</v>
      </c>
      <c r="B43" s="171" t="s">
        <v>186</v>
      </c>
      <c r="C43" s="171" t="s">
        <v>1</v>
      </c>
      <c r="D43" s="221">
        <v>100</v>
      </c>
      <c r="E43" s="68">
        <f t="shared" si="22"/>
        <v>1211985000.5450001</v>
      </c>
      <c r="F43" s="198">
        <f>+J43+N43+R43+V43</f>
        <v>50</v>
      </c>
      <c r="G43" s="68">
        <f>+K43+O43+S43+W43</f>
        <v>0</v>
      </c>
      <c r="H43" s="241">
        <v>100</v>
      </c>
      <c r="I43" s="467">
        <v>105825098</v>
      </c>
      <c r="J43" s="289">
        <v>50</v>
      </c>
      <c r="K43" s="198">
        <v>0</v>
      </c>
      <c r="L43" s="241">
        <v>100</v>
      </c>
      <c r="M43" s="605">
        <v>335116353</v>
      </c>
      <c r="N43" s="288"/>
      <c r="O43" s="68"/>
      <c r="P43" s="241">
        <v>100</v>
      </c>
      <c r="Q43" s="68">
        <v>367552170.54500008</v>
      </c>
      <c r="R43" s="722"/>
      <c r="S43" s="68"/>
      <c r="T43" s="241">
        <v>100</v>
      </c>
      <c r="U43" s="68">
        <v>403491379</v>
      </c>
      <c r="V43" s="729"/>
      <c r="W43" s="205"/>
      <c r="X43" s="393">
        <f>+R43/P43*100</f>
        <v>0</v>
      </c>
    </row>
    <row r="44" spans="1:31" s="746" customFormat="1" ht="49.5" customHeight="1">
      <c r="A44" s="264" t="s">
        <v>560</v>
      </c>
      <c r="B44" s="188"/>
      <c r="C44" s="188"/>
      <c r="D44" s="739"/>
      <c r="E44" s="196">
        <f>SUM(E45)</f>
        <v>1050000000</v>
      </c>
      <c r="F44" s="176"/>
      <c r="G44" s="740"/>
      <c r="H44" s="176"/>
      <c r="I44" s="196">
        <f>SUM(I45)</f>
        <v>200000000</v>
      </c>
      <c r="J44" s="176"/>
      <c r="K44" s="176"/>
      <c r="L44" s="176"/>
      <c r="M44" s="196">
        <f>SUM(M45)</f>
        <v>250000000</v>
      </c>
      <c r="N44" s="740"/>
      <c r="O44" s="740"/>
      <c r="P44" s="176"/>
      <c r="Q44" s="196">
        <f>SUM(Q45)</f>
        <v>300000000</v>
      </c>
      <c r="R44" s="741"/>
      <c r="S44" s="740"/>
      <c r="T44" s="176"/>
      <c r="U44" s="196">
        <f>SUM(U45)</f>
        <v>300000000</v>
      </c>
      <c r="V44" s="742"/>
      <c r="W44" s="743"/>
      <c r="X44" s="744"/>
      <c r="Y44" s="745"/>
      <c r="Z44" s="745"/>
    </row>
    <row r="45" spans="1:31" ht="49.5" customHeight="1">
      <c r="A45" s="262" t="s">
        <v>561</v>
      </c>
      <c r="B45" s="171"/>
      <c r="C45" s="171" t="s">
        <v>597</v>
      </c>
      <c r="D45" s="221"/>
      <c r="E45" s="68">
        <f t="shared" si="22"/>
        <v>1050000000</v>
      </c>
      <c r="F45" s="198"/>
      <c r="G45" s="68"/>
      <c r="H45" s="241">
        <v>5</v>
      </c>
      <c r="I45" s="467">
        <v>200000000</v>
      </c>
      <c r="J45" s="289">
        <v>1</v>
      </c>
      <c r="K45" s="198">
        <v>0</v>
      </c>
      <c r="L45" s="241">
        <v>5</v>
      </c>
      <c r="M45" s="605">
        <v>250000000</v>
      </c>
      <c r="N45" s="288"/>
      <c r="O45" s="68"/>
      <c r="P45" s="241">
        <v>5</v>
      </c>
      <c r="Q45" s="68">
        <v>300000000</v>
      </c>
      <c r="R45" s="722"/>
      <c r="S45" s="68"/>
      <c r="T45" s="241">
        <v>5</v>
      </c>
      <c r="U45" s="68">
        <v>300000000</v>
      </c>
      <c r="V45" s="729"/>
      <c r="W45" s="205"/>
      <c r="X45" s="393"/>
    </row>
    <row r="46" spans="1:31" ht="51" customHeight="1">
      <c r="A46" s="180" t="s">
        <v>583</v>
      </c>
      <c r="B46" s="181"/>
      <c r="C46" s="192"/>
      <c r="D46" s="192"/>
      <c r="E46" s="193">
        <f>+E47+E71+E78</f>
        <v>28421642140.936649</v>
      </c>
      <c r="F46" s="193">
        <f t="shared" ref="F46:H46" si="23">+F47+F71+F78</f>
        <v>0</v>
      </c>
      <c r="G46" s="193">
        <f t="shared" si="23"/>
        <v>2395038017.7093339</v>
      </c>
      <c r="H46" s="193">
        <f t="shared" si="23"/>
        <v>0</v>
      </c>
      <c r="I46" s="193">
        <f>+I47+I71+I78</f>
        <v>6201173931.1255999</v>
      </c>
      <c r="J46" s="182">
        <f t="shared" ref="J46:M46" si="24">+J47+J71+J78</f>
        <v>0</v>
      </c>
      <c r="K46" s="193">
        <f t="shared" si="24"/>
        <v>3538736492.7679996</v>
      </c>
      <c r="L46" s="182">
        <f t="shared" si="24"/>
        <v>0</v>
      </c>
      <c r="M46" s="193">
        <f t="shared" si="24"/>
        <v>6863125272.9850006</v>
      </c>
      <c r="N46" s="193">
        <f t="shared" ref="N46" si="25">+N47+N71+N78</f>
        <v>0</v>
      </c>
      <c r="O46" s="193">
        <f t="shared" ref="O46" si="26">+O47+O71+O78</f>
        <v>0</v>
      </c>
      <c r="P46" s="193">
        <f t="shared" ref="P46" si="27">+P47+P71+P78</f>
        <v>0</v>
      </c>
      <c r="Q46" s="193">
        <f t="shared" ref="Q46" si="28">+Q47+Q71+Q78</f>
        <v>7861721027.4822998</v>
      </c>
      <c r="R46" s="193">
        <f t="shared" ref="R46" si="29">+R47+R71+R78</f>
        <v>0</v>
      </c>
      <c r="S46" s="193">
        <f t="shared" ref="S46" si="30">+S47+S71+S78</f>
        <v>0</v>
      </c>
      <c r="T46" s="193">
        <f t="shared" ref="T46" si="31">+T47+T71+T78</f>
        <v>0</v>
      </c>
      <c r="U46" s="193">
        <f>+U47+U71+U78</f>
        <v>7495621909.34375</v>
      </c>
      <c r="V46" s="720"/>
      <c r="W46" s="508">
        <f>+W47</f>
        <v>0</v>
      </c>
      <c r="X46" s="393">
        <v>1768739350.1519499</v>
      </c>
    </row>
    <row r="47" spans="1:31" ht="62.25" customHeight="1">
      <c r="A47" s="263" t="s">
        <v>584</v>
      </c>
      <c r="B47" s="178"/>
      <c r="C47" s="195"/>
      <c r="D47" s="197"/>
      <c r="E47" s="196">
        <f>SUM(E48:E70)</f>
        <v>20679794631.13665</v>
      </c>
      <c r="F47" s="540"/>
      <c r="G47" s="196">
        <f>SUM(G48:G70)</f>
        <v>1712473725.0373337</v>
      </c>
      <c r="H47" s="243"/>
      <c r="I47" s="196">
        <f>SUM(I48:I70)</f>
        <v>4609745686.1255999</v>
      </c>
      <c r="J47" s="720"/>
      <c r="K47" s="267">
        <f>SUM(K48:K70)</f>
        <v>2856172200.0959997</v>
      </c>
      <c r="L47" s="818"/>
      <c r="M47" s="196">
        <f>SUM(M48:M70)</f>
        <v>4821570106.9850006</v>
      </c>
      <c r="N47" s="195"/>
      <c r="O47" s="196">
        <f>SUM(O48:O70)</f>
        <v>0</v>
      </c>
      <c r="P47" s="196"/>
      <c r="Q47" s="196">
        <f>SUM(Q48:Q70)</f>
        <v>5856347122.0823002</v>
      </c>
      <c r="R47" s="720"/>
      <c r="S47" s="196">
        <f>SUM(S48:S70)</f>
        <v>0</v>
      </c>
      <c r="T47" s="196"/>
      <c r="U47" s="196">
        <f>SUM(U48:U70)</f>
        <v>5392131715.9437504</v>
      </c>
      <c r="V47" s="730"/>
      <c r="W47" s="506">
        <f>SUM(W48:W70)</f>
        <v>0</v>
      </c>
      <c r="X47" s="393">
        <v>1755850233</v>
      </c>
      <c r="Y47" s="393">
        <f>+X47-W47</f>
        <v>1755850233</v>
      </c>
      <c r="Z47" s="396"/>
    </row>
    <row r="48" spans="1:31" ht="54.75" customHeight="1">
      <c r="A48" s="223" t="s">
        <v>563</v>
      </c>
      <c r="B48" s="200" t="s">
        <v>188</v>
      </c>
      <c r="C48" s="167" t="s">
        <v>1</v>
      </c>
      <c r="D48" s="221">
        <v>100</v>
      </c>
      <c r="E48" s="68">
        <f>+I48+M48+Q48+U48</f>
        <v>124955371.19999999</v>
      </c>
      <c r="F48" s="198">
        <f t="shared" ref="F48:F56" si="32">AVERAGE(J48,N48,R48,V48)</f>
        <v>81</v>
      </c>
      <c r="G48" s="68">
        <f t="shared" ref="G48:G70" si="33">+K48+O48+S48+W48</f>
        <v>17288700</v>
      </c>
      <c r="H48" s="241">
        <v>100</v>
      </c>
      <c r="I48" s="467">
        <v>26400000</v>
      </c>
      <c r="J48" s="289">
        <v>81</v>
      </c>
      <c r="K48" s="198">
        <v>17288700</v>
      </c>
      <c r="L48" s="241">
        <v>100</v>
      </c>
      <c r="M48" s="607">
        <v>27588000</v>
      </c>
      <c r="N48" s="288"/>
      <c r="O48" s="68"/>
      <c r="P48" s="241">
        <v>100</v>
      </c>
      <c r="Q48" s="68">
        <v>32553840</v>
      </c>
      <c r="R48" s="289"/>
      <c r="S48" s="257"/>
      <c r="T48" s="253">
        <v>100</v>
      </c>
      <c r="U48" s="68">
        <v>38413531.199999988</v>
      </c>
      <c r="V48" s="734"/>
      <c r="W48" s="296">
        <v>0</v>
      </c>
      <c r="X48" s="537"/>
      <c r="Z48" s="396"/>
    </row>
    <row r="49" spans="1:26" ht="66" customHeight="1">
      <c r="A49" s="279" t="s">
        <v>564</v>
      </c>
      <c r="B49" s="200" t="s">
        <v>188</v>
      </c>
      <c r="C49" s="167" t="s">
        <v>1</v>
      </c>
      <c r="D49" s="221">
        <f t="shared" ref="D49:D56" si="34">AVERAGE(H49,L49,P49,T49)</f>
        <v>100</v>
      </c>
      <c r="E49" s="68">
        <f t="shared" ref="E49:E65" si="35">+I49+M49+Q49+U49</f>
        <v>124955371.19999999</v>
      </c>
      <c r="F49" s="198">
        <f t="shared" si="32"/>
        <v>100</v>
      </c>
      <c r="G49" s="68">
        <f t="shared" si="33"/>
        <v>26400000</v>
      </c>
      <c r="H49" s="241">
        <v>100</v>
      </c>
      <c r="I49" s="467">
        <v>26400000</v>
      </c>
      <c r="J49" s="289">
        <v>100</v>
      </c>
      <c r="K49" s="198">
        <v>26400000</v>
      </c>
      <c r="L49" s="241">
        <v>100</v>
      </c>
      <c r="M49" s="607">
        <v>27588000</v>
      </c>
      <c r="N49" s="288"/>
      <c r="O49" s="68"/>
      <c r="P49" s="241">
        <v>100</v>
      </c>
      <c r="Q49" s="68">
        <v>32553840</v>
      </c>
      <c r="R49" s="289"/>
      <c r="S49" s="257"/>
      <c r="T49" s="253">
        <v>100</v>
      </c>
      <c r="U49" s="68">
        <v>38413531.199999988</v>
      </c>
      <c r="V49" s="734"/>
      <c r="W49" s="205">
        <v>0</v>
      </c>
      <c r="X49" s="393"/>
    </row>
    <row r="50" spans="1:26" ht="54.75" customHeight="1">
      <c r="A50" s="279" t="s">
        <v>565</v>
      </c>
      <c r="B50" s="200" t="s">
        <v>188</v>
      </c>
      <c r="C50" s="167" t="s">
        <v>1</v>
      </c>
      <c r="D50" s="221">
        <f t="shared" si="34"/>
        <v>100</v>
      </c>
      <c r="E50" s="68">
        <f t="shared" si="35"/>
        <v>124955371.19999999</v>
      </c>
      <c r="F50" s="198">
        <f t="shared" si="32"/>
        <v>72</v>
      </c>
      <c r="G50" s="68">
        <f t="shared" si="33"/>
        <v>15632099.999999998</v>
      </c>
      <c r="H50" s="241">
        <v>100</v>
      </c>
      <c r="I50" s="467">
        <v>26400000</v>
      </c>
      <c r="J50" s="289">
        <v>72</v>
      </c>
      <c r="K50" s="198">
        <v>15632099.999999998</v>
      </c>
      <c r="L50" s="241">
        <v>100</v>
      </c>
      <c r="M50" s="607">
        <v>27588000</v>
      </c>
      <c r="N50" s="288"/>
      <c r="O50" s="68"/>
      <c r="P50" s="241">
        <v>100</v>
      </c>
      <c r="Q50" s="68">
        <v>32553840</v>
      </c>
      <c r="R50" s="289"/>
      <c r="S50" s="257"/>
      <c r="T50" s="253">
        <v>100</v>
      </c>
      <c r="U50" s="68">
        <v>38413531.199999988</v>
      </c>
      <c r="V50" s="734"/>
      <c r="W50" s="205">
        <v>0</v>
      </c>
      <c r="X50" s="393"/>
    </row>
    <row r="51" spans="1:26" ht="61.5" customHeight="1">
      <c r="A51" s="738" t="s">
        <v>566</v>
      </c>
      <c r="B51" s="200" t="s">
        <v>188</v>
      </c>
      <c r="C51" s="167" t="s">
        <v>1</v>
      </c>
      <c r="D51" s="221">
        <f t="shared" si="34"/>
        <v>100</v>
      </c>
      <c r="E51" s="68">
        <f t="shared" si="35"/>
        <v>340868800.93400002</v>
      </c>
      <c r="F51" s="198">
        <f t="shared" si="32"/>
        <v>31</v>
      </c>
      <c r="G51" s="68">
        <f t="shared" si="33"/>
        <v>44192000</v>
      </c>
      <c r="H51" s="241">
        <v>100</v>
      </c>
      <c r="I51" s="467">
        <v>71278795.464000002</v>
      </c>
      <c r="J51" s="289">
        <v>31</v>
      </c>
      <c r="K51" s="769">
        <v>44192000</v>
      </c>
      <c r="L51" s="241">
        <v>100</v>
      </c>
      <c r="M51" s="607">
        <v>75464675</v>
      </c>
      <c r="N51" s="288"/>
      <c r="O51" s="68"/>
      <c r="P51" s="241">
        <v>100</v>
      </c>
      <c r="Q51" s="68">
        <v>89048317</v>
      </c>
      <c r="R51" s="289"/>
      <c r="S51" s="257"/>
      <c r="T51" s="253">
        <v>100</v>
      </c>
      <c r="U51" s="68">
        <v>105077013.47</v>
      </c>
      <c r="V51" s="734"/>
      <c r="W51" s="205"/>
      <c r="X51" s="393">
        <f>+U51-W51</f>
        <v>105077013.47</v>
      </c>
      <c r="Y51" s="396"/>
      <c r="Z51" s="396"/>
    </row>
    <row r="52" spans="1:26" ht="61.5" customHeight="1">
      <c r="A52" s="223" t="s">
        <v>567</v>
      </c>
      <c r="B52" s="200" t="s">
        <v>188</v>
      </c>
      <c r="C52" s="167" t="s">
        <v>1</v>
      </c>
      <c r="D52" s="221">
        <f t="shared" si="34"/>
        <v>85</v>
      </c>
      <c r="E52" s="68">
        <f t="shared" si="35"/>
        <v>2749170677.9364181</v>
      </c>
      <c r="F52" s="198">
        <f t="shared" si="32"/>
        <v>4.8</v>
      </c>
      <c r="G52" s="68">
        <f t="shared" si="33"/>
        <v>440900091.67633337</v>
      </c>
      <c r="H52" s="241">
        <v>70</v>
      </c>
      <c r="I52" s="467">
        <v>469581872.77999997</v>
      </c>
      <c r="J52" s="722">
        <v>4.8</v>
      </c>
      <c r="K52" s="198">
        <v>440900091.67633337</v>
      </c>
      <c r="L52" s="241">
        <v>80</v>
      </c>
      <c r="M52" s="607">
        <v>678449049</v>
      </c>
      <c r="N52" s="288"/>
      <c r="O52" s="68"/>
      <c r="P52" s="241">
        <v>90</v>
      </c>
      <c r="Q52" s="68">
        <v>800569878</v>
      </c>
      <c r="R52" s="289"/>
      <c r="S52" s="257"/>
      <c r="T52" s="253">
        <v>100</v>
      </c>
      <c r="U52" s="68">
        <v>800569878.15641797</v>
      </c>
      <c r="V52" s="734"/>
      <c r="W52" s="205"/>
      <c r="X52" s="393">
        <f>+U52-W52</f>
        <v>800569878.15641797</v>
      </c>
    </row>
    <row r="53" spans="1:26" ht="61.5" customHeight="1">
      <c r="A53" s="223" t="s">
        <v>568</v>
      </c>
      <c r="B53" s="200" t="s">
        <v>188</v>
      </c>
      <c r="C53" s="167" t="s">
        <v>562</v>
      </c>
      <c r="D53" s="221">
        <f t="shared" si="34"/>
        <v>60</v>
      </c>
      <c r="E53" s="68">
        <f t="shared" si="35"/>
        <v>0</v>
      </c>
      <c r="F53" s="198">
        <f>AVERAGE(J53,N53,R53,V53)</f>
        <v>60</v>
      </c>
      <c r="G53" s="68">
        <f t="shared" si="33"/>
        <v>0</v>
      </c>
      <c r="H53" s="241">
        <v>60</v>
      </c>
      <c r="I53" s="467">
        <v>0</v>
      </c>
      <c r="J53" s="289">
        <v>60</v>
      </c>
      <c r="K53" s="198">
        <v>0</v>
      </c>
      <c r="L53" s="241">
        <v>60</v>
      </c>
      <c r="M53" s="607">
        <v>0</v>
      </c>
      <c r="N53" s="288"/>
      <c r="O53" s="68"/>
      <c r="P53" s="241">
        <v>60</v>
      </c>
      <c r="Q53" s="68">
        <v>0</v>
      </c>
      <c r="R53" s="289"/>
      <c r="S53" s="257"/>
      <c r="T53" s="253">
        <v>60</v>
      </c>
      <c r="U53" s="68"/>
      <c r="V53" s="734"/>
      <c r="W53" s="205"/>
      <c r="X53" s="393">
        <f>+U53-W53</f>
        <v>0</v>
      </c>
    </row>
    <row r="54" spans="1:26" ht="61.5" customHeight="1">
      <c r="A54" s="738" t="s">
        <v>593</v>
      </c>
      <c r="B54" s="200"/>
      <c r="C54" s="167" t="s">
        <v>1</v>
      </c>
      <c r="D54" s="221">
        <v>70</v>
      </c>
      <c r="E54" s="68">
        <f t="shared" si="35"/>
        <v>321692368.88041401</v>
      </c>
      <c r="F54" s="198">
        <f>AVERAGE(J54,N54,R54,V54)</f>
        <v>45</v>
      </c>
      <c r="G54" s="68">
        <f t="shared" si="33"/>
        <v>27029970.399999999</v>
      </c>
      <c r="H54" s="241">
        <v>70</v>
      </c>
      <c r="I54" s="467">
        <v>72216869.335999995</v>
      </c>
      <c r="J54" s="289">
        <v>45</v>
      </c>
      <c r="K54" s="198">
        <v>27029970.399999999</v>
      </c>
      <c r="L54" s="241">
        <v>80</v>
      </c>
      <c r="M54" s="607">
        <v>69834144.984999999</v>
      </c>
      <c r="N54" s="288"/>
      <c r="O54" s="68"/>
      <c r="P54" s="241">
        <v>80</v>
      </c>
      <c r="Q54" s="68">
        <v>82404291.082299992</v>
      </c>
      <c r="R54" s="289"/>
      <c r="S54" s="257"/>
      <c r="T54" s="253">
        <v>80</v>
      </c>
      <c r="U54" s="68">
        <v>97237063.477113992</v>
      </c>
      <c r="V54" s="734"/>
      <c r="W54" s="205"/>
      <c r="X54" s="393"/>
    </row>
    <row r="55" spans="1:26" ht="61.5" customHeight="1">
      <c r="A55" s="279" t="s">
        <v>569</v>
      </c>
      <c r="B55" s="200" t="s">
        <v>188</v>
      </c>
      <c r="C55" s="167" t="s">
        <v>1</v>
      </c>
      <c r="D55" s="221">
        <f t="shared" si="34"/>
        <v>27.5</v>
      </c>
      <c r="E55" s="68">
        <f t="shared" si="35"/>
        <v>1067433934.3006976</v>
      </c>
      <c r="F55" s="198">
        <f t="shared" si="32"/>
        <v>9.8000000000000007</v>
      </c>
      <c r="G55" s="68">
        <f t="shared" si="33"/>
        <v>200234976.30000001</v>
      </c>
      <c r="H55" s="241">
        <v>20</v>
      </c>
      <c r="I55" s="467">
        <v>222367667.19999999</v>
      </c>
      <c r="J55" s="722">
        <v>9.8000000000000007</v>
      </c>
      <c r="K55" s="198">
        <v>200234976.30000001</v>
      </c>
      <c r="L55" s="241">
        <v>25</v>
      </c>
      <c r="M55" s="607">
        <v>236554212</v>
      </c>
      <c r="N55" s="288"/>
      <c r="O55" s="68"/>
      <c r="P55" s="241">
        <v>30</v>
      </c>
      <c r="Q55" s="68">
        <v>279133970</v>
      </c>
      <c r="R55" s="289"/>
      <c r="S55" s="257"/>
      <c r="T55" s="253">
        <v>35</v>
      </c>
      <c r="U55" s="68">
        <v>329378085.10069758</v>
      </c>
      <c r="V55" s="734"/>
      <c r="W55" s="205"/>
      <c r="X55" s="393">
        <f t="shared" ref="X55:X70" si="36">+U55-W55</f>
        <v>329378085.10069758</v>
      </c>
    </row>
    <row r="56" spans="1:26" ht="61.5" customHeight="1">
      <c r="A56" s="218" t="s">
        <v>570</v>
      </c>
      <c r="B56" s="200" t="s">
        <v>188</v>
      </c>
      <c r="C56" s="167" t="s">
        <v>521</v>
      </c>
      <c r="D56" s="221">
        <f t="shared" si="34"/>
        <v>1</v>
      </c>
      <c r="E56" s="68">
        <f t="shared" si="35"/>
        <v>3927676690.360734</v>
      </c>
      <c r="F56" s="198">
        <f t="shared" si="32"/>
        <v>0.5</v>
      </c>
      <c r="G56" s="68">
        <f t="shared" si="33"/>
        <v>613310511.95599997</v>
      </c>
      <c r="H56" s="241">
        <v>1</v>
      </c>
      <c r="I56" s="467">
        <v>910151839.34560001</v>
      </c>
      <c r="J56" s="722">
        <v>0.5</v>
      </c>
      <c r="K56" s="198">
        <v>613310511.95599997</v>
      </c>
      <c r="L56" s="241">
        <v>1</v>
      </c>
      <c r="M56" s="607">
        <v>1005841617</v>
      </c>
      <c r="N56" s="288"/>
      <c r="O56" s="190"/>
      <c r="P56" s="241">
        <v>1</v>
      </c>
      <c r="Q56" s="68">
        <v>1005841617</v>
      </c>
      <c r="R56" s="289"/>
      <c r="S56" s="257"/>
      <c r="T56" s="253">
        <v>1</v>
      </c>
      <c r="U56" s="68">
        <v>1005841617.015134</v>
      </c>
      <c r="V56" s="734"/>
      <c r="W56" s="205"/>
      <c r="X56" s="393">
        <f>+U56-W56</f>
        <v>1005841617.015134</v>
      </c>
      <c r="Z56" s="393"/>
    </row>
    <row r="57" spans="1:26" ht="78.75" customHeight="1">
      <c r="A57" s="218" t="s">
        <v>571</v>
      </c>
      <c r="B57" s="255" t="s">
        <v>460</v>
      </c>
      <c r="C57" s="167" t="s">
        <v>521</v>
      </c>
      <c r="D57" s="221">
        <f>+H57+L57+P57+T57</f>
        <v>4</v>
      </c>
      <c r="E57" s="68">
        <f>+I57+M57+Q57+U57</f>
        <v>128306447.264</v>
      </c>
      <c r="F57" s="198">
        <f>+J57+N57+R57+V57</f>
        <v>0.5</v>
      </c>
      <c r="G57" s="68">
        <f t="shared" si="33"/>
        <v>27108000</v>
      </c>
      <c r="H57" s="241">
        <v>1</v>
      </c>
      <c r="I57" s="467">
        <v>27108000</v>
      </c>
      <c r="J57" s="722">
        <v>0.5</v>
      </c>
      <c r="K57" s="198">
        <v>27108000</v>
      </c>
      <c r="L57" s="241">
        <v>1</v>
      </c>
      <c r="M57" s="607">
        <v>28327860</v>
      </c>
      <c r="N57" s="288"/>
      <c r="O57" s="68"/>
      <c r="P57" s="241">
        <v>1</v>
      </c>
      <c r="Q57" s="68">
        <v>33426875</v>
      </c>
      <c r="R57" s="722"/>
      <c r="S57" s="68"/>
      <c r="T57" s="241">
        <v>1</v>
      </c>
      <c r="U57" s="68">
        <v>39443712.263999991</v>
      </c>
      <c r="V57" s="734"/>
      <c r="W57" s="205"/>
      <c r="X57" s="393">
        <f t="shared" si="36"/>
        <v>39443712.263999991</v>
      </c>
    </row>
    <row r="58" spans="1:26" ht="107.25" customHeight="1">
      <c r="A58" s="276" t="s">
        <v>572</v>
      </c>
      <c r="B58" s="255" t="s">
        <v>190</v>
      </c>
      <c r="C58" s="167" t="s">
        <v>521</v>
      </c>
      <c r="D58" s="221">
        <f t="shared" ref="D58:D64" si="37">AVERAGE(H58,L58,P58,T58)</f>
        <v>1</v>
      </c>
      <c r="E58" s="68">
        <f t="shared" si="35"/>
        <v>1302960335.7163758</v>
      </c>
      <c r="F58" s="198">
        <f t="shared" ref="F58:F63" si="38">AVERAGE(J58,N58,R58,V58)</f>
        <v>0.5</v>
      </c>
      <c r="G58" s="68">
        <f t="shared" si="33"/>
        <v>188302445</v>
      </c>
      <c r="H58" s="241">
        <v>1</v>
      </c>
      <c r="I58" s="467">
        <v>278951467</v>
      </c>
      <c r="J58" s="722">
        <v>0.5</v>
      </c>
      <c r="K58" s="198">
        <v>188302445</v>
      </c>
      <c r="L58" s="241">
        <v>1</v>
      </c>
      <c r="M58" s="607">
        <v>286644516</v>
      </c>
      <c r="N58" s="288"/>
      <c r="O58" s="68"/>
      <c r="P58" s="241">
        <v>1</v>
      </c>
      <c r="Q58" s="68">
        <v>338240529</v>
      </c>
      <c r="R58" s="722"/>
      <c r="S58" s="257"/>
      <c r="T58" s="241">
        <v>1</v>
      </c>
      <c r="U58" s="68">
        <v>399123823.71637595</v>
      </c>
      <c r="V58" s="734"/>
      <c r="W58" s="205"/>
      <c r="X58" s="393">
        <f t="shared" si="36"/>
        <v>399123823.71637595</v>
      </c>
    </row>
    <row r="59" spans="1:26" ht="93" customHeight="1">
      <c r="A59" s="218" t="s">
        <v>573</v>
      </c>
      <c r="B59" s="255" t="s">
        <v>190</v>
      </c>
      <c r="C59" s="167" t="s">
        <v>521</v>
      </c>
      <c r="D59" s="221">
        <f t="shared" si="37"/>
        <v>105</v>
      </c>
      <c r="E59" s="68">
        <f t="shared" si="35"/>
        <v>97212851.469071522</v>
      </c>
      <c r="F59" s="198">
        <f t="shared" si="38"/>
        <v>29</v>
      </c>
      <c r="G59" s="68">
        <f t="shared" si="33"/>
        <v>20538686.436000001</v>
      </c>
      <c r="H59" s="241">
        <v>60</v>
      </c>
      <c r="I59" s="467">
        <v>20538687</v>
      </c>
      <c r="J59" s="289">
        <v>29</v>
      </c>
      <c r="K59" s="198">
        <v>20538686.436000001</v>
      </c>
      <c r="L59" s="241">
        <v>120</v>
      </c>
      <c r="M59" s="607">
        <v>21462928</v>
      </c>
      <c r="N59" s="288"/>
      <c r="O59" s="68"/>
      <c r="P59" s="241">
        <v>120</v>
      </c>
      <c r="Q59" s="68">
        <v>25326255</v>
      </c>
      <c r="R59" s="722"/>
      <c r="S59" s="68"/>
      <c r="T59" s="241">
        <v>120</v>
      </c>
      <c r="U59" s="68">
        <v>29884981.469071519</v>
      </c>
      <c r="V59" s="734"/>
      <c r="W59" s="205"/>
      <c r="X59" s="393">
        <f t="shared" si="36"/>
        <v>29884981.469071519</v>
      </c>
    </row>
    <row r="60" spans="1:26" ht="83.25" customHeight="1">
      <c r="A60" s="276" t="s">
        <v>574</v>
      </c>
      <c r="B60" s="255" t="s">
        <v>190</v>
      </c>
      <c r="C60" s="167" t="s">
        <v>521</v>
      </c>
      <c r="D60" s="221">
        <f t="shared" si="37"/>
        <v>1</v>
      </c>
      <c r="E60" s="68">
        <f t="shared" si="35"/>
        <v>78204489.541071504</v>
      </c>
      <c r="F60" s="198">
        <f t="shared" si="38"/>
        <v>0.5</v>
      </c>
      <c r="G60" s="68">
        <f t="shared" si="33"/>
        <v>16522686.436000001</v>
      </c>
      <c r="H60" s="241">
        <v>1</v>
      </c>
      <c r="I60" s="467">
        <v>16522687</v>
      </c>
      <c r="J60" s="722">
        <v>0.5</v>
      </c>
      <c r="K60" s="198">
        <v>16522686.436000001</v>
      </c>
      <c r="L60" s="241">
        <v>1</v>
      </c>
      <c r="M60" s="607">
        <v>17266208</v>
      </c>
      <c r="N60" s="288"/>
      <c r="O60" s="68"/>
      <c r="P60" s="241">
        <v>1</v>
      </c>
      <c r="Q60" s="68">
        <v>20374126</v>
      </c>
      <c r="R60" s="289"/>
      <c r="S60" s="257"/>
      <c r="T60" s="253">
        <v>1</v>
      </c>
      <c r="U60" s="68">
        <v>24041468.541071512</v>
      </c>
      <c r="V60" s="734"/>
      <c r="W60" s="205"/>
      <c r="X60" s="393">
        <f t="shared" si="36"/>
        <v>24041468.541071512</v>
      </c>
    </row>
    <row r="61" spans="1:26" ht="64.5" customHeight="1">
      <c r="A61" s="276" t="s">
        <v>575</v>
      </c>
      <c r="B61" s="255" t="s">
        <v>190</v>
      </c>
      <c r="C61" s="167" t="s">
        <v>521</v>
      </c>
      <c r="D61" s="221">
        <f t="shared" si="37"/>
        <v>0.66666666666666663</v>
      </c>
      <c r="E61" s="68">
        <f t="shared" si="35"/>
        <v>174400000</v>
      </c>
      <c r="F61" s="198">
        <f>AVERAGE(J61,N61,R61,V61)</f>
        <v>0</v>
      </c>
      <c r="G61" s="68">
        <f t="shared" si="33"/>
        <v>0</v>
      </c>
      <c r="H61" s="241" t="s">
        <v>472</v>
      </c>
      <c r="I61" s="467">
        <v>0</v>
      </c>
      <c r="J61" s="289" t="s">
        <v>472</v>
      </c>
      <c r="K61" s="198">
        <v>0</v>
      </c>
      <c r="L61" s="241">
        <v>1</v>
      </c>
      <c r="M61" s="607">
        <v>80000000</v>
      </c>
      <c r="N61" s="288">
        <v>0</v>
      </c>
      <c r="O61" s="68"/>
      <c r="P61" s="241">
        <v>1</v>
      </c>
      <c r="Q61" s="68">
        <v>94400000</v>
      </c>
      <c r="R61" s="289">
        <v>0</v>
      </c>
      <c r="S61" s="257"/>
      <c r="T61" s="241">
        <v>0</v>
      </c>
      <c r="U61" s="68"/>
      <c r="V61" s="734">
        <v>0</v>
      </c>
      <c r="W61" s="205"/>
      <c r="X61" s="393">
        <f t="shared" si="36"/>
        <v>0</v>
      </c>
    </row>
    <row r="62" spans="1:26" ht="70.5" customHeight="1">
      <c r="A62" s="276" t="s">
        <v>576</v>
      </c>
      <c r="B62" s="255" t="s">
        <v>190</v>
      </c>
      <c r="C62" s="256" t="s">
        <v>1</v>
      </c>
      <c r="D62" s="221">
        <f t="shared" si="37"/>
        <v>50.5</v>
      </c>
      <c r="E62" s="68">
        <f>+I62+M62+Q62+U62</f>
        <v>331321060</v>
      </c>
      <c r="F62" s="198">
        <f t="shared" si="38"/>
        <v>0</v>
      </c>
      <c r="G62" s="68">
        <f t="shared" si="33"/>
        <v>53796010.833000004</v>
      </c>
      <c r="H62" s="776">
        <v>100</v>
      </c>
      <c r="I62" s="467">
        <v>70000000</v>
      </c>
      <c r="J62" s="289">
        <v>0</v>
      </c>
      <c r="K62" s="198">
        <v>53796010.833000004</v>
      </c>
      <c r="L62" s="714">
        <v>1</v>
      </c>
      <c r="M62" s="607">
        <v>73150000</v>
      </c>
      <c r="N62" s="288">
        <v>0</v>
      </c>
      <c r="O62" s="68"/>
      <c r="P62" s="714">
        <v>1</v>
      </c>
      <c r="Q62" s="467">
        <v>86317000</v>
      </c>
      <c r="R62" s="722"/>
      <c r="S62" s="68"/>
      <c r="T62" s="241">
        <v>100</v>
      </c>
      <c r="U62" s="68">
        <v>101854060</v>
      </c>
      <c r="V62" s="734"/>
      <c r="W62" s="205"/>
      <c r="X62" s="393">
        <f t="shared" si="36"/>
        <v>101854060</v>
      </c>
    </row>
    <row r="63" spans="1:26" ht="44.25" customHeight="1">
      <c r="A63" s="747" t="s">
        <v>577</v>
      </c>
      <c r="B63" s="255" t="s">
        <v>190</v>
      </c>
      <c r="C63" s="167" t="s">
        <v>1</v>
      </c>
      <c r="D63" s="221">
        <f t="shared" si="37"/>
        <v>50.5</v>
      </c>
      <c r="E63" s="68">
        <f t="shared" si="35"/>
        <v>56797896</v>
      </c>
      <c r="F63" s="198">
        <f t="shared" si="38"/>
        <v>3</v>
      </c>
      <c r="G63" s="68">
        <f t="shared" si="33"/>
        <v>0</v>
      </c>
      <c r="H63" s="776">
        <v>100</v>
      </c>
      <c r="I63" s="467">
        <v>12000000</v>
      </c>
      <c r="J63" s="812">
        <v>3</v>
      </c>
      <c r="K63" s="198">
        <v>0</v>
      </c>
      <c r="L63" s="714">
        <v>1</v>
      </c>
      <c r="M63" s="607">
        <v>12540000</v>
      </c>
      <c r="N63" s="288"/>
      <c r="O63" s="68"/>
      <c r="P63" s="714">
        <v>1</v>
      </c>
      <c r="Q63" s="68">
        <v>14797200</v>
      </c>
      <c r="R63" s="289"/>
      <c r="S63" s="257"/>
      <c r="T63" s="241">
        <v>100</v>
      </c>
      <c r="U63" s="68">
        <v>17460696</v>
      </c>
      <c r="V63" s="734"/>
      <c r="W63" s="205"/>
      <c r="X63" s="393">
        <f t="shared" si="36"/>
        <v>17460696</v>
      </c>
    </row>
    <row r="64" spans="1:26" ht="65.25" customHeight="1">
      <c r="A64" s="747" t="s">
        <v>578</v>
      </c>
      <c r="B64" s="255"/>
      <c r="C64" s="167" t="s">
        <v>1</v>
      </c>
      <c r="D64" s="221">
        <f t="shared" si="37"/>
        <v>25.75</v>
      </c>
      <c r="E64" s="68">
        <f t="shared" si="35"/>
        <v>1046080106.9571999</v>
      </c>
      <c r="F64" s="198"/>
      <c r="G64" s="68"/>
      <c r="H64" s="776">
        <v>100</v>
      </c>
      <c r="I64" s="467">
        <v>191281761</v>
      </c>
      <c r="J64" s="812">
        <v>50</v>
      </c>
      <c r="K64" s="198">
        <v>148060967</v>
      </c>
      <c r="L64" s="714">
        <v>1</v>
      </c>
      <c r="M64" s="607">
        <v>239278453</v>
      </c>
      <c r="N64" s="288"/>
      <c r="O64" s="68"/>
      <c r="P64" s="714">
        <v>1</v>
      </c>
      <c r="Q64" s="68">
        <v>282348575</v>
      </c>
      <c r="R64" s="289"/>
      <c r="S64" s="257"/>
      <c r="T64" s="714">
        <v>1</v>
      </c>
      <c r="U64" s="68">
        <v>333171317.95719993</v>
      </c>
      <c r="V64" s="734"/>
      <c r="W64" s="205"/>
      <c r="X64" s="393">
        <f t="shared" si="36"/>
        <v>333171317.95719993</v>
      </c>
    </row>
    <row r="65" spans="1:26" ht="44.25" customHeight="1">
      <c r="A65" s="283" t="s">
        <v>579</v>
      </c>
      <c r="B65" s="255"/>
      <c r="C65" s="167" t="s">
        <v>1</v>
      </c>
      <c r="D65" s="221"/>
      <c r="E65" s="68">
        <f t="shared" si="35"/>
        <v>250107350</v>
      </c>
      <c r="F65" s="198"/>
      <c r="G65" s="68"/>
      <c r="H65" s="776">
        <v>90</v>
      </c>
      <c r="I65" s="467">
        <v>36477830</v>
      </c>
      <c r="J65" s="812">
        <v>65</v>
      </c>
      <c r="K65" s="198">
        <v>36477830</v>
      </c>
      <c r="L65" s="748">
        <v>0.9</v>
      </c>
      <c r="M65" s="607">
        <v>59800000</v>
      </c>
      <c r="N65" s="288"/>
      <c r="O65" s="68"/>
      <c r="P65" s="748">
        <v>0.9</v>
      </c>
      <c r="Q65" s="68">
        <v>70564000</v>
      </c>
      <c r="R65" s="289"/>
      <c r="S65" s="257"/>
      <c r="T65" s="748">
        <v>0.9</v>
      </c>
      <c r="U65" s="68">
        <v>83265520</v>
      </c>
      <c r="V65" s="734"/>
      <c r="W65" s="205"/>
      <c r="X65" s="393">
        <f t="shared" si="36"/>
        <v>83265520</v>
      </c>
    </row>
    <row r="66" spans="1:26" ht="44.25" customHeight="1">
      <c r="A66" s="283" t="s">
        <v>580</v>
      </c>
      <c r="B66" s="255"/>
      <c r="C66" s="167" t="s">
        <v>1</v>
      </c>
      <c r="D66" s="221"/>
      <c r="E66" s="68">
        <f>+I66+M66+Q66+U66</f>
        <v>699288633</v>
      </c>
      <c r="F66" s="198"/>
      <c r="G66" s="68"/>
      <c r="H66" s="241">
        <v>20</v>
      </c>
      <c r="I66" s="467">
        <v>199288633</v>
      </c>
      <c r="J66" s="813">
        <v>0</v>
      </c>
      <c r="K66" s="198">
        <v>0</v>
      </c>
      <c r="L66" s="714">
        <v>0.6</v>
      </c>
      <c r="M66" s="607">
        <v>200000000</v>
      </c>
      <c r="N66" s="288"/>
      <c r="O66" s="68"/>
      <c r="P66" s="714">
        <v>1</v>
      </c>
      <c r="Q66" s="68">
        <v>300000000</v>
      </c>
      <c r="R66" s="289"/>
      <c r="S66" s="257"/>
      <c r="T66" s="241"/>
      <c r="U66" s="68"/>
      <c r="V66" s="734"/>
      <c r="W66" s="205"/>
      <c r="X66" s="393"/>
    </row>
    <row r="67" spans="1:26" ht="61.5" customHeight="1">
      <c r="A67" s="283" t="s">
        <v>581</v>
      </c>
      <c r="B67" s="255"/>
      <c r="C67" s="167" t="s">
        <v>1</v>
      </c>
      <c r="D67" s="221"/>
      <c r="E67" s="68">
        <f>+I67+M67+Q67+U67</f>
        <v>924995200</v>
      </c>
      <c r="F67" s="198"/>
      <c r="G67" s="68"/>
      <c r="H67" s="241">
        <v>20</v>
      </c>
      <c r="I67" s="467">
        <v>324995200</v>
      </c>
      <c r="J67" s="813">
        <v>0</v>
      </c>
      <c r="K67" s="198">
        <v>0</v>
      </c>
      <c r="L67" s="714">
        <v>0.6</v>
      </c>
      <c r="M67" s="607">
        <v>300000000</v>
      </c>
      <c r="N67" s="288"/>
      <c r="O67" s="68"/>
      <c r="P67" s="714">
        <v>1</v>
      </c>
      <c r="Q67" s="68">
        <v>300000000</v>
      </c>
      <c r="R67" s="289"/>
      <c r="S67" s="257"/>
      <c r="T67" s="241"/>
      <c r="U67" s="68"/>
      <c r="V67" s="734"/>
      <c r="W67" s="205"/>
      <c r="X67" s="393"/>
    </row>
    <row r="68" spans="1:26" ht="57.75" customHeight="1">
      <c r="A68" s="747" t="s">
        <v>582</v>
      </c>
      <c r="B68" s="255"/>
      <c r="C68" s="167" t="s">
        <v>521</v>
      </c>
      <c r="D68" s="221"/>
      <c r="E68" s="68">
        <f>+I68+M68+Q68+U68</f>
        <v>5971054095.6289997</v>
      </c>
      <c r="F68" s="198"/>
      <c r="G68" s="68"/>
      <c r="H68" s="241">
        <v>1</v>
      </c>
      <c r="I68" s="467">
        <v>1576566831</v>
      </c>
      <c r="J68" s="813">
        <v>0.2</v>
      </c>
      <c r="K68" s="198">
        <v>959159678.05866623</v>
      </c>
      <c r="L68" s="241">
        <v>1</v>
      </c>
      <c r="M68" s="607">
        <v>1321570108</v>
      </c>
      <c r="N68" s="288"/>
      <c r="O68" s="68"/>
      <c r="P68" s="241">
        <v>1</v>
      </c>
      <c r="Q68" s="68">
        <v>1577398613</v>
      </c>
      <c r="R68" s="289"/>
      <c r="S68" s="257"/>
      <c r="T68" s="241">
        <v>1</v>
      </c>
      <c r="U68" s="68">
        <v>1495518543.6290002</v>
      </c>
      <c r="V68" s="734"/>
      <c r="W68" s="205"/>
      <c r="X68" s="393"/>
    </row>
    <row r="69" spans="1:26" ht="44.25" customHeight="1">
      <c r="A69" s="747" t="s">
        <v>616</v>
      </c>
      <c r="B69" s="255"/>
      <c r="C69" s="167"/>
      <c r="D69" s="221"/>
      <c r="E69" s="68">
        <f>+I69+M69+Q69+U69</f>
        <v>689600000</v>
      </c>
      <c r="F69" s="198"/>
      <c r="G69" s="68"/>
      <c r="H69" s="241" t="s">
        <v>472</v>
      </c>
      <c r="I69" s="467">
        <v>0</v>
      </c>
      <c r="J69" s="813" t="s">
        <v>472</v>
      </c>
      <c r="K69" s="198">
        <v>0</v>
      </c>
      <c r="L69" s="241"/>
      <c r="M69" s="607">
        <v>0</v>
      </c>
      <c r="N69" s="288"/>
      <c r="O69" s="68"/>
      <c r="P69" s="241">
        <v>6</v>
      </c>
      <c r="Q69" s="68">
        <v>320000000</v>
      </c>
      <c r="R69" s="289"/>
      <c r="S69" s="257"/>
      <c r="T69" s="241">
        <v>7</v>
      </c>
      <c r="U69" s="68">
        <v>369600000</v>
      </c>
      <c r="V69" s="734"/>
      <c r="W69" s="205"/>
      <c r="X69" s="393"/>
    </row>
    <row r="70" spans="1:26" ht="44.25" customHeight="1">
      <c r="A70" s="276" t="s">
        <v>520</v>
      </c>
      <c r="B70" s="255"/>
      <c r="C70" s="167" t="s">
        <v>471</v>
      </c>
      <c r="D70" s="221"/>
      <c r="E70" s="68">
        <f>+I70+M70+Q70+U70</f>
        <v>147757579.54766798</v>
      </c>
      <c r="F70" s="198"/>
      <c r="G70" s="68">
        <f t="shared" si="33"/>
        <v>21217546</v>
      </c>
      <c r="H70" s="241">
        <v>1</v>
      </c>
      <c r="I70" s="749">
        <v>31217546</v>
      </c>
      <c r="J70" s="722">
        <v>0.6</v>
      </c>
      <c r="K70" s="198">
        <v>21217546</v>
      </c>
      <c r="L70" s="241">
        <v>1</v>
      </c>
      <c r="M70" s="607">
        <v>32622336</v>
      </c>
      <c r="N70" s="288"/>
      <c r="O70" s="68"/>
      <c r="P70" s="241">
        <v>1</v>
      </c>
      <c r="Q70" s="68">
        <v>38494356</v>
      </c>
      <c r="R70" s="289"/>
      <c r="S70" s="257"/>
      <c r="T70" s="241">
        <v>1</v>
      </c>
      <c r="U70" s="68">
        <v>45423341.547667988</v>
      </c>
      <c r="V70" s="734"/>
      <c r="W70" s="205"/>
      <c r="X70" s="393">
        <f t="shared" si="36"/>
        <v>45423341.547667988</v>
      </c>
    </row>
    <row r="71" spans="1:26" ht="57" customHeight="1">
      <c r="A71" s="263" t="s">
        <v>585</v>
      </c>
      <c r="B71" s="184"/>
      <c r="C71" s="207"/>
      <c r="D71" s="207"/>
      <c r="E71" s="225">
        <f>SUM(E72:E77)</f>
        <v>3791085655</v>
      </c>
      <c r="F71" s="542"/>
      <c r="G71" s="225">
        <f>SUM(G72:G77)</f>
        <v>435191832.67200005</v>
      </c>
      <c r="H71" s="244"/>
      <c r="I71" s="225">
        <f>SUM(I72:I77)</f>
        <v>877773853</v>
      </c>
      <c r="J71" s="814"/>
      <c r="K71" s="208">
        <f>SUM(K72:K77)</f>
        <v>435191832.67200005</v>
      </c>
      <c r="L71" s="819">
        <v>0</v>
      </c>
      <c r="M71" s="389">
        <f>SUM(M72:M77)</f>
        <v>980000000</v>
      </c>
      <c r="N71" s="201"/>
      <c r="O71" s="225">
        <f>SUM(O72:O77)</f>
        <v>0</v>
      </c>
      <c r="P71" s="225"/>
      <c r="Q71" s="225">
        <f>SUM(Q72:Q77)</f>
        <v>943533375</v>
      </c>
      <c r="R71" s="724"/>
      <c r="S71" s="225">
        <f>SUM(S72:S77)</f>
        <v>0</v>
      </c>
      <c r="T71" s="225"/>
      <c r="U71" s="225">
        <f>SUM(U72:U77)</f>
        <v>989778427</v>
      </c>
      <c r="V71" s="735"/>
      <c r="W71" s="509">
        <f>SUM(W72:W77)</f>
        <v>0</v>
      </c>
      <c r="X71" s="393"/>
      <c r="Z71" s="393"/>
    </row>
    <row r="72" spans="1:26" ht="92.25" customHeight="1">
      <c r="A72" s="281" t="s">
        <v>586</v>
      </c>
      <c r="B72" s="200" t="s">
        <v>188</v>
      </c>
      <c r="C72" s="167" t="s">
        <v>1</v>
      </c>
      <c r="D72" s="221">
        <v>25</v>
      </c>
      <c r="E72" s="68">
        <f t="shared" ref="E72:E77" si="39">+I72+M72+Q72+U72</f>
        <v>1053601843</v>
      </c>
      <c r="F72" s="198">
        <f>AVERAGE(J72,N72,R72,V72)</f>
        <v>15</v>
      </c>
      <c r="G72" s="68">
        <f t="shared" ref="G72:G77" si="40">+K72+O72+S72+W72</f>
        <v>222088257.71200001</v>
      </c>
      <c r="H72" s="241">
        <v>25</v>
      </c>
      <c r="I72" s="467">
        <v>308297197</v>
      </c>
      <c r="J72" s="289">
        <v>15</v>
      </c>
      <c r="K72" s="198">
        <v>222088257.71200001</v>
      </c>
      <c r="L72" s="241">
        <v>50</v>
      </c>
      <c r="M72" s="605">
        <v>270000000</v>
      </c>
      <c r="N72" s="288"/>
      <c r="O72" s="68"/>
      <c r="P72" s="241">
        <v>75</v>
      </c>
      <c r="Q72" s="467">
        <v>199500000</v>
      </c>
      <c r="R72" s="289"/>
      <c r="S72" s="257"/>
      <c r="T72" s="241">
        <v>100</v>
      </c>
      <c r="U72" s="68">
        <v>275804646</v>
      </c>
      <c r="V72" s="734"/>
      <c r="W72" s="205"/>
      <c r="X72" s="393"/>
      <c r="Y72" s="393"/>
      <c r="Z72" s="393"/>
    </row>
    <row r="73" spans="1:26" ht="75" customHeight="1">
      <c r="A73" s="281" t="s">
        <v>587</v>
      </c>
      <c r="B73" s="200" t="s">
        <v>188</v>
      </c>
      <c r="C73" s="167" t="s">
        <v>1</v>
      </c>
      <c r="D73" s="777">
        <v>5</v>
      </c>
      <c r="E73" s="68">
        <f t="shared" si="39"/>
        <v>106540933</v>
      </c>
      <c r="F73" s="198">
        <f>AVERAGE(J73,N73,R73,V73)</f>
        <v>1.5</v>
      </c>
      <c r="G73" s="68">
        <f t="shared" si="40"/>
        <v>4689924.96</v>
      </c>
      <c r="H73" s="776">
        <v>5</v>
      </c>
      <c r="I73" s="467">
        <v>18465568</v>
      </c>
      <c r="J73" s="815">
        <v>1.5</v>
      </c>
      <c r="K73" s="198">
        <v>4689924.96</v>
      </c>
      <c r="L73" s="241">
        <v>40</v>
      </c>
      <c r="M73" s="605">
        <v>33207495</v>
      </c>
      <c r="N73" s="288"/>
      <c r="O73" s="68"/>
      <c r="P73" s="241">
        <v>70</v>
      </c>
      <c r="Q73" s="467">
        <v>34867870</v>
      </c>
      <c r="R73" s="289"/>
      <c r="S73" s="257"/>
      <c r="T73" s="241">
        <v>100</v>
      </c>
      <c r="U73" s="68">
        <v>20000000</v>
      </c>
      <c r="V73" s="734"/>
      <c r="W73" s="205"/>
      <c r="X73" s="393"/>
    </row>
    <row r="74" spans="1:26" ht="62.25" customHeight="1">
      <c r="A74" s="281" t="s">
        <v>588</v>
      </c>
      <c r="B74" s="200" t="s">
        <v>460</v>
      </c>
      <c r="C74" s="167" t="s">
        <v>1</v>
      </c>
      <c r="D74" s="221">
        <v>25</v>
      </c>
      <c r="E74" s="68">
        <f t="shared" si="39"/>
        <v>1917786348</v>
      </c>
      <c r="F74" s="198">
        <f>+J74+N74+R74+V74</f>
        <v>12.5</v>
      </c>
      <c r="G74" s="68">
        <f t="shared" si="40"/>
        <v>205857360</v>
      </c>
      <c r="H74" s="241">
        <v>25</v>
      </c>
      <c r="I74" s="467">
        <v>465430798</v>
      </c>
      <c r="J74" s="722">
        <v>12.5</v>
      </c>
      <c r="K74" s="198">
        <v>205857360</v>
      </c>
      <c r="L74" s="241">
        <v>50</v>
      </c>
      <c r="M74" s="605">
        <v>422000000</v>
      </c>
      <c r="N74" s="288"/>
      <c r="O74" s="68"/>
      <c r="P74" s="241">
        <v>75</v>
      </c>
      <c r="Q74" s="467">
        <v>504165505</v>
      </c>
      <c r="R74" s="289"/>
      <c r="S74" s="257"/>
      <c r="T74" s="241">
        <v>100</v>
      </c>
      <c r="U74" s="68">
        <v>526190045</v>
      </c>
      <c r="V74" s="734"/>
      <c r="W74" s="205"/>
      <c r="X74" s="393"/>
    </row>
    <row r="75" spans="1:26" ht="82.5" customHeight="1">
      <c r="A75" s="738" t="s">
        <v>589</v>
      </c>
      <c r="B75" s="170" t="s">
        <v>186</v>
      </c>
      <c r="C75" s="167" t="s">
        <v>1</v>
      </c>
      <c r="D75" s="221">
        <v>20</v>
      </c>
      <c r="E75" s="68">
        <f t="shared" si="39"/>
        <v>239500000</v>
      </c>
      <c r="F75" s="198">
        <f>+J75+N75+R75+V75</f>
        <v>2</v>
      </c>
      <c r="G75" s="68">
        <f t="shared" si="40"/>
        <v>0</v>
      </c>
      <c r="H75" s="241">
        <v>20</v>
      </c>
      <c r="I75" s="467">
        <v>67000000</v>
      </c>
      <c r="J75" s="289">
        <v>2</v>
      </c>
      <c r="K75" s="198">
        <v>0</v>
      </c>
      <c r="L75" s="241">
        <v>60</v>
      </c>
      <c r="M75" s="605">
        <v>70000000</v>
      </c>
      <c r="N75" s="288"/>
      <c r="O75" s="68"/>
      <c r="P75" s="241">
        <v>80</v>
      </c>
      <c r="Q75" s="467">
        <v>50000000</v>
      </c>
      <c r="R75" s="289"/>
      <c r="S75" s="68"/>
      <c r="T75" s="241">
        <v>100</v>
      </c>
      <c r="U75" s="68">
        <v>52500000</v>
      </c>
      <c r="V75" s="729"/>
      <c r="W75" s="205"/>
      <c r="X75" s="393"/>
    </row>
    <row r="76" spans="1:26" ht="78.75" customHeight="1">
      <c r="A76" s="281" t="s">
        <v>590</v>
      </c>
      <c r="B76" s="170" t="s">
        <v>186</v>
      </c>
      <c r="C76" s="167" t="s">
        <v>471</v>
      </c>
      <c r="D76" s="221">
        <v>1</v>
      </c>
      <c r="E76" s="68">
        <f t="shared" si="39"/>
        <v>414016000</v>
      </c>
      <c r="F76" s="198">
        <f>+J76+N76+R76+V76</f>
        <v>0.1</v>
      </c>
      <c r="G76" s="68">
        <f t="shared" si="40"/>
        <v>0</v>
      </c>
      <c r="H76" s="241">
        <v>1</v>
      </c>
      <c r="I76" s="467">
        <v>14016000</v>
      </c>
      <c r="J76" s="722">
        <v>0.1</v>
      </c>
      <c r="K76" s="198">
        <v>0</v>
      </c>
      <c r="L76" s="241">
        <v>1</v>
      </c>
      <c r="M76" s="605">
        <v>180000000</v>
      </c>
      <c r="N76" s="288"/>
      <c r="O76" s="68"/>
      <c r="P76" s="241">
        <v>1</v>
      </c>
      <c r="Q76" s="467">
        <v>110000000</v>
      </c>
      <c r="R76" s="289"/>
      <c r="S76" s="257"/>
      <c r="T76" s="241">
        <v>1</v>
      </c>
      <c r="U76" s="68">
        <v>110000000</v>
      </c>
      <c r="V76" s="734"/>
      <c r="W76" s="205"/>
      <c r="X76" s="393"/>
    </row>
    <row r="77" spans="1:26" ht="60.75" customHeight="1">
      <c r="A77" s="276" t="s">
        <v>556</v>
      </c>
      <c r="B77" s="255"/>
      <c r="C77" s="167" t="s">
        <v>471</v>
      </c>
      <c r="D77" s="221">
        <v>1</v>
      </c>
      <c r="E77" s="68">
        <f t="shared" si="39"/>
        <v>59640531</v>
      </c>
      <c r="F77" s="198"/>
      <c r="G77" s="68">
        <f t="shared" si="40"/>
        <v>2556290</v>
      </c>
      <c r="H77" s="241">
        <v>1</v>
      </c>
      <c r="I77" s="467">
        <v>4564290</v>
      </c>
      <c r="J77" s="722">
        <v>0.5</v>
      </c>
      <c r="K77" s="198">
        <v>2556290</v>
      </c>
      <c r="L77" s="241">
        <v>1</v>
      </c>
      <c r="M77" s="605">
        <v>4792505</v>
      </c>
      <c r="N77" s="288"/>
      <c r="O77" s="68"/>
      <c r="P77" s="241">
        <v>1</v>
      </c>
      <c r="Q77" s="467">
        <v>45000000</v>
      </c>
      <c r="R77" s="289"/>
      <c r="S77" s="257"/>
      <c r="T77" s="241">
        <v>1</v>
      </c>
      <c r="U77" s="68">
        <v>5283736</v>
      </c>
      <c r="V77" s="734"/>
      <c r="W77" s="205"/>
      <c r="X77" s="393"/>
    </row>
    <row r="78" spans="1:26" ht="60.75" customHeight="1">
      <c r="A78" s="263" t="s">
        <v>591</v>
      </c>
      <c r="B78" s="178"/>
      <c r="C78" s="197"/>
      <c r="D78" s="197"/>
      <c r="E78" s="196">
        <f>SUM(E79:E80)</f>
        <v>3950761854.8000002</v>
      </c>
      <c r="F78" s="540"/>
      <c r="G78" s="196">
        <f>SUM(G79:G80)</f>
        <v>247372460</v>
      </c>
      <c r="H78" s="243"/>
      <c r="I78" s="196">
        <f>SUM(I79:I80)</f>
        <v>713654392</v>
      </c>
      <c r="J78" s="720"/>
      <c r="K78" s="267">
        <f>SUM(K79:K80)</f>
        <v>247372460</v>
      </c>
      <c r="L78" s="818">
        <v>0</v>
      </c>
      <c r="M78" s="193">
        <f>SUM(M79:M80)</f>
        <v>1061555166</v>
      </c>
      <c r="N78" s="195"/>
      <c r="O78" s="196">
        <f>SUM(O79:O80)</f>
        <v>0</v>
      </c>
      <c r="P78" s="196"/>
      <c r="Q78" s="196">
        <f>SUM(Q79:Q80)</f>
        <v>1061840530.4</v>
      </c>
      <c r="R78" s="720"/>
      <c r="S78" s="196">
        <f>SUM(S79:S80)</f>
        <v>0</v>
      </c>
      <c r="T78" s="196"/>
      <c r="U78" s="196">
        <f>SUM(U79:U80)</f>
        <v>1113711766.4000001</v>
      </c>
      <c r="V78" s="736"/>
      <c r="W78" s="506">
        <f>SUM(W79:W80)</f>
        <v>0</v>
      </c>
      <c r="X78" s="393"/>
      <c r="Z78" s="393"/>
    </row>
    <row r="79" spans="1:26" ht="60.75" customHeight="1">
      <c r="A79" s="750" t="s">
        <v>592</v>
      </c>
      <c r="B79" s="200" t="s">
        <v>186</v>
      </c>
      <c r="C79" s="167" t="s">
        <v>1</v>
      </c>
      <c r="D79" s="221">
        <v>100</v>
      </c>
      <c r="E79" s="68">
        <f t="shared" ref="E79:G80" si="41">+I79+M79+Q79+U79</f>
        <v>3793198954.8000002</v>
      </c>
      <c r="F79" s="198">
        <f t="shared" si="41"/>
        <v>50</v>
      </c>
      <c r="G79" s="68">
        <f t="shared" si="41"/>
        <v>221809560</v>
      </c>
      <c r="H79" s="241">
        <v>100</v>
      </c>
      <c r="I79" s="467">
        <v>688091492</v>
      </c>
      <c r="J79" s="289">
        <v>50</v>
      </c>
      <c r="K79" s="198">
        <v>221809560</v>
      </c>
      <c r="L79" s="241">
        <v>100</v>
      </c>
      <c r="M79" s="605">
        <v>1019555166</v>
      </c>
      <c r="N79" s="288"/>
      <c r="O79" s="68"/>
      <c r="P79" s="241">
        <v>100</v>
      </c>
      <c r="Q79" s="467">
        <v>1017840530.4</v>
      </c>
      <c r="R79" s="726"/>
      <c r="S79" s="68"/>
      <c r="T79" s="235">
        <v>100</v>
      </c>
      <c r="U79" s="68">
        <v>1067711766.4</v>
      </c>
      <c r="V79" s="729"/>
      <c r="W79" s="205"/>
      <c r="X79" s="393"/>
      <c r="Z79" s="393"/>
    </row>
    <row r="80" spans="1:26" ht="60.75" customHeight="1" thickBot="1">
      <c r="A80" s="280" t="s">
        <v>556</v>
      </c>
      <c r="B80" s="200" t="s">
        <v>186</v>
      </c>
      <c r="C80" s="167" t="s">
        <v>471</v>
      </c>
      <c r="D80" s="221">
        <v>1</v>
      </c>
      <c r="E80" s="68">
        <f t="shared" si="41"/>
        <v>157562900</v>
      </c>
      <c r="F80" s="198">
        <f t="shared" si="41"/>
        <v>1</v>
      </c>
      <c r="G80" s="68">
        <f t="shared" si="41"/>
        <v>25562900</v>
      </c>
      <c r="H80" s="241">
        <v>1</v>
      </c>
      <c r="I80" s="467">
        <v>25562900</v>
      </c>
      <c r="J80" s="289">
        <v>1</v>
      </c>
      <c r="K80" s="198">
        <v>25562900</v>
      </c>
      <c r="L80" s="241">
        <v>1</v>
      </c>
      <c r="M80" s="605">
        <v>42000000</v>
      </c>
      <c r="N80" s="288"/>
      <c r="O80" s="68"/>
      <c r="P80" s="241">
        <v>1</v>
      </c>
      <c r="Q80" s="467">
        <v>44000000</v>
      </c>
      <c r="R80" s="726"/>
      <c r="S80" s="68"/>
      <c r="T80" s="235">
        <v>1</v>
      </c>
      <c r="U80" s="68">
        <v>46000000</v>
      </c>
      <c r="V80" s="729"/>
      <c r="W80" s="205"/>
      <c r="X80" s="393"/>
    </row>
    <row r="81" spans="1:23" ht="38.25" customHeight="1" thickBot="1">
      <c r="A81" s="820" t="s">
        <v>193</v>
      </c>
      <c r="B81" s="821"/>
      <c r="C81" s="821"/>
      <c r="D81" s="822"/>
      <c r="E81" s="258">
        <f>+E46+E35+E27+E5</f>
        <v>101551672337.59323</v>
      </c>
      <c r="F81" s="258">
        <f t="shared" ref="F81:H81" si="42">+F46+F35+F27+F5</f>
        <v>0</v>
      </c>
      <c r="G81" s="258">
        <f t="shared" si="42"/>
        <v>3800749003.9413338</v>
      </c>
      <c r="H81" s="258">
        <f t="shared" si="42"/>
        <v>0</v>
      </c>
      <c r="I81" s="258">
        <f>+I46+I35+I27+I5</f>
        <v>23359601712.5896</v>
      </c>
      <c r="J81" s="816">
        <f t="shared" ref="J81:W81" si="43">+J46+J35+J27+J5</f>
        <v>0</v>
      </c>
      <c r="K81" s="258">
        <f t="shared" si="43"/>
        <v>4944447479</v>
      </c>
      <c r="L81" s="816">
        <f t="shared" si="43"/>
        <v>0</v>
      </c>
      <c r="M81" s="258">
        <f t="shared" si="43"/>
        <v>24700084466.305</v>
      </c>
      <c r="N81" s="258">
        <f t="shared" si="43"/>
        <v>0</v>
      </c>
      <c r="O81" s="258">
        <f t="shared" si="43"/>
        <v>0</v>
      </c>
      <c r="P81" s="258">
        <f t="shared" si="43"/>
        <v>0</v>
      </c>
      <c r="Q81" s="258">
        <f t="shared" si="43"/>
        <v>26039607802.360874</v>
      </c>
      <c r="R81" s="258">
        <f t="shared" si="43"/>
        <v>0</v>
      </c>
      <c r="S81" s="258">
        <f t="shared" si="43"/>
        <v>0</v>
      </c>
      <c r="T81" s="258">
        <f t="shared" si="43"/>
        <v>0</v>
      </c>
      <c r="U81" s="258">
        <f t="shared" si="43"/>
        <v>27452378455.337749</v>
      </c>
      <c r="V81" s="258">
        <f t="shared" si="43"/>
        <v>0</v>
      </c>
      <c r="W81" s="258">
        <f t="shared" si="43"/>
        <v>0</v>
      </c>
    </row>
    <row r="82" spans="1:23" ht="3.75" customHeight="1" thickBot="1">
      <c r="A82" s="209"/>
      <c r="B82" s="210"/>
      <c r="C82" s="210"/>
      <c r="D82" s="210"/>
      <c r="E82" s="211"/>
      <c r="F82" s="269"/>
      <c r="G82" s="211"/>
      <c r="H82" s="210"/>
      <c r="I82" s="709"/>
      <c r="J82" s="817"/>
      <c r="K82" s="711"/>
      <c r="L82" s="210"/>
      <c r="M82" s="210"/>
      <c r="N82" s="210"/>
      <c r="O82" s="210"/>
      <c r="P82" s="210"/>
      <c r="Q82" s="213"/>
      <c r="R82" s="459"/>
      <c r="S82" s="212"/>
      <c r="T82" s="210"/>
      <c r="U82" s="213"/>
      <c r="V82" s="595"/>
      <c r="W82" s="214"/>
    </row>
    <row r="83" spans="1:23">
      <c r="E83" s="59"/>
      <c r="G83" s="62"/>
      <c r="H83" s="62"/>
      <c r="J83" s="411"/>
      <c r="K83" s="712"/>
      <c r="M83" s="411"/>
      <c r="N83" s="62"/>
      <c r="O83" s="411"/>
    </row>
    <row r="84" spans="1:23">
      <c r="E84" s="600">
        <v>101551672436.44809</v>
      </c>
      <c r="G84" s="411">
        <f>+K81+O81+S81+W81</f>
        <v>4944447479</v>
      </c>
      <c r="H84" s="411"/>
      <c r="J84" s="62"/>
      <c r="K84" s="712"/>
      <c r="M84" s="411"/>
      <c r="N84" s="62"/>
      <c r="O84" s="62"/>
      <c r="P84" s="62"/>
      <c r="R84" s="461"/>
      <c r="W84" s="63">
        <v>27708281592</v>
      </c>
    </row>
    <row r="85" spans="1:23">
      <c r="E85" s="59"/>
      <c r="G85" s="411"/>
      <c r="H85" s="411"/>
      <c r="J85" s="62"/>
      <c r="K85" s="712"/>
      <c r="M85" s="758"/>
      <c r="O85" s="62"/>
      <c r="P85" s="62"/>
      <c r="Q85" s="411">
        <f>+'[1]4.3'!$N$15</f>
        <v>26039607802.6688</v>
      </c>
      <c r="R85" s="461"/>
      <c r="U85" s="411">
        <f>+'[1]4.3'!$R$15</f>
        <v>27452378455.575069</v>
      </c>
      <c r="W85" s="63">
        <f>+W81-W84</f>
        <v>-27708281592</v>
      </c>
    </row>
    <row r="86" spans="1:23">
      <c r="E86" s="411">
        <f>+E84-E81</f>
        <v>98.8548583984375</v>
      </c>
      <c r="G86" s="411">
        <f>+I81+M81+1+Q81+U81</f>
        <v>101551672437.59323</v>
      </c>
      <c r="H86" s="411"/>
      <c r="J86" s="62"/>
      <c r="K86" s="712"/>
      <c r="M86" s="411"/>
      <c r="O86" s="62"/>
      <c r="P86" s="62"/>
      <c r="Q86" s="411">
        <f>+Q85-Q81</f>
        <v>0.30792617797851563</v>
      </c>
      <c r="R86" s="461"/>
      <c r="U86" s="411">
        <f>+U81-U85</f>
        <v>-0.2373199462890625</v>
      </c>
    </row>
    <row r="87" spans="1:23">
      <c r="E87" s="59"/>
      <c r="G87" s="411"/>
      <c r="H87" s="411"/>
      <c r="J87" s="62"/>
      <c r="K87" s="712"/>
      <c r="O87" s="62"/>
      <c r="P87" s="62"/>
      <c r="R87" s="461"/>
    </row>
    <row r="88" spans="1:23">
      <c r="E88" s="59"/>
      <c r="G88" s="411"/>
      <c r="H88" s="411"/>
      <c r="J88" s="62"/>
      <c r="K88" s="712"/>
      <c r="O88" s="62"/>
      <c r="P88" s="62"/>
      <c r="R88" s="461"/>
      <c r="V88" s="596">
        <v>44958551</v>
      </c>
    </row>
    <row r="89" spans="1:23">
      <c r="E89" s="59"/>
      <c r="G89" s="411"/>
      <c r="H89" s="411"/>
      <c r="J89" s="62"/>
      <c r="K89" s="712"/>
      <c r="O89" s="62"/>
      <c r="P89" s="62"/>
      <c r="R89" s="461"/>
      <c r="V89" s="596">
        <v>175120153</v>
      </c>
    </row>
    <row r="90" spans="1:23">
      <c r="E90" s="59"/>
      <c r="G90" s="62"/>
      <c r="H90" s="62"/>
      <c r="J90" s="62"/>
      <c r="K90" s="712"/>
      <c r="O90" s="62"/>
      <c r="P90" s="62"/>
      <c r="R90" s="461"/>
      <c r="V90" s="596">
        <f>+V89+V88</f>
        <v>220078704</v>
      </c>
    </row>
    <row r="91" spans="1:23">
      <c r="E91" s="59"/>
      <c r="G91" s="62"/>
      <c r="H91" s="62"/>
      <c r="J91" s="62"/>
      <c r="K91" s="712"/>
      <c r="O91" s="62"/>
      <c r="P91" s="62"/>
      <c r="R91" s="461"/>
    </row>
    <row r="92" spans="1:23">
      <c r="E92" s="59"/>
      <c r="G92" s="62"/>
      <c r="H92" s="62"/>
      <c r="J92" s="62"/>
      <c r="K92" s="712"/>
      <c r="M92" s="62"/>
      <c r="O92" s="62"/>
      <c r="P92" s="62"/>
      <c r="Q92" s="62">
        <f>+Q81</f>
        <v>26039607802.360874</v>
      </c>
      <c r="R92" s="461"/>
      <c r="U92" s="62">
        <f>+U81</f>
        <v>27452378455.337749</v>
      </c>
      <c r="V92" s="596">
        <f>+I92+M92+Q92+U92</f>
        <v>53491986257.698624</v>
      </c>
    </row>
    <row r="93" spans="1:23">
      <c r="E93" s="59"/>
      <c r="G93" s="62"/>
      <c r="H93" s="62"/>
      <c r="J93" s="62"/>
      <c r="K93" s="712"/>
      <c r="O93" s="62"/>
      <c r="P93" s="62"/>
      <c r="R93" s="461"/>
    </row>
    <row r="94" spans="1:23">
      <c r="E94" s="59"/>
      <c r="G94" s="62"/>
      <c r="H94" s="62"/>
      <c r="J94" s="62"/>
      <c r="K94" s="712"/>
      <c r="M94" s="604"/>
      <c r="O94" s="62"/>
      <c r="P94" s="62"/>
      <c r="R94" s="461"/>
    </row>
    <row r="95" spans="1:23">
      <c r="E95" s="59"/>
      <c r="G95" s="62"/>
      <c r="H95" s="62"/>
      <c r="J95" s="62"/>
      <c r="K95" s="712"/>
      <c r="M95" s="614"/>
      <c r="O95" s="62"/>
      <c r="P95" s="62"/>
      <c r="R95" s="461"/>
    </row>
    <row r="96" spans="1:23">
      <c r="E96" s="59"/>
      <c r="G96" s="62"/>
      <c r="H96" s="62"/>
      <c r="J96" s="62"/>
      <c r="K96" s="712"/>
      <c r="M96" s="62"/>
    </row>
    <row r="97" spans="5:19">
      <c r="E97" s="59"/>
      <c r="G97" s="62"/>
      <c r="H97" s="62"/>
      <c r="J97" s="62"/>
      <c r="K97" s="712"/>
      <c r="M97" s="62"/>
      <c r="S97" s="546" t="s">
        <v>504</v>
      </c>
    </row>
    <row r="98" spans="5:19">
      <c r="E98" s="59"/>
      <c r="G98" s="62"/>
      <c r="H98" s="62"/>
      <c r="J98" s="62"/>
      <c r="K98" s="712"/>
    </row>
    <row r="99" spans="5:19">
      <c r="E99" s="59"/>
      <c r="G99" s="62"/>
      <c r="H99" s="62"/>
      <c r="J99" s="62"/>
      <c r="K99" s="712"/>
    </row>
    <row r="100" spans="5:19">
      <c r="E100" s="59"/>
      <c r="G100" s="59"/>
      <c r="J100" s="59"/>
    </row>
    <row r="101" spans="5:19">
      <c r="E101" s="59"/>
      <c r="G101" s="59"/>
      <c r="J101" s="59"/>
    </row>
    <row r="102" spans="5:19">
      <c r="E102" s="59"/>
      <c r="G102" s="59"/>
      <c r="J102" s="59"/>
    </row>
    <row r="103" spans="5:19">
      <c r="E103" s="59"/>
      <c r="G103" s="59"/>
      <c r="J103" s="59"/>
    </row>
    <row r="104" spans="5:19">
      <c r="E104" s="59"/>
      <c r="G104" s="59"/>
      <c r="J104" s="59"/>
    </row>
    <row r="105" spans="5:19">
      <c r="E105" s="59"/>
      <c r="G105" s="59"/>
      <c r="J105" s="59"/>
    </row>
    <row r="106" spans="5:19">
      <c r="E106" s="59"/>
      <c r="G106" s="59"/>
      <c r="J106" s="59"/>
    </row>
    <row r="107" spans="5:19">
      <c r="E107" s="59"/>
      <c r="G107" s="59"/>
      <c r="J107" s="59"/>
    </row>
    <row r="108" spans="5:19">
      <c r="E108" s="59"/>
      <c r="G108" s="59"/>
      <c r="J108" s="59"/>
    </row>
    <row r="109" spans="5:19">
      <c r="E109" s="59"/>
      <c r="G109" s="59"/>
      <c r="J109" s="59"/>
    </row>
    <row r="110" spans="5:19">
      <c r="E110" s="59"/>
      <c r="G110" s="59"/>
      <c r="J110" s="59"/>
    </row>
    <row r="111" spans="5:19">
      <c r="E111" s="59"/>
      <c r="G111" s="59"/>
      <c r="J111" s="59"/>
    </row>
    <row r="112" spans="5:19">
      <c r="E112" s="59"/>
      <c r="G112" s="59"/>
      <c r="J112" s="59"/>
    </row>
    <row r="113" spans="5:10">
      <c r="E113" s="59"/>
      <c r="G113" s="59"/>
      <c r="J113" s="59"/>
    </row>
    <row r="114" spans="5:10">
      <c r="E114" s="59"/>
      <c r="G114" s="59"/>
      <c r="J114" s="59"/>
    </row>
    <row r="115" spans="5:10">
      <c r="E115" s="59"/>
      <c r="G115" s="59"/>
    </row>
    <row r="116" spans="5:10">
      <c r="E116" s="59"/>
      <c r="G116" s="59"/>
    </row>
    <row r="117" spans="5:10">
      <c r="E117" s="59"/>
      <c r="G117" s="59"/>
    </row>
    <row r="118" spans="5:10">
      <c r="E118" s="59"/>
      <c r="G118" s="59"/>
    </row>
    <row r="119" spans="5:10">
      <c r="E119" s="59"/>
      <c r="G119" s="59"/>
    </row>
    <row r="120" spans="5:10">
      <c r="E120" s="59"/>
      <c r="G120" s="59"/>
    </row>
    <row r="121" spans="5:10">
      <c r="E121" s="59"/>
      <c r="G121" s="59"/>
    </row>
    <row r="122" spans="5:10">
      <c r="E122" s="59"/>
      <c r="G122" s="59"/>
    </row>
    <row r="123" spans="5:10">
      <c r="E123" s="59"/>
      <c r="G123" s="59"/>
    </row>
    <row r="124" spans="5:10">
      <c r="E124" s="59"/>
      <c r="G124" s="59"/>
    </row>
    <row r="125" spans="5:10">
      <c r="E125" s="59"/>
      <c r="G125" s="59"/>
    </row>
    <row r="126" spans="5:10">
      <c r="E126" s="59"/>
      <c r="G126" s="59"/>
    </row>
    <row r="127" spans="5:10">
      <c r="E127" s="59"/>
      <c r="G127" s="59"/>
    </row>
    <row r="128" spans="5:10">
      <c r="E128" s="59"/>
      <c r="G128" s="59"/>
    </row>
    <row r="129" spans="5:7">
      <c r="E129" s="59"/>
      <c r="G129" s="59"/>
    </row>
    <row r="130" spans="5:7">
      <c r="E130" s="59"/>
      <c r="G130" s="59"/>
    </row>
    <row r="131" spans="5:7">
      <c r="E131" s="59"/>
      <c r="G131" s="59"/>
    </row>
    <row r="132" spans="5:7">
      <c r="E132" s="59"/>
      <c r="G132" s="59"/>
    </row>
    <row r="133" spans="5:7">
      <c r="E133" s="59"/>
      <c r="G133" s="59"/>
    </row>
    <row r="134" spans="5:7">
      <c r="E134" s="59"/>
      <c r="G134" s="59"/>
    </row>
    <row r="135" spans="5:7">
      <c r="E135" s="59"/>
      <c r="G135" s="59"/>
    </row>
    <row r="136" spans="5:7">
      <c r="E136" s="59"/>
      <c r="G136" s="59"/>
    </row>
    <row r="137" spans="5:7">
      <c r="E137" s="59"/>
      <c r="G137" s="59"/>
    </row>
    <row r="138" spans="5:7">
      <c r="E138" s="59"/>
      <c r="G138" s="59"/>
    </row>
    <row r="139" spans="5:7">
      <c r="E139" s="59"/>
      <c r="G139" s="59"/>
    </row>
    <row r="140" spans="5:7">
      <c r="E140" s="59"/>
      <c r="G140" s="59"/>
    </row>
    <row r="141" spans="5:7">
      <c r="E141" s="59"/>
      <c r="G141" s="59"/>
    </row>
    <row r="142" spans="5:7">
      <c r="E142" s="59"/>
      <c r="G142" s="59"/>
    </row>
    <row r="143" spans="5:7">
      <c r="E143" s="59"/>
      <c r="G143" s="59"/>
    </row>
    <row r="144" spans="5:7">
      <c r="E144" s="59"/>
      <c r="G144" s="59"/>
    </row>
    <row r="145" spans="5:7">
      <c r="E145" s="59"/>
      <c r="G145" s="59"/>
    </row>
    <row r="146" spans="5:7">
      <c r="E146" s="59"/>
      <c r="G146" s="59"/>
    </row>
    <row r="147" spans="5:7">
      <c r="E147" s="59"/>
      <c r="G147" s="59"/>
    </row>
    <row r="148" spans="5:7">
      <c r="E148" s="59"/>
      <c r="G148" s="59"/>
    </row>
    <row r="149" spans="5:7">
      <c r="E149" s="59"/>
      <c r="G149" s="59"/>
    </row>
    <row r="150" spans="5:7">
      <c r="E150" s="59"/>
      <c r="G150" s="59"/>
    </row>
    <row r="151" spans="5:7">
      <c r="E151" s="59"/>
      <c r="G151" s="59"/>
    </row>
    <row r="152" spans="5:7">
      <c r="E152" s="59"/>
      <c r="G152" s="59"/>
    </row>
    <row r="153" spans="5:7">
      <c r="E153" s="59"/>
      <c r="G153" s="59"/>
    </row>
    <row r="154" spans="5:7">
      <c r="E154" s="59"/>
      <c r="G154" s="59"/>
    </row>
    <row r="155" spans="5:7">
      <c r="E155" s="59"/>
      <c r="G155" s="59"/>
    </row>
    <row r="156" spans="5:7">
      <c r="E156" s="59"/>
      <c r="G156" s="59"/>
    </row>
    <row r="157" spans="5:7">
      <c r="E157" s="59"/>
      <c r="G157" s="59"/>
    </row>
    <row r="158" spans="5:7">
      <c r="E158" s="59"/>
      <c r="G158" s="59"/>
    </row>
    <row r="159" spans="5:7">
      <c r="E159" s="59"/>
      <c r="G159" s="59"/>
    </row>
    <row r="160" spans="5:7">
      <c r="E160" s="59"/>
      <c r="G160" s="59"/>
    </row>
    <row r="161" spans="5:7">
      <c r="E161" s="59"/>
      <c r="G161" s="59"/>
    </row>
    <row r="162" spans="5:7">
      <c r="E162" s="59"/>
      <c r="G162" s="59"/>
    </row>
    <row r="163" spans="5:7">
      <c r="E163" s="59"/>
      <c r="G163" s="59"/>
    </row>
    <row r="164" spans="5:7">
      <c r="E164" s="59"/>
      <c r="G164" s="59"/>
    </row>
    <row r="165" spans="5:7">
      <c r="E165" s="59"/>
      <c r="G165" s="59"/>
    </row>
    <row r="166" spans="5:7">
      <c r="E166" s="59"/>
      <c r="G166" s="59"/>
    </row>
    <row r="167" spans="5:7">
      <c r="E167" s="59"/>
      <c r="G167" s="59"/>
    </row>
    <row r="168" spans="5:7">
      <c r="E168" s="59"/>
      <c r="G168" s="59"/>
    </row>
    <row r="169" spans="5:7">
      <c r="E169" s="59"/>
      <c r="G169" s="59"/>
    </row>
    <row r="170" spans="5:7">
      <c r="E170" s="59"/>
      <c r="G170" s="59"/>
    </row>
    <row r="171" spans="5:7">
      <c r="E171" s="59"/>
      <c r="G171" s="59"/>
    </row>
    <row r="172" spans="5:7">
      <c r="E172" s="59"/>
      <c r="G172" s="59"/>
    </row>
    <row r="173" spans="5:7">
      <c r="E173" s="59"/>
      <c r="G173" s="59"/>
    </row>
    <row r="174" spans="5:7">
      <c r="E174" s="59"/>
      <c r="G174" s="59"/>
    </row>
    <row r="175" spans="5:7">
      <c r="E175" s="59"/>
      <c r="G175" s="59"/>
    </row>
    <row r="176" spans="5:7">
      <c r="E176" s="59"/>
      <c r="G176" s="59"/>
    </row>
  </sheetData>
  <mergeCells count="14">
    <mergeCell ref="A81:D81"/>
    <mergeCell ref="A1:W1"/>
    <mergeCell ref="A2:U2"/>
    <mergeCell ref="C3:E3"/>
    <mergeCell ref="F3:G3"/>
    <mergeCell ref="H3:I3"/>
    <mergeCell ref="J3:K3"/>
    <mergeCell ref="L3:M3"/>
    <mergeCell ref="N3:O3"/>
    <mergeCell ref="P3:Q3"/>
    <mergeCell ref="R3:S3"/>
    <mergeCell ref="T3:U3"/>
    <mergeCell ref="V3:W3"/>
    <mergeCell ref="A3:A4"/>
  </mergeCells>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workbookViewId="0">
      <selection sqref="A1:B1"/>
    </sheetView>
  </sheetViews>
  <sheetFormatPr baseColWidth="10" defaultRowHeight="12.75"/>
  <cols>
    <col min="1" max="1" width="47.42578125" customWidth="1"/>
    <col min="2" max="2" width="84.140625" customWidth="1"/>
  </cols>
  <sheetData>
    <row r="1" spans="1:2" ht="14.25" thickBot="1">
      <c r="A1" s="959" t="s">
        <v>28</v>
      </c>
      <c r="B1" s="959"/>
    </row>
    <row r="2" spans="1:2" ht="27" customHeight="1">
      <c r="A2" s="955" t="s">
        <v>29</v>
      </c>
      <c r="B2" s="956"/>
    </row>
    <row r="3" spans="1:2" ht="24.75" customHeight="1" thickBot="1">
      <c r="A3" s="957" t="s">
        <v>30</v>
      </c>
      <c r="B3" s="958"/>
    </row>
    <row r="4" spans="1:2">
      <c r="A4" s="8" t="s">
        <v>31</v>
      </c>
      <c r="B4" s="8" t="s">
        <v>32</v>
      </c>
    </row>
    <row r="5" spans="1:2" ht="36.75">
      <c r="A5" s="9" t="s">
        <v>120</v>
      </c>
      <c r="B5" s="10" t="s">
        <v>74</v>
      </c>
    </row>
    <row r="6" spans="1:2" ht="27.75">
      <c r="A6" s="9" t="s">
        <v>33</v>
      </c>
      <c r="B6" s="10" t="s">
        <v>75</v>
      </c>
    </row>
    <row r="7" spans="1:2" ht="21" customHeight="1">
      <c r="A7" s="9" t="s">
        <v>34</v>
      </c>
      <c r="B7" s="10" t="s">
        <v>76</v>
      </c>
    </row>
    <row r="8" spans="1:2" ht="45" customHeight="1">
      <c r="A8" s="9" t="s">
        <v>79</v>
      </c>
      <c r="B8" s="154" t="s">
        <v>61</v>
      </c>
    </row>
    <row r="9" spans="1:2" ht="54" customHeight="1">
      <c r="A9" s="158" t="s">
        <v>62</v>
      </c>
      <c r="B9" s="10" t="s">
        <v>77</v>
      </c>
    </row>
    <row r="10" spans="1:2" ht="21" customHeight="1">
      <c r="A10" s="155" t="s">
        <v>341</v>
      </c>
      <c r="B10" s="156" t="s">
        <v>342</v>
      </c>
    </row>
    <row r="11" spans="1:2" ht="40.5" customHeight="1">
      <c r="A11" s="9" t="s">
        <v>78</v>
      </c>
      <c r="B11" s="10" t="s">
        <v>345</v>
      </c>
    </row>
    <row r="12" spans="1:2" ht="36.75" customHeight="1">
      <c r="A12" s="158" t="s">
        <v>35</v>
      </c>
      <c r="B12" s="157" t="s">
        <v>80</v>
      </c>
    </row>
    <row r="13" spans="1:2" ht="21.75" customHeight="1">
      <c r="A13" s="158" t="s">
        <v>56</v>
      </c>
      <c r="B13" s="10" t="s">
        <v>81</v>
      </c>
    </row>
    <row r="14" spans="1:2" ht="18.75">
      <c r="A14" s="9" t="s">
        <v>36</v>
      </c>
      <c r="B14" s="10" t="s">
        <v>60</v>
      </c>
    </row>
    <row r="15" spans="1:2" ht="18.75">
      <c r="A15" s="9" t="s">
        <v>37</v>
      </c>
      <c r="B15" s="10" t="s">
        <v>63</v>
      </c>
    </row>
    <row r="16" spans="1:2" ht="18.75">
      <c r="A16" s="9" t="s">
        <v>38</v>
      </c>
      <c r="B16" s="10" t="s">
        <v>82</v>
      </c>
    </row>
    <row r="17" spans="1:2" ht="36.75">
      <c r="A17" s="9" t="s">
        <v>39</v>
      </c>
      <c r="B17" s="10" t="s">
        <v>12</v>
      </c>
    </row>
    <row r="18" spans="1:2" ht="18.75">
      <c r="A18" s="9" t="s">
        <v>40</v>
      </c>
      <c r="B18" s="10" t="s">
        <v>41</v>
      </c>
    </row>
    <row r="19" spans="1:2" ht="18.75">
      <c r="A19" s="9" t="s">
        <v>42</v>
      </c>
      <c r="B19" s="10" t="s">
        <v>83</v>
      </c>
    </row>
    <row r="20" spans="1:2" ht="25.5" customHeight="1">
      <c r="A20" s="9" t="s">
        <v>43</v>
      </c>
      <c r="B20" s="10" t="s">
        <v>64</v>
      </c>
    </row>
    <row r="21" spans="1:2" ht="25.5" customHeight="1">
      <c r="A21" s="9" t="s">
        <v>44</v>
      </c>
      <c r="B21" s="10" t="s">
        <v>65</v>
      </c>
    </row>
    <row r="22" spans="1:2" ht="21" customHeight="1">
      <c r="A22" s="9" t="s">
        <v>45</v>
      </c>
      <c r="B22" s="10" t="s">
        <v>66</v>
      </c>
    </row>
    <row r="23" spans="1:2" ht="84" customHeight="1" thickBot="1">
      <c r="A23" s="159" t="s">
        <v>85</v>
      </c>
      <c r="B23" s="11" t="s">
        <v>6</v>
      </c>
    </row>
  </sheetData>
  <mergeCells count="3">
    <mergeCell ref="A2:B2"/>
    <mergeCell ref="A3:B3"/>
    <mergeCell ref="A1:B1"/>
  </mergeCells>
  <phoneticPr fontId="21"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B1"/>
    </sheetView>
  </sheetViews>
  <sheetFormatPr baseColWidth="10" defaultRowHeight="12.75"/>
  <cols>
    <col min="1" max="1" width="33.5703125" customWidth="1"/>
    <col min="2" max="2" width="72.140625" customWidth="1"/>
  </cols>
  <sheetData>
    <row r="1" spans="1:2" ht="14.25" thickBot="1">
      <c r="A1" s="959" t="s">
        <v>46</v>
      </c>
      <c r="B1" s="959"/>
    </row>
    <row r="2" spans="1:2" ht="13.5" customHeight="1">
      <c r="A2" s="955" t="s">
        <v>29</v>
      </c>
      <c r="B2" s="956"/>
    </row>
    <row r="3" spans="1:2" ht="14.25" thickBot="1">
      <c r="A3" s="957" t="s">
        <v>47</v>
      </c>
      <c r="B3" s="958"/>
    </row>
    <row r="4" spans="1:2" ht="13.5" thickBot="1">
      <c r="A4" s="6" t="s">
        <v>31</v>
      </c>
      <c r="B4" s="7" t="s">
        <v>32</v>
      </c>
    </row>
    <row r="5" spans="1:2" ht="26.25" thickBot="1">
      <c r="A5" s="14" t="s">
        <v>14</v>
      </c>
      <c r="B5" s="15" t="s">
        <v>15</v>
      </c>
    </row>
    <row r="6" spans="1:2" ht="30" customHeight="1" thickBot="1">
      <c r="A6" s="14" t="s">
        <v>122</v>
      </c>
      <c r="B6" s="15" t="s">
        <v>124</v>
      </c>
    </row>
    <row r="7" spans="1:2" ht="64.5" thickBot="1">
      <c r="A7" s="13" t="s">
        <v>123</v>
      </c>
      <c r="B7" s="16" t="s">
        <v>67</v>
      </c>
    </row>
    <row r="8" spans="1:2" ht="39" thickBot="1">
      <c r="A8" s="13" t="s">
        <v>13</v>
      </c>
      <c r="B8" s="16" t="s">
        <v>7</v>
      </c>
    </row>
    <row r="9" spans="1:2" ht="64.5" thickBot="1">
      <c r="A9" s="13" t="s">
        <v>48</v>
      </c>
      <c r="B9" s="16" t="s">
        <v>8</v>
      </c>
    </row>
    <row r="10" spans="1:2" ht="64.5" thickBot="1">
      <c r="A10" s="13" t="s">
        <v>49</v>
      </c>
      <c r="B10" s="16" t="s">
        <v>9</v>
      </c>
    </row>
    <row r="11" spans="1:2" ht="68.25" customHeight="1" thickBot="1">
      <c r="A11" s="13" t="s">
        <v>50</v>
      </c>
      <c r="B11" s="16" t="s">
        <v>10</v>
      </c>
    </row>
    <row r="12" spans="1:2" ht="26.25" thickBot="1">
      <c r="A12" s="13" t="s">
        <v>25</v>
      </c>
      <c r="B12" s="16" t="s">
        <v>11</v>
      </c>
    </row>
    <row r="13" spans="1:2" ht="32.25" customHeight="1" thickBot="1">
      <c r="A13" s="13" t="s">
        <v>26</v>
      </c>
      <c r="B13" s="16" t="s">
        <v>121</v>
      </c>
    </row>
    <row r="14" spans="1:2" ht="47.25" customHeight="1" thickBot="1">
      <c r="A14" s="13" t="s">
        <v>51</v>
      </c>
      <c r="B14" s="16" t="s">
        <v>52</v>
      </c>
    </row>
    <row r="15" spans="1:2" ht="26.25" thickBot="1">
      <c r="A15" s="13" t="s">
        <v>27</v>
      </c>
      <c r="B15" s="16" t="s">
        <v>16</v>
      </c>
    </row>
    <row r="16" spans="1:2">
      <c r="B16" s="12"/>
    </row>
  </sheetData>
  <mergeCells count="3">
    <mergeCell ref="A2:B2"/>
    <mergeCell ref="A3:B3"/>
    <mergeCell ref="A1:B1"/>
  </mergeCells>
  <phoneticPr fontId="21"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heetViews>
  <sheetFormatPr baseColWidth="10" defaultRowHeight="12.75"/>
  <sheetData>
    <row r="4" spans="4:5">
      <c r="D4" t="s">
        <v>141</v>
      </c>
      <c r="E4">
        <v>57</v>
      </c>
    </row>
    <row r="5" spans="4:5">
      <c r="D5" t="s">
        <v>167</v>
      </c>
      <c r="E5">
        <v>70</v>
      </c>
    </row>
    <row r="6" spans="4:5">
      <c r="D6" t="s">
        <v>136</v>
      </c>
      <c r="E6">
        <v>47</v>
      </c>
    </row>
    <row r="7" spans="4:5">
      <c r="D7" t="s">
        <v>156</v>
      </c>
      <c r="E7">
        <v>67</v>
      </c>
    </row>
    <row r="8" spans="4:5">
      <c r="D8" t="s">
        <v>147</v>
      </c>
      <c r="E8">
        <v>14</v>
      </c>
    </row>
    <row r="9" spans="4:5">
      <c r="D9" t="s">
        <v>143</v>
      </c>
      <c r="E9">
        <v>48</v>
      </c>
    </row>
    <row r="10" spans="4:5">
      <c r="D10" t="s">
        <v>149</v>
      </c>
      <c r="E10">
        <v>18</v>
      </c>
    </row>
    <row r="11" spans="4:5">
      <c r="D11" t="s">
        <v>150</v>
      </c>
      <c r="E11">
        <v>32</v>
      </c>
    </row>
    <row r="12" spans="4:5">
      <c r="D12" t="s">
        <v>138</v>
      </c>
      <c r="E12">
        <v>32</v>
      </c>
    </row>
    <row r="13" spans="4:5">
      <c r="D13" t="s">
        <v>151</v>
      </c>
      <c r="E13">
        <v>78</v>
      </c>
    </row>
    <row r="14" spans="4:5">
      <c r="D14" t="s">
        <v>168</v>
      </c>
      <c r="E14">
        <v>47</v>
      </c>
    </row>
    <row r="15" spans="4:5">
      <c r="D15" t="s">
        <v>169</v>
      </c>
      <c r="E15">
        <v>45</v>
      </c>
    </row>
    <row r="16" spans="4:5">
      <c r="D16" t="s">
        <v>170</v>
      </c>
      <c r="E16">
        <v>99</v>
      </c>
    </row>
    <row r="17" spans="4:5">
      <c r="D17" t="s">
        <v>137</v>
      </c>
      <c r="E17">
        <v>60</v>
      </c>
    </row>
    <row r="18" spans="4:5">
      <c r="E18">
        <f>AVERAGE(E4:E17,E4:E17)</f>
        <v>51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workbookViewId="0"/>
  </sheetViews>
  <sheetFormatPr baseColWidth="10" defaultRowHeight="12.75"/>
  <cols>
    <col min="4" max="4" width="21.42578125" customWidth="1"/>
    <col min="5" max="5" width="14.5703125" customWidth="1"/>
    <col min="6" max="6" width="27.85546875" customWidth="1"/>
    <col min="7" max="7" width="21" style="146" customWidth="1"/>
    <col min="8" max="8" width="23.140625" customWidth="1"/>
    <col min="9" max="9" width="24.5703125" customWidth="1"/>
  </cols>
  <sheetData>
    <row r="1" spans="4:9" ht="29.25" customHeight="1">
      <c r="D1" s="149" t="s">
        <v>337</v>
      </c>
      <c r="E1" s="151" t="s">
        <v>338</v>
      </c>
      <c r="F1" s="149" t="s">
        <v>322</v>
      </c>
      <c r="G1" s="151" t="s">
        <v>339</v>
      </c>
      <c r="H1" s="162" t="s">
        <v>346</v>
      </c>
      <c r="I1" s="162" t="s">
        <v>347</v>
      </c>
    </row>
    <row r="2" spans="4:9" ht="51">
      <c r="D2" s="967" t="str">
        <f>+'Anexo 1 Matriz SINA Inf Gestión'!A6</f>
        <v>PROGRAMA 1: GESTIÓN Y CONSERVACIÓN DE LA RIQUEZA NATURAL</v>
      </c>
      <c r="E2" s="964">
        <v>70.865913783143426</v>
      </c>
      <c r="F2" s="147" t="s">
        <v>323</v>
      </c>
      <c r="G2" s="148">
        <v>65</v>
      </c>
      <c r="H2" s="960">
        <v>64</v>
      </c>
      <c r="I2" s="148">
        <v>65</v>
      </c>
    </row>
    <row r="3" spans="4:9" ht="38.25">
      <c r="D3" s="969"/>
      <c r="E3" s="965"/>
      <c r="F3" s="147" t="s">
        <v>324</v>
      </c>
      <c r="G3" s="148">
        <v>84</v>
      </c>
      <c r="H3" s="960"/>
      <c r="I3" s="161">
        <v>65</v>
      </c>
    </row>
    <row r="4" spans="4:9" ht="41.25" customHeight="1">
      <c r="D4" s="968"/>
      <c r="E4" s="966"/>
      <c r="F4" s="147" t="s">
        <v>325</v>
      </c>
      <c r="G4" s="148">
        <v>64</v>
      </c>
      <c r="H4" s="960"/>
      <c r="I4" s="148">
        <v>64</v>
      </c>
    </row>
    <row r="5" spans="4:9" ht="38.25" customHeight="1">
      <c r="D5" s="967" t="str">
        <f>+'Anexo 1 Matriz SINA Inf Gestión'!A28</f>
        <v>PROGRAMA No. 2  BIODIVERSIDAD: FUENTE DE VIDA</v>
      </c>
      <c r="E5" s="964">
        <v>25.946640500887767</v>
      </c>
      <c r="F5" s="147" t="s">
        <v>326</v>
      </c>
      <c r="G5" s="148">
        <v>67</v>
      </c>
      <c r="H5" s="961">
        <v>29</v>
      </c>
      <c r="I5" s="148">
        <v>67</v>
      </c>
    </row>
    <row r="6" spans="4:9" ht="25.5">
      <c r="D6" s="969"/>
      <c r="E6" s="965"/>
      <c r="F6" s="147" t="s">
        <v>327</v>
      </c>
      <c r="G6" s="148">
        <v>0</v>
      </c>
      <c r="H6" s="961"/>
      <c r="I6" s="148">
        <v>0</v>
      </c>
    </row>
    <row r="7" spans="4:9" ht="38.25">
      <c r="D7" s="969"/>
      <c r="E7" s="965"/>
      <c r="F7" s="147" t="s">
        <v>333</v>
      </c>
      <c r="G7" s="148">
        <v>7</v>
      </c>
      <c r="H7" s="961"/>
      <c r="I7" s="161">
        <v>19</v>
      </c>
    </row>
    <row r="8" spans="4:9" ht="38.25">
      <c r="D8" s="968"/>
      <c r="E8" s="966"/>
      <c r="F8" s="147" t="s">
        <v>334</v>
      </c>
      <c r="G8" s="148">
        <v>30</v>
      </c>
      <c r="H8" s="961"/>
      <c r="I8" s="148">
        <v>30</v>
      </c>
    </row>
    <row r="9" spans="4:9" ht="25.5" customHeight="1">
      <c r="D9" s="967" t="str">
        <f>+'Anexo 1 Matriz SINA Inf Gestión'!A36</f>
        <v>PROGRAMA 3: DESARROLLO TERRITORIAL SOSTENIBLE Y ADAPTACIÒN AL CAMBIO CLIMÀTICO</v>
      </c>
      <c r="E9" s="964">
        <v>46.477840998893633</v>
      </c>
      <c r="F9" s="147" t="s">
        <v>328</v>
      </c>
      <c r="G9" s="148">
        <v>55</v>
      </c>
      <c r="H9" s="961">
        <v>47</v>
      </c>
      <c r="I9" s="148">
        <v>55</v>
      </c>
    </row>
    <row r="10" spans="4:9" ht="45.75" customHeight="1">
      <c r="D10" s="968"/>
      <c r="E10" s="966"/>
      <c r="F10" s="147" t="s">
        <v>329</v>
      </c>
      <c r="G10" s="148">
        <v>38</v>
      </c>
      <c r="H10" s="961"/>
      <c r="I10" s="161">
        <v>39</v>
      </c>
    </row>
    <row r="11" spans="4:9" ht="38.25" customHeight="1">
      <c r="D11" s="967" t="str">
        <f>+'Anexo 1 Matriz SINA Inf Gestión'!A47</f>
        <v>PROGRAMA 4:  INSTITUCIÒN AMBIENTAL MODERNA Y GENERACIÒN DE CAPACIDADES</v>
      </c>
      <c r="E11" s="967">
        <v>55</v>
      </c>
      <c r="F11" s="147" t="s">
        <v>330</v>
      </c>
      <c r="G11" s="148">
        <v>66</v>
      </c>
      <c r="H11" s="961">
        <v>57</v>
      </c>
      <c r="I11" s="148">
        <v>68</v>
      </c>
    </row>
    <row r="12" spans="4:9" ht="38.25">
      <c r="D12" s="968"/>
      <c r="E12" s="968"/>
      <c r="F12" s="147" t="s">
        <v>331</v>
      </c>
      <c r="G12" s="148">
        <v>44</v>
      </c>
      <c r="H12" s="961"/>
      <c r="I12" s="161">
        <v>46</v>
      </c>
    </row>
    <row r="13" spans="4:9" ht="38.25">
      <c r="D13" s="150" t="e">
        <f>+'Anexo 1 Matriz SINA Inf Gestión'!#REF!</f>
        <v>#REF!</v>
      </c>
      <c r="E13" s="150">
        <v>54</v>
      </c>
      <c r="F13" s="147" t="s">
        <v>332</v>
      </c>
      <c r="G13" s="148">
        <v>54</v>
      </c>
      <c r="H13" s="148">
        <v>54</v>
      </c>
      <c r="I13" s="148">
        <v>54</v>
      </c>
    </row>
    <row r="14" spans="4:9" ht="51">
      <c r="D14" s="967" t="e">
        <f>+'Anexo 1 Matriz SINA Inf Gestión'!#REF!</f>
        <v>#REF!</v>
      </c>
      <c r="E14" s="964">
        <v>88.835714285714289</v>
      </c>
      <c r="F14" s="147" t="s">
        <v>335</v>
      </c>
      <c r="G14" s="148">
        <v>100</v>
      </c>
      <c r="H14" s="962">
        <v>89</v>
      </c>
      <c r="I14" s="148">
        <v>100</v>
      </c>
    </row>
    <row r="15" spans="4:9" ht="25.5">
      <c r="D15" s="968"/>
      <c r="E15" s="966"/>
      <c r="F15" s="147" t="s">
        <v>336</v>
      </c>
      <c r="G15" s="148">
        <v>78</v>
      </c>
      <c r="H15" s="963"/>
      <c r="I15" s="148">
        <v>78</v>
      </c>
    </row>
    <row r="18" spans="4:5" ht="15.75">
      <c r="D18" s="152" t="s">
        <v>340</v>
      </c>
      <c r="E18" s="153">
        <f>+'Anexo 1 Matriz SINA Inf Gestión'!J82</f>
        <v>367.59380588918424</v>
      </c>
    </row>
  </sheetData>
  <mergeCells count="15">
    <mergeCell ref="D2:D4"/>
    <mergeCell ref="D5:D8"/>
    <mergeCell ref="D9:D10"/>
    <mergeCell ref="D11:D12"/>
    <mergeCell ref="D14:D15"/>
    <mergeCell ref="E2:E4"/>
    <mergeCell ref="E5:E8"/>
    <mergeCell ref="E9:E10"/>
    <mergeCell ref="E11:E12"/>
    <mergeCell ref="E14:E15"/>
    <mergeCell ref="H2:H4"/>
    <mergeCell ref="H5:H8"/>
    <mergeCell ref="H9:H10"/>
    <mergeCell ref="H11:H12"/>
    <mergeCell ref="H14:H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U199"/>
  <sheetViews>
    <sheetView topLeftCell="A31" zoomScale="90" zoomScaleNormal="90" workbookViewId="0">
      <selection activeCell="E79" sqref="E79"/>
    </sheetView>
  </sheetViews>
  <sheetFormatPr baseColWidth="10" defaultRowHeight="82.5" customHeight="1"/>
  <cols>
    <col min="1" max="1" width="50.7109375" style="28" customWidth="1"/>
    <col min="2" max="2" width="17" style="28" customWidth="1"/>
    <col min="3" max="3" width="15.42578125" style="28" customWidth="1"/>
    <col min="4" max="4" width="16.42578125" style="28" customWidth="1"/>
    <col min="5" max="5" width="23.85546875" style="126" customWidth="1"/>
    <col min="6" max="6" width="17.5703125" style="160" hidden="1" customWidth="1"/>
    <col min="7" max="7" width="16.7109375" style="28" hidden="1" customWidth="1"/>
    <col min="8" max="8" width="14.42578125" style="30" customWidth="1"/>
    <col min="9" max="9" width="12" style="57" customWidth="1"/>
    <col min="10" max="10" width="15.7109375" style="287" customWidth="1"/>
    <col min="11" max="11" width="18.42578125" style="28" hidden="1" customWidth="1"/>
    <col min="12" max="12" width="28.42578125" style="533" customWidth="1"/>
    <col min="13" max="13" width="23.5703125" style="535" customWidth="1"/>
    <col min="14" max="14" width="15.5703125" style="28" customWidth="1"/>
    <col min="15" max="15" width="27.7109375" style="29" customWidth="1"/>
    <col min="16" max="16" width="32.5703125" style="29" customWidth="1"/>
    <col min="17" max="17" width="17.5703125" style="145" customWidth="1"/>
    <col min="18" max="18" width="37.42578125" style="28" customWidth="1"/>
    <col min="19" max="19" width="29.140625" style="28" customWidth="1"/>
    <col min="20" max="20" width="37.140625" style="28" customWidth="1"/>
    <col min="21" max="21" width="40.42578125" style="28" customWidth="1"/>
    <col min="22" max="16384" width="11.42578125" style="28"/>
  </cols>
  <sheetData>
    <row r="1" spans="1:21" ht="132.75" customHeight="1" thickBot="1">
      <c r="A1" s="836"/>
      <c r="B1" s="837"/>
      <c r="C1" s="837"/>
      <c r="D1" s="837"/>
      <c r="E1" s="837"/>
      <c r="F1" s="837"/>
      <c r="G1" s="837"/>
      <c r="H1" s="837"/>
      <c r="I1" s="837"/>
      <c r="J1" s="837"/>
      <c r="K1" s="837"/>
      <c r="L1" s="837"/>
      <c r="M1" s="837"/>
      <c r="N1" s="837"/>
      <c r="O1" s="837"/>
      <c r="P1" s="837"/>
      <c r="Q1" s="837"/>
      <c r="R1" s="837"/>
      <c r="S1" s="837"/>
      <c r="T1" s="837"/>
      <c r="U1" s="838"/>
    </row>
    <row r="2" spans="1:21" s="27" customFormat="1" ht="49.5" customHeight="1">
      <c r="A2" s="845" t="s">
        <v>596</v>
      </c>
      <c r="B2" s="846"/>
      <c r="C2" s="846"/>
      <c r="D2" s="846"/>
      <c r="E2" s="846"/>
      <c r="F2" s="846"/>
      <c r="G2" s="846"/>
      <c r="H2" s="846"/>
      <c r="I2" s="846"/>
      <c r="J2" s="846"/>
      <c r="K2" s="846"/>
      <c r="L2" s="846"/>
      <c r="M2" s="846"/>
      <c r="N2" s="846"/>
      <c r="O2" s="846"/>
      <c r="P2" s="846"/>
      <c r="Q2" s="846"/>
      <c r="R2" s="846"/>
      <c r="S2" s="846"/>
      <c r="T2" s="846"/>
      <c r="U2" s="846"/>
    </row>
    <row r="3" spans="1:21" s="27" customFormat="1" ht="30.75" customHeight="1" thickBot="1">
      <c r="A3" s="845"/>
      <c r="B3" s="846"/>
      <c r="C3" s="846"/>
      <c r="D3" s="846"/>
      <c r="E3" s="846"/>
      <c r="F3" s="846"/>
      <c r="G3" s="846"/>
      <c r="H3" s="846"/>
      <c r="I3" s="846"/>
      <c r="J3" s="846"/>
      <c r="K3" s="846"/>
      <c r="L3" s="846"/>
      <c r="M3" s="846"/>
      <c r="N3" s="846"/>
      <c r="O3" s="846"/>
      <c r="P3" s="846"/>
      <c r="Q3" s="846"/>
      <c r="R3" s="846"/>
      <c r="S3" s="846"/>
      <c r="T3" s="846"/>
      <c r="U3" s="846"/>
    </row>
    <row r="4" spans="1:21" ht="82.5" customHeight="1" thickBot="1">
      <c r="A4" s="849" t="s">
        <v>436</v>
      </c>
      <c r="B4" s="851" t="s">
        <v>161</v>
      </c>
      <c r="C4" s="852"/>
      <c r="D4" s="852"/>
      <c r="E4" s="852"/>
      <c r="F4" s="852"/>
      <c r="G4" s="852"/>
      <c r="H4" s="852"/>
      <c r="I4" s="852"/>
      <c r="J4" s="852"/>
      <c r="K4" s="438"/>
      <c r="L4" s="851" t="s">
        <v>162</v>
      </c>
      <c r="M4" s="852"/>
      <c r="N4" s="852"/>
      <c r="O4" s="852"/>
      <c r="P4" s="852"/>
      <c r="Q4" s="853"/>
      <c r="R4" s="854" t="s">
        <v>98</v>
      </c>
      <c r="S4" s="839" t="s">
        <v>599</v>
      </c>
      <c r="T4" s="841" t="s">
        <v>600</v>
      </c>
      <c r="U4" s="843" t="s">
        <v>601</v>
      </c>
    </row>
    <row r="5" spans="1:21" ht="98.25" customHeight="1">
      <c r="A5" s="850"/>
      <c r="B5" s="789" t="s">
        <v>24</v>
      </c>
      <c r="C5" s="789" t="s">
        <v>71</v>
      </c>
      <c r="D5" s="789" t="s">
        <v>73</v>
      </c>
      <c r="E5" s="789" t="s">
        <v>53</v>
      </c>
      <c r="F5" s="789" t="s">
        <v>343</v>
      </c>
      <c r="G5" s="789" t="s">
        <v>344</v>
      </c>
      <c r="H5" s="790" t="s">
        <v>68</v>
      </c>
      <c r="I5" s="790" t="s">
        <v>55</v>
      </c>
      <c r="J5" s="791" t="s">
        <v>54</v>
      </c>
      <c r="K5" s="790" t="s">
        <v>70</v>
      </c>
      <c r="L5" s="771" t="s">
        <v>164</v>
      </c>
      <c r="M5" s="771" t="s">
        <v>72</v>
      </c>
      <c r="N5" s="771" t="s">
        <v>57</v>
      </c>
      <c r="O5" s="772" t="s">
        <v>69</v>
      </c>
      <c r="P5" s="772" t="s">
        <v>58</v>
      </c>
      <c r="Q5" s="772" t="s">
        <v>59</v>
      </c>
      <c r="R5" s="855"/>
      <c r="S5" s="840"/>
      <c r="T5" s="842"/>
      <c r="U5" s="844"/>
    </row>
    <row r="6" spans="1:21" ht="82.5" customHeight="1">
      <c r="A6" s="792" t="str">
        <f>+'MATRIZ GENERAL CONSOLIDADA'!A5</f>
        <v>PROGRAMA 1: GESTIÓN Y CONSERVACIÓN DE LA RIQUEZA NATURAL</v>
      </c>
      <c r="B6" s="792"/>
      <c r="C6" s="793">
        <f t="shared" ref="C6" si="0">+C7+C18</f>
        <v>0</v>
      </c>
      <c r="D6" s="793">
        <f t="shared" ref="D6" si="1">+D7+D18</f>
        <v>0</v>
      </c>
      <c r="E6" s="793">
        <f>AVERAGE(E7,E18)</f>
        <v>10.833333333333334</v>
      </c>
      <c r="F6" s="793">
        <f t="shared" ref="F6:K6" si="2">+F7+F18</f>
        <v>0</v>
      </c>
      <c r="G6" s="793">
        <f t="shared" si="2"/>
        <v>0</v>
      </c>
      <c r="H6" s="793">
        <f t="shared" si="2"/>
        <v>213.7904761904762</v>
      </c>
      <c r="I6" s="793">
        <f t="shared" si="2"/>
        <v>12.91</v>
      </c>
      <c r="J6" s="793">
        <f t="shared" si="2"/>
        <v>89.76140717520029</v>
      </c>
      <c r="K6" s="793">
        <f t="shared" si="2"/>
        <v>0</v>
      </c>
      <c r="L6" s="793">
        <f>+L7+L18</f>
        <v>14234674919.063999</v>
      </c>
      <c r="M6" s="793">
        <f t="shared" ref="M6:Q6" si="3">+M7+M18</f>
        <v>606726686.63199997</v>
      </c>
      <c r="N6" s="323">
        <f>+M6/L6*100</f>
        <v>4.2623150165476016</v>
      </c>
      <c r="O6" s="793">
        <f t="shared" si="3"/>
        <v>58758967941.378006</v>
      </c>
      <c r="P6" s="793">
        <f t="shared" si="3"/>
        <v>606726686.63199997</v>
      </c>
      <c r="Q6" s="793">
        <f t="shared" si="3"/>
        <v>2.689524099636889</v>
      </c>
      <c r="R6" s="783"/>
      <c r="S6" s="372"/>
      <c r="T6" s="372"/>
      <c r="U6" s="372"/>
    </row>
    <row r="7" spans="1:21" ht="82.5" customHeight="1">
      <c r="A7" s="794" t="str">
        <f>+'MATRIZ GENERAL CONSOLIDADA'!A6</f>
        <v>Proyecto 1.1: GESTIÓN DE LA BIODIVERSIDAD Y SUS SERVICIOS ECOSISTÉMICOS</v>
      </c>
      <c r="B7" s="284"/>
      <c r="C7" s="284"/>
      <c r="D7" s="284"/>
      <c r="E7" s="284">
        <f>AVERAGE(E8:E17)</f>
        <v>17</v>
      </c>
      <c r="F7" s="284"/>
      <c r="G7" s="284"/>
      <c r="H7" s="284">
        <f>AVERAGE(H8:H17)</f>
        <v>36.457142857142856</v>
      </c>
      <c r="I7" s="284">
        <f>AVERAGE(I8:I17)</f>
        <v>3.66</v>
      </c>
      <c r="J7" s="284">
        <f>+(I7/H7)*100</f>
        <v>10.039184952978058</v>
      </c>
      <c r="K7" s="284"/>
      <c r="L7" s="284">
        <f>SUM(L8:L17)</f>
        <v>3990284305.7640004</v>
      </c>
      <c r="M7" s="284">
        <f>SUM(M8:M17)</f>
        <v>331007155</v>
      </c>
      <c r="N7" s="284">
        <f>+M7/L7*100</f>
        <v>8.2953275916168998</v>
      </c>
      <c r="O7" s="284">
        <f>SUM(O8:O17)</f>
        <v>16214287631.878004</v>
      </c>
      <c r="P7" s="284">
        <f>SUM(P8:P17)</f>
        <v>331007155</v>
      </c>
      <c r="Q7" s="284">
        <f>+(P7/O7)*100</f>
        <v>2.04145357794952</v>
      </c>
      <c r="R7" s="784"/>
      <c r="S7" s="372"/>
      <c r="T7" s="372"/>
      <c r="U7" s="372"/>
    </row>
    <row r="8" spans="1:21" ht="90.75" customHeight="1">
      <c r="A8" s="336" t="str">
        <f>+'MATRIZ GENERAL CONSOLIDADA'!A7</f>
        <v>No. predios apoyados para su caracterización y/o gestión como reserva natural de la sociedad civil</v>
      </c>
      <c r="B8" s="303" t="str">
        <f>+'MATRIZ GENERAL CONSOLIDADA'!C7</f>
        <v>Predios</v>
      </c>
      <c r="C8" s="510">
        <f>+'MATRIZ GENERAL CONSOLIDADA'!D7</f>
        <v>30</v>
      </c>
      <c r="D8" s="510">
        <f>+'MATRIZ GENERAL CONSOLIDADA'!J7</f>
        <v>5</v>
      </c>
      <c r="E8" s="510">
        <f t="shared" ref="E8:E15" si="4">+(D8/C8)*100</f>
        <v>16.666666666666664</v>
      </c>
      <c r="F8" s="301"/>
      <c r="G8" s="301"/>
      <c r="H8" s="304">
        <f>+'MATRIZ GENERAL CONSOLIDADA'!D7</f>
        <v>30</v>
      </c>
      <c r="I8" s="301">
        <f>+'MATRIZ GENERAL CONSOLIDADA'!F7</f>
        <v>1.25</v>
      </c>
      <c r="J8" s="301">
        <f>+I8/H8*100</f>
        <v>4.1666666666666661</v>
      </c>
      <c r="K8" s="306"/>
      <c r="L8" s="531">
        <f>+'MATRIZ GENERAL CONSOLIDADA'!I7</f>
        <v>74790993.280000001</v>
      </c>
      <c r="M8" s="534">
        <f>+'MATRIZ GENERAL CONSOLIDADA'!K7</f>
        <v>0</v>
      </c>
      <c r="N8" s="301">
        <v>0</v>
      </c>
      <c r="O8" s="301">
        <f>+'MATRIZ GENERAL CONSOLIDADA'!E7</f>
        <v>400121690.48000002</v>
      </c>
      <c r="P8" s="301">
        <f>+'MATRIZ GENERAL CONSOLIDADA'!G7</f>
        <v>0</v>
      </c>
      <c r="Q8" s="406">
        <v>0</v>
      </c>
      <c r="R8" s="847"/>
      <c r="S8" s="786" t="s">
        <v>610</v>
      </c>
      <c r="T8" s="372"/>
      <c r="U8" s="372" t="s">
        <v>606</v>
      </c>
    </row>
    <row r="9" spans="1:21" ht="94.5" customHeight="1">
      <c r="A9" s="332" t="str">
        <f>+'MATRIZ GENERAL CONSOLIDADA'!A8</f>
        <v>No. ecosistemas compartidos planificados y/o gestionados por la Corporación</v>
      </c>
      <c r="B9" s="308" t="str">
        <f>+'MATRIZ GENERAL CONSOLIDADA'!C8</f>
        <v>Und</v>
      </c>
      <c r="C9" s="510">
        <f>+'MATRIZ GENERAL CONSOLIDADA'!D8</f>
        <v>3</v>
      </c>
      <c r="D9" s="510">
        <f>+'MATRIZ GENERAL CONSOLIDADA'!J8</f>
        <v>1</v>
      </c>
      <c r="E9" s="510">
        <f>+(D9/C9)*100</f>
        <v>33.333333333333329</v>
      </c>
      <c r="F9" s="301"/>
      <c r="G9" s="301"/>
      <c r="H9" s="304">
        <f>+'MATRIZ GENERAL CONSOLIDADA'!D8</f>
        <v>3</v>
      </c>
      <c r="I9" s="301">
        <f>+'MATRIZ GENERAL CONSOLIDADA'!F8</f>
        <v>0.25</v>
      </c>
      <c r="J9" s="301">
        <f t="shared" ref="J9:J17" si="5">+I9/H9*100</f>
        <v>8.3333333333333321</v>
      </c>
      <c r="K9" s="306"/>
      <c r="L9" s="531">
        <f>+'MATRIZ GENERAL CONSOLIDADA'!I8</f>
        <v>90040000</v>
      </c>
      <c r="M9" s="534">
        <f>+'MATRIZ GENERAL CONSOLIDADA'!K8</f>
        <v>0</v>
      </c>
      <c r="N9" s="301" t="s">
        <v>472</v>
      </c>
      <c r="O9" s="301">
        <f>+'MATRIZ GENERAL CONSOLIDADA'!E8</f>
        <v>400200000</v>
      </c>
      <c r="P9" s="301">
        <f>+'MATRIZ GENERAL CONSOLIDADA'!G8</f>
        <v>0</v>
      </c>
      <c r="Q9" s="406">
        <v>0</v>
      </c>
      <c r="R9" s="847"/>
      <c r="S9" s="786" t="s">
        <v>610</v>
      </c>
      <c r="T9" s="372"/>
      <c r="U9" s="372" t="s">
        <v>606</v>
      </c>
    </row>
    <row r="10" spans="1:21" ht="102" customHeight="1">
      <c r="A10" s="335" t="str">
        <f>+'MATRIZ GENERAL CONSOLIDADA'!A9</f>
        <v>No.de áreas estratégicas con desarrollo de actividades de investigacion-monitoreo y estudios de caracterización de la biodiversidad con participación comunitaria</v>
      </c>
      <c r="B10" s="308" t="str">
        <f>+'MATRIZ GENERAL CONSOLIDADA'!C9</f>
        <v>Und</v>
      </c>
      <c r="C10" s="510">
        <f>+'MATRIZ GENERAL CONSOLIDADA'!D9</f>
        <v>2</v>
      </c>
      <c r="D10" s="510">
        <f>+'MATRIZ GENERAL CONSOLIDADA'!J9</f>
        <v>0</v>
      </c>
      <c r="E10" s="510">
        <f t="shared" si="4"/>
        <v>0</v>
      </c>
      <c r="F10" s="301"/>
      <c r="G10" s="301"/>
      <c r="H10" s="304">
        <f>+'MATRIZ GENERAL CONSOLIDADA'!D9</f>
        <v>2</v>
      </c>
      <c r="I10" s="301">
        <f>+'MATRIZ GENERAL CONSOLIDADA'!F9</f>
        <v>0</v>
      </c>
      <c r="J10" s="301">
        <f t="shared" si="5"/>
        <v>0</v>
      </c>
      <c r="K10" s="306"/>
      <c r="L10" s="531">
        <f>+'MATRIZ GENERAL CONSOLIDADA'!I9</f>
        <v>183153053.44</v>
      </c>
      <c r="M10" s="534">
        <f>+'MATRIZ GENERAL CONSOLIDADA'!K9</f>
        <v>0</v>
      </c>
      <c r="N10" s="301">
        <v>0</v>
      </c>
      <c r="O10" s="301">
        <f>+'MATRIZ GENERAL CONSOLIDADA'!E9</f>
        <v>574786013.86000001</v>
      </c>
      <c r="P10" s="301">
        <f>+'MATRIZ GENERAL CONSOLIDADA'!G9</f>
        <v>0</v>
      </c>
      <c r="Q10" s="406">
        <v>0</v>
      </c>
      <c r="R10" s="847"/>
      <c r="S10" s="786" t="s">
        <v>610</v>
      </c>
      <c r="T10" s="372"/>
      <c r="U10" s="372" t="s">
        <v>606</v>
      </c>
    </row>
    <row r="11" spans="1:21" ht="102" customHeight="1">
      <c r="A11" s="332" t="str">
        <f>+'MATRIZ GENERAL CONSOLIDADA'!A10</f>
        <v xml:space="preserve">No. De estudios formulados  y/o actualizados de planes de manejo ambiental (PMA) de áreas protegidas </v>
      </c>
      <c r="B11" s="308" t="str">
        <f>+'MATRIZ GENERAL CONSOLIDADA'!C10</f>
        <v>Und</v>
      </c>
      <c r="C11" s="510">
        <f>+'MATRIZ GENERAL CONSOLIDADA'!D10</f>
        <v>3</v>
      </c>
      <c r="D11" s="510">
        <f>+'MATRIZ GENERAL CONSOLIDADA'!J10</f>
        <v>0</v>
      </c>
      <c r="E11" s="510">
        <f t="shared" si="4"/>
        <v>0</v>
      </c>
      <c r="F11" s="301"/>
      <c r="G11" s="301"/>
      <c r="H11" s="304">
        <f>+'MATRIZ GENERAL CONSOLIDADA'!D10</f>
        <v>3</v>
      </c>
      <c r="I11" s="301">
        <f>+'MATRIZ GENERAL CONSOLIDADA'!F10</f>
        <v>0</v>
      </c>
      <c r="J11" s="301">
        <f t="shared" si="5"/>
        <v>0</v>
      </c>
      <c r="K11" s="306"/>
      <c r="L11" s="531">
        <f>+'MATRIZ GENERAL CONSOLIDADA'!I10</f>
        <v>558167976.60000002</v>
      </c>
      <c r="M11" s="534">
        <f>+'MATRIZ GENERAL CONSOLIDADA'!K10</f>
        <v>0</v>
      </c>
      <c r="N11" s="301" t="s">
        <v>472</v>
      </c>
      <c r="O11" s="301">
        <f>+'MATRIZ GENERAL CONSOLIDADA'!E10</f>
        <v>938167976.60000002</v>
      </c>
      <c r="P11" s="301">
        <f>+'MATRIZ GENERAL CONSOLIDADA'!G10</f>
        <v>0</v>
      </c>
      <c r="Q11" s="406">
        <v>0</v>
      </c>
      <c r="R11" s="847"/>
      <c r="S11" s="786" t="s">
        <v>610</v>
      </c>
      <c r="T11" s="372"/>
      <c r="U11" s="372" t="s">
        <v>606</v>
      </c>
    </row>
    <row r="12" spans="1:21" ht="85.5">
      <c r="A12" s="335" t="str">
        <f>+'MATRIZ GENERAL CONSOLIDADA'!A11</f>
        <v>% de estudios elaborados  en ejecución de la Política Ambiental</v>
      </c>
      <c r="B12" s="308" t="str">
        <f>+'MATRIZ GENERAL CONSOLIDADA'!C11</f>
        <v>%</v>
      </c>
      <c r="C12" s="510">
        <f>+'MATRIZ GENERAL CONSOLIDADA'!D11</f>
        <v>0.5714285714285714</v>
      </c>
      <c r="D12" s="510">
        <f>+'MATRIZ GENERAL CONSOLIDADA'!J11</f>
        <v>0</v>
      </c>
      <c r="E12" s="510">
        <f t="shared" si="4"/>
        <v>0</v>
      </c>
      <c r="F12" s="301"/>
      <c r="G12" s="301"/>
      <c r="H12" s="304">
        <f>+'MATRIZ GENERAL CONSOLIDADA'!D11</f>
        <v>0.5714285714285714</v>
      </c>
      <c r="I12" s="301">
        <f>+'MATRIZ GENERAL CONSOLIDADA'!F11</f>
        <v>0</v>
      </c>
      <c r="J12" s="301">
        <f>+I12/H12*100</f>
        <v>0</v>
      </c>
      <c r="K12" s="306"/>
      <c r="L12" s="531">
        <f>+'MATRIZ GENERAL CONSOLIDADA'!I11</f>
        <v>280708222.84000003</v>
      </c>
      <c r="M12" s="534">
        <f>+'MATRIZ GENERAL CONSOLIDADA'!K11</f>
        <v>0</v>
      </c>
      <c r="N12" s="301">
        <v>0</v>
      </c>
      <c r="O12" s="301">
        <f>+'MATRIZ GENERAL CONSOLIDADA'!E11</f>
        <v>620708222.84000003</v>
      </c>
      <c r="P12" s="301">
        <f>+'MATRIZ GENERAL CONSOLIDADA'!G11</f>
        <v>0</v>
      </c>
      <c r="Q12" s="406">
        <v>0</v>
      </c>
      <c r="R12" s="847"/>
      <c r="S12" s="786" t="s">
        <v>610</v>
      </c>
      <c r="T12" s="372"/>
      <c r="U12" s="372" t="s">
        <v>606</v>
      </c>
    </row>
    <row r="13" spans="1:21" ht="93.75" customHeight="1">
      <c r="A13" s="335" t="str">
        <f>+'MATRIZ GENERAL CONSOLIDADA'!A12</f>
        <v>Porcentaje de especies  invasoras con medidas de prevención, control y manejo en ejecución (IM 14)</v>
      </c>
      <c r="B13" s="308" t="str">
        <f>+'MATRIZ GENERAL CONSOLIDADA'!C12</f>
        <v>%</v>
      </c>
      <c r="C13" s="510">
        <f>+'MATRIZ GENERAL CONSOLIDADA'!D12</f>
        <v>100</v>
      </c>
      <c r="D13" s="510">
        <f>+'MATRIZ GENERAL CONSOLIDADA'!J12</f>
        <v>20</v>
      </c>
      <c r="E13" s="510">
        <f t="shared" si="4"/>
        <v>20</v>
      </c>
      <c r="F13" s="301"/>
      <c r="G13" s="301"/>
      <c r="H13" s="304">
        <f>+'MATRIZ GENERAL CONSOLIDADA'!D12</f>
        <v>100</v>
      </c>
      <c r="I13" s="414">
        <f>+'MATRIZ GENERAL CONSOLIDADA'!F12</f>
        <v>5</v>
      </c>
      <c r="J13" s="301">
        <f>+I13/H13*100</f>
        <v>5</v>
      </c>
      <c r="K13" s="306"/>
      <c r="L13" s="531">
        <f>+'MATRIZ GENERAL CONSOLIDADA'!I12</f>
        <v>5000000</v>
      </c>
      <c r="M13" s="534">
        <f>+'MATRIZ GENERAL CONSOLIDADA'!K12</f>
        <v>0</v>
      </c>
      <c r="N13" s="301">
        <f>+M13/L13*100</f>
        <v>0</v>
      </c>
      <c r="O13" s="301">
        <f>+'MATRIZ GENERAL CONSOLIDADA'!E12</f>
        <v>19999900</v>
      </c>
      <c r="P13" s="301">
        <f>+'MATRIZ GENERAL CONSOLIDADA'!G12</f>
        <v>0</v>
      </c>
      <c r="Q13" s="406">
        <f t="shared" ref="Q13:Q17" si="6">+P13/O13*100</f>
        <v>0</v>
      </c>
      <c r="R13" s="847"/>
      <c r="S13" s="786" t="s">
        <v>610</v>
      </c>
      <c r="T13" s="372" t="s">
        <v>516</v>
      </c>
      <c r="U13" s="372" t="s">
        <v>606</v>
      </c>
    </row>
    <row r="14" spans="1:21" ht="96.75" customHeight="1">
      <c r="A14" s="335" t="str">
        <f>+'MATRIZ GENERAL CONSOLIDADA'!A13</f>
        <v>Porcentaje de áreas protegidas con planes de manejo en ejecución (IM 12)</v>
      </c>
      <c r="B14" s="308" t="str">
        <f>+'MATRIZ GENERAL CONSOLIDADA'!C13</f>
        <v>%</v>
      </c>
      <c r="C14" s="510">
        <f>+'MATRIZ GENERAL CONSOLIDADA'!D13</f>
        <v>100</v>
      </c>
      <c r="D14" s="510">
        <f>+'MATRIZ GENERAL CONSOLIDADA'!J13</f>
        <v>20</v>
      </c>
      <c r="E14" s="510">
        <f t="shared" si="4"/>
        <v>20</v>
      </c>
      <c r="F14" s="301"/>
      <c r="G14" s="301"/>
      <c r="H14" s="304">
        <f>+'MATRIZ GENERAL CONSOLIDADA'!D13</f>
        <v>100</v>
      </c>
      <c r="I14" s="301">
        <f>+'MATRIZ GENERAL CONSOLIDADA'!F13</f>
        <v>20</v>
      </c>
      <c r="J14" s="301">
        <f>+I14/H14*100</f>
        <v>20</v>
      </c>
      <c r="K14" s="306"/>
      <c r="L14" s="531">
        <f>+'MATRIZ GENERAL CONSOLIDADA'!I13</f>
        <v>1902862692.0999999</v>
      </c>
      <c r="M14" s="534">
        <f>+'MATRIZ GENERAL CONSOLIDADA'!K13</f>
        <v>254844477</v>
      </c>
      <c r="N14" s="301" t="s">
        <v>472</v>
      </c>
      <c r="O14" s="301">
        <f>+'MATRIZ GENERAL CONSOLIDADA'!E13</f>
        <v>9573294256.2000008</v>
      </c>
      <c r="P14" s="301">
        <f>+'MATRIZ GENERAL CONSOLIDADA'!G13</f>
        <v>254844477</v>
      </c>
      <c r="Q14" s="406">
        <v>0</v>
      </c>
      <c r="R14" s="847"/>
      <c r="S14" s="786" t="s">
        <v>610</v>
      </c>
      <c r="T14" s="372" t="s">
        <v>517</v>
      </c>
      <c r="U14" s="372" t="s">
        <v>606</v>
      </c>
    </row>
    <row r="15" spans="1:21" ht="102" customHeight="1">
      <c r="A15" s="332" t="str">
        <f>+'MATRIZ GENERAL CONSOLIDADA'!A14</f>
        <v>Porcentaje de áreas de ecosistemas en restauración, rehabilitación y reforestación (IM 15)</v>
      </c>
      <c r="B15" s="308" t="str">
        <f>+'MATRIZ GENERAL CONSOLIDADA'!C14</f>
        <v>%</v>
      </c>
      <c r="C15" s="510">
        <f>+'MATRIZ GENERAL CONSOLIDADA'!D14</f>
        <v>25</v>
      </c>
      <c r="D15" s="510">
        <f>+'MATRIZ GENERAL CONSOLIDADA'!J14</f>
        <v>5</v>
      </c>
      <c r="E15" s="510">
        <f t="shared" si="4"/>
        <v>20</v>
      </c>
      <c r="F15" s="301"/>
      <c r="G15" s="301"/>
      <c r="H15" s="304">
        <f>+'MATRIZ GENERAL CONSOLIDADA'!D14</f>
        <v>25</v>
      </c>
      <c r="I15" s="301">
        <f>+'MATRIZ GENERAL CONSOLIDADA'!F14</f>
        <v>5</v>
      </c>
      <c r="J15" s="301">
        <f t="shared" si="5"/>
        <v>20</v>
      </c>
      <c r="K15" s="306"/>
      <c r="L15" s="531">
        <f>+'MATRIZ GENERAL CONSOLIDADA'!I14</f>
        <v>652210000.04400015</v>
      </c>
      <c r="M15" s="534">
        <f>+'MATRIZ GENERAL CONSOLIDADA'!K14</f>
        <v>0</v>
      </c>
      <c r="N15" s="301" t="s">
        <v>472</v>
      </c>
      <c r="O15" s="301">
        <f>+'MATRIZ GENERAL CONSOLIDADA'!E14</f>
        <v>2763939367.9500003</v>
      </c>
      <c r="P15" s="301">
        <f>+'MATRIZ GENERAL CONSOLIDADA'!G14</f>
        <v>0</v>
      </c>
      <c r="Q15" s="406">
        <v>0</v>
      </c>
      <c r="R15" s="847"/>
      <c r="S15" s="786" t="s">
        <v>610</v>
      </c>
      <c r="T15" s="372" t="s">
        <v>518</v>
      </c>
      <c r="U15" s="372" t="s">
        <v>606</v>
      </c>
    </row>
    <row r="16" spans="1:21" ht="100.5" customHeight="1">
      <c r="A16" s="332" t="str">
        <f>+'MATRIZ GENERAL CONSOLIDADA'!A15</f>
        <v>Porcentaje de especies amenazadas con medidas de conservación y manejo en ejecución (IM 13)</v>
      </c>
      <c r="B16" s="308" t="str">
        <f>+'MATRIZ GENERAL CONSOLIDADA'!C15</f>
        <v>%</v>
      </c>
      <c r="C16" s="510">
        <f>+'MATRIZ GENERAL CONSOLIDADA'!D15</f>
        <v>100</v>
      </c>
      <c r="D16" s="510">
        <f>+'MATRIZ GENERAL CONSOLIDADA'!J15</f>
        <v>20</v>
      </c>
      <c r="E16" s="510">
        <f>+(D16/C16)*100</f>
        <v>20</v>
      </c>
      <c r="F16" s="301"/>
      <c r="G16" s="301"/>
      <c r="H16" s="304">
        <f>+'MATRIZ GENERAL CONSOLIDADA'!D15</f>
        <v>100</v>
      </c>
      <c r="I16" s="301">
        <f>+'MATRIZ GENERAL CONSOLIDADA'!F15</f>
        <v>5</v>
      </c>
      <c r="J16" s="301">
        <f>+I16/H16*100</f>
        <v>5</v>
      </c>
      <c r="K16" s="306"/>
      <c r="L16" s="531">
        <f>+'MATRIZ GENERAL CONSOLIDADA'!I15</f>
        <v>191824064.46000001</v>
      </c>
      <c r="M16" s="534">
        <f>+'MATRIZ GENERAL CONSOLIDADA'!K15</f>
        <v>28635375</v>
      </c>
      <c r="N16" s="301">
        <f>+(M16/L16)*100</f>
        <v>14.927936742770441</v>
      </c>
      <c r="O16" s="301">
        <f>+'MATRIZ GENERAL CONSOLIDADA'!E15</f>
        <v>699607576.46000004</v>
      </c>
      <c r="P16" s="301">
        <f>+'MATRIZ GENERAL CONSOLIDADA'!G15</f>
        <v>28635375</v>
      </c>
      <c r="Q16" s="406">
        <f t="shared" si="6"/>
        <v>4.0930624486507723</v>
      </c>
      <c r="R16" s="785"/>
      <c r="S16" s="786" t="s">
        <v>610</v>
      </c>
      <c r="T16" s="372" t="s">
        <v>519</v>
      </c>
      <c r="U16" s="372" t="s">
        <v>606</v>
      </c>
    </row>
    <row r="17" spans="1:21" ht="82.5" customHeight="1">
      <c r="A17" s="332" t="str">
        <f>+'MATRIZ GENERAL CONSOLIDADA'!A16</f>
        <v>Gestión, Operación, Administración y Promoción del Proyecto apoyados</v>
      </c>
      <c r="B17" s="308" t="str">
        <f>+'MATRIZ GENERAL CONSOLIDADA'!C16</f>
        <v>Global</v>
      </c>
      <c r="C17" s="510">
        <f>+'MATRIZ GENERAL CONSOLIDADA'!D16</f>
        <v>1</v>
      </c>
      <c r="D17" s="510">
        <f>+'MATRIZ GENERAL CONSOLIDADA'!J16</f>
        <v>0.4</v>
      </c>
      <c r="E17" s="510">
        <f>+(D17/C17)*100</f>
        <v>40</v>
      </c>
      <c r="F17" s="301"/>
      <c r="G17" s="301"/>
      <c r="H17" s="304">
        <f>+'MATRIZ GENERAL CONSOLIDADA'!D16</f>
        <v>1</v>
      </c>
      <c r="I17" s="301">
        <f>+'MATRIZ GENERAL CONSOLIDADA'!F16</f>
        <v>0.1</v>
      </c>
      <c r="J17" s="301">
        <f t="shared" si="5"/>
        <v>10</v>
      </c>
      <c r="K17" s="306"/>
      <c r="L17" s="531">
        <f>+'MATRIZ GENERAL CONSOLIDADA'!I16</f>
        <v>51527303</v>
      </c>
      <c r="M17" s="534">
        <f>+'MATRIZ GENERAL CONSOLIDADA'!K16</f>
        <v>47527303</v>
      </c>
      <c r="N17" s="301">
        <f>+(M17/L17)*100</f>
        <v>92.237125238245056</v>
      </c>
      <c r="O17" s="301">
        <f>+'MATRIZ GENERAL CONSOLIDADA'!E16</f>
        <v>223462627.48800001</v>
      </c>
      <c r="P17" s="301">
        <f>+'MATRIZ GENERAL CONSOLIDADA'!G16</f>
        <v>47527303</v>
      </c>
      <c r="Q17" s="406">
        <f t="shared" si="6"/>
        <v>21.268568947866786</v>
      </c>
      <c r="R17" s="785"/>
      <c r="S17" s="372"/>
      <c r="T17" s="372"/>
      <c r="U17" s="372"/>
    </row>
    <row r="18" spans="1:21" ht="82.5" customHeight="1">
      <c r="A18" s="324" t="str">
        <f>+'MATRIZ GENERAL CONSOLIDADA'!A17</f>
        <v>PROYECTO 1.2: CONSERVACION Y USO EFICIENTE DEL RECURSO HÍDRICO</v>
      </c>
      <c r="B18" s="285"/>
      <c r="C18" s="285"/>
      <c r="D18" s="511"/>
      <c r="E18" s="511">
        <f>AVERAGE(E19:E27)</f>
        <v>4.666666666666667</v>
      </c>
      <c r="F18" s="313"/>
      <c r="G18" s="313"/>
      <c r="H18" s="313">
        <f>AVERAGE(H19:H27)</f>
        <v>177.33333333333334</v>
      </c>
      <c r="I18" s="313">
        <f>AVERAGE(I19:I27)</f>
        <v>9.25</v>
      </c>
      <c r="J18" s="313">
        <f>AVERAGE(J19:J27)</f>
        <v>79.722222222222229</v>
      </c>
      <c r="K18" s="313"/>
      <c r="L18" s="284">
        <f>SUM(L19:L27)</f>
        <v>10244390613.299999</v>
      </c>
      <c r="M18" s="284">
        <f>SUM(M19:M27)</f>
        <v>275719531.63199997</v>
      </c>
      <c r="N18" s="284">
        <f>+M18/L18*100</f>
        <v>2.6914195488996797</v>
      </c>
      <c r="O18" s="284">
        <f>SUM(O19:O27)</f>
        <v>42544680309.5</v>
      </c>
      <c r="P18" s="319">
        <f>SUM(P19:P27)</f>
        <v>275719531.63199997</v>
      </c>
      <c r="Q18" s="284">
        <f>+(P18/O18)*100</f>
        <v>0.64807052168736889</v>
      </c>
      <c r="R18" s="787"/>
      <c r="S18" s="372"/>
      <c r="T18" s="372"/>
      <c r="U18" s="372"/>
    </row>
    <row r="19" spans="1:21" ht="82.5" customHeight="1">
      <c r="A19" s="335" t="str">
        <f>+'MATRIZ GENERAL CONSOLIDADA'!A18</f>
        <v xml:space="preserve">Porcentaje de avance en la formulación y/o ajustes de los  Planes de Ordenación y Manejo de Cuencas (POMCAS), Planes de Manejo de Acuíferos (PMA) y Planes de Manejo de Microcuencas (PMM). (IM 1) </v>
      </c>
      <c r="B19" s="303" t="str">
        <f>+'MATRIZ GENERAL CONSOLIDADA'!C18</f>
        <v>%</v>
      </c>
      <c r="C19" s="515">
        <f>+'MATRIZ GENERAL CONSOLIDADA'!H18</f>
        <v>30</v>
      </c>
      <c r="D19" s="510">
        <f>+'MATRIZ GENERAL CONSOLIDADA'!J18</f>
        <v>3</v>
      </c>
      <c r="E19" s="510">
        <f>+(D19/C19)*100</f>
        <v>10</v>
      </c>
      <c r="F19" s="455"/>
      <c r="G19" s="301"/>
      <c r="H19" s="304">
        <f>+'MATRIZ GENERAL CONSOLIDADA'!D18</f>
        <v>30</v>
      </c>
      <c r="I19" s="301">
        <f>+'MATRIZ GENERAL CONSOLIDADA'!F18</f>
        <v>63.75</v>
      </c>
      <c r="J19" s="301">
        <f>+I19/H19*100</f>
        <v>212.5</v>
      </c>
      <c r="K19" s="306"/>
      <c r="L19" s="531">
        <f>+'MATRIZ GENERAL CONSOLIDADA'!I18</f>
        <v>675782143.39999998</v>
      </c>
      <c r="M19" s="534">
        <f>+'MATRIZ GENERAL CONSOLIDADA'!K18</f>
        <v>10184422</v>
      </c>
      <c r="N19" s="301">
        <v>0</v>
      </c>
      <c r="O19" s="301">
        <f>+'MATRIZ GENERAL CONSOLIDADA'!E18</f>
        <v>3390558888.8000002</v>
      </c>
      <c r="P19" s="301">
        <f>+'MATRIZ GENERAL CONSOLIDADA'!G18</f>
        <v>10184422</v>
      </c>
      <c r="Q19" s="406">
        <v>0</v>
      </c>
      <c r="R19" s="847"/>
      <c r="S19" s="786" t="s">
        <v>611</v>
      </c>
      <c r="T19" s="372" t="s">
        <v>522</v>
      </c>
      <c r="U19" s="372" t="s">
        <v>603</v>
      </c>
    </row>
    <row r="20" spans="1:21" ht="102" customHeight="1">
      <c r="A20" s="335" t="str">
        <f>+'MATRIZ GENERAL CONSOLIDADA'!A19</f>
        <v>Porcentaje de Planes de Ordenación y Manejo de Cuencas (POMCAS), Planes de Manejo de Acuíferos (PMA) y Planes de Manejo de Microcuencas (PMM) en ejecución (IM 6)</v>
      </c>
      <c r="B20" s="303" t="str">
        <f>+'MATRIZ GENERAL CONSOLIDADA'!C19</f>
        <v>%</v>
      </c>
      <c r="C20" s="515">
        <f>+'MATRIZ GENERAL CONSOLIDADA'!H19</f>
        <v>100</v>
      </c>
      <c r="D20" s="510">
        <f>+'MATRIZ GENERAL CONSOLIDADA'!J19</f>
        <v>10</v>
      </c>
      <c r="E20" s="510">
        <f>+(D20/C20)*100</f>
        <v>10</v>
      </c>
      <c r="F20" s="455"/>
      <c r="G20" s="301"/>
      <c r="H20" s="304">
        <f>+'MATRIZ GENERAL CONSOLIDADA'!D19</f>
        <v>100</v>
      </c>
      <c r="I20" s="301">
        <f>+'MATRIZ GENERAL CONSOLIDADA'!F19</f>
        <v>5</v>
      </c>
      <c r="J20" s="301">
        <f>+I20/H20*100</f>
        <v>5</v>
      </c>
      <c r="K20" s="306"/>
      <c r="L20" s="531">
        <f>+'MATRIZ GENERAL CONSOLIDADA'!I19</f>
        <v>4133045375.4000001</v>
      </c>
      <c r="M20" s="534">
        <f>+'MATRIZ GENERAL CONSOLIDADA'!K19</f>
        <v>178236212.81999999</v>
      </c>
      <c r="N20" s="301">
        <f t="shared" ref="N20:N27" si="7">+(M20/L20)*100</f>
        <v>4.3124668768667975</v>
      </c>
      <c r="O20" s="301">
        <f>+'MATRIZ GENERAL CONSOLIDADA'!E19</f>
        <v>22243001773.199997</v>
      </c>
      <c r="P20" s="301">
        <f>+'MATRIZ GENERAL CONSOLIDADA'!G19</f>
        <v>178236212.81999999</v>
      </c>
      <c r="Q20" s="406">
        <f t="shared" ref="Q20:Q52" si="8">+(P20/O20)*100</f>
        <v>0.80131366547276039</v>
      </c>
      <c r="R20" s="847"/>
      <c r="S20" s="786" t="s">
        <v>611</v>
      </c>
      <c r="T20" s="372" t="s">
        <v>523</v>
      </c>
      <c r="U20" s="372" t="s">
        <v>603</v>
      </c>
    </row>
    <row r="21" spans="1:21" ht="82.5" customHeight="1">
      <c r="A21" s="335" t="str">
        <f>+'MATRIZ GENERAL CONSOLIDADA'!A20</f>
        <v>Porcentaje de suelos degradados en recuperación o rehabilitacón (IM 8)</v>
      </c>
      <c r="B21" s="303" t="str">
        <f>+'MATRIZ GENERAL CONSOLIDADA'!C20</f>
        <v>%</v>
      </c>
      <c r="C21" s="515">
        <f>+'MATRIZ GENERAL CONSOLIDADA'!H20</f>
        <v>100</v>
      </c>
      <c r="D21" s="510">
        <f>+'MATRIZ GENERAL CONSOLIDADA'!J20</f>
        <v>0</v>
      </c>
      <c r="E21" s="510">
        <f t="shared" ref="E21:E22" si="9">+(D21/C21)*100</f>
        <v>0</v>
      </c>
      <c r="F21" s="455"/>
      <c r="G21" s="301"/>
      <c r="H21" s="304">
        <f>+'MATRIZ GENERAL CONSOLIDADA'!D20</f>
        <v>100</v>
      </c>
      <c r="I21" s="301">
        <f>+'MATRIZ GENERAL CONSOLIDADA'!F20</f>
        <v>0</v>
      </c>
      <c r="J21" s="301">
        <f>+I21/H21*100</f>
        <v>0</v>
      </c>
      <c r="K21" s="306"/>
      <c r="L21" s="531">
        <f>+'MATRIZ GENERAL CONSOLIDADA'!I20</f>
        <v>0</v>
      </c>
      <c r="M21" s="534">
        <f>+'MATRIZ GENERAL CONSOLIDADA'!K20</f>
        <v>0</v>
      </c>
      <c r="N21" s="301">
        <v>0</v>
      </c>
      <c r="O21" s="301">
        <f>+'MATRIZ GENERAL CONSOLIDADA'!E20</f>
        <v>0</v>
      </c>
      <c r="P21" s="301">
        <f>+'MATRIZ GENERAL CONSOLIDADA'!G20</f>
        <v>0</v>
      </c>
      <c r="Q21" s="406">
        <v>0</v>
      </c>
      <c r="R21" s="847"/>
      <c r="S21" s="786" t="s">
        <v>611</v>
      </c>
      <c r="T21" s="372" t="s">
        <v>524</v>
      </c>
      <c r="U21" s="372" t="s">
        <v>603</v>
      </c>
    </row>
    <row r="22" spans="1:21" ht="82.5" customHeight="1">
      <c r="A22" s="332" t="str">
        <f>+'MATRIZ GENERAL CONSOLIDADA'!A21</f>
        <v>Ha. Recuperadas  y/o rehabilitadas, de suelos degradados por erosión y/o afectación de incendios forestales. Incluye asistencia técnica, capacitación, interventoria, apoyo losgistico (Transporte, almuerzos y refrigerios)</v>
      </c>
      <c r="B22" s="303" t="str">
        <f>+'MATRIZ GENERAL CONSOLIDADA'!C21</f>
        <v xml:space="preserve">Hectáreas </v>
      </c>
      <c r="C22" s="515">
        <f>+'MATRIZ GENERAL CONSOLIDADA'!H21</f>
        <v>25</v>
      </c>
      <c r="D22" s="528">
        <f>+'MATRIZ GENERAL CONSOLIDADA'!J21</f>
        <v>2.5</v>
      </c>
      <c r="E22" s="510">
        <f t="shared" si="9"/>
        <v>10</v>
      </c>
      <c r="F22" s="455"/>
      <c r="G22" s="301"/>
      <c r="H22" s="304">
        <f>+'MATRIZ GENERAL CONSOLIDADA'!D21</f>
        <v>25</v>
      </c>
      <c r="I22" s="301">
        <f>+'MATRIZ GENERAL CONSOLIDADA'!F21</f>
        <v>2.5</v>
      </c>
      <c r="J22" s="301">
        <v>100</v>
      </c>
      <c r="K22" s="306"/>
      <c r="L22" s="531">
        <f>+'MATRIZ GENERAL CONSOLIDADA'!I21</f>
        <v>66787200</v>
      </c>
      <c r="M22" s="534">
        <f>+'MATRIZ GENERAL CONSOLIDADA'!K21</f>
        <v>5020000</v>
      </c>
      <c r="N22" s="301">
        <f t="shared" si="7"/>
        <v>7.5164103301231373</v>
      </c>
      <c r="O22" s="301">
        <f>+'MATRIZ GENERAL CONSOLIDADA'!E21</f>
        <v>403037761</v>
      </c>
      <c r="P22" s="301">
        <f>+'MATRIZ GENERAL CONSOLIDADA'!G21</f>
        <v>5020000</v>
      </c>
      <c r="Q22" s="406">
        <f t="shared" si="8"/>
        <v>1.2455408613685703</v>
      </c>
      <c r="R22" s="847"/>
      <c r="S22" s="786" t="s">
        <v>611</v>
      </c>
      <c r="T22" s="372"/>
      <c r="U22" s="372" t="s">
        <v>603</v>
      </c>
    </row>
    <row r="23" spans="1:21" ht="82.5" customHeight="1">
      <c r="A23" s="332" t="str">
        <f>+'MATRIZ GENERAL CONSOLIDADA'!A22</f>
        <v>Porcetaje de áreas reforestadas gestionadas y con mantenimiento para la protección de cuencas abastecedoras.</v>
      </c>
      <c r="B23" s="303" t="str">
        <f>+'MATRIZ GENERAL CONSOLIDADA'!C22</f>
        <v>%</v>
      </c>
      <c r="C23" s="515">
        <f>+'MATRIZ GENERAL CONSOLIDADA'!H22</f>
        <v>100</v>
      </c>
      <c r="D23" s="510">
        <f>+'MATRIZ GENERAL CONSOLIDADA'!J22</f>
        <v>12</v>
      </c>
      <c r="E23" s="510">
        <f>+(D23/C23)*100</f>
        <v>12</v>
      </c>
      <c r="F23" s="455"/>
      <c r="G23" s="301"/>
      <c r="H23" s="304">
        <f>+'MATRIZ GENERAL CONSOLIDADA'!D22</f>
        <v>400</v>
      </c>
      <c r="I23" s="301">
        <f>+'MATRIZ GENERAL CONSOLIDADA'!F22</f>
        <v>12</v>
      </c>
      <c r="J23" s="301">
        <v>100</v>
      </c>
      <c r="K23" s="306"/>
      <c r="L23" s="531">
        <f>+'MATRIZ GENERAL CONSOLIDADA'!I22</f>
        <v>304823665.39999998</v>
      </c>
      <c r="M23" s="534">
        <f>+'MATRIZ GENERAL CONSOLIDADA'!K22</f>
        <v>37542845</v>
      </c>
      <c r="N23" s="301">
        <f t="shared" si="7"/>
        <v>12.316250101754731</v>
      </c>
      <c r="O23" s="301">
        <f>+'MATRIZ GENERAL CONSOLIDADA'!E22</f>
        <v>1301609346.4000001</v>
      </c>
      <c r="P23" s="301">
        <f>+'MATRIZ GENERAL CONSOLIDADA'!G22</f>
        <v>37542845</v>
      </c>
      <c r="Q23" s="406">
        <f t="shared" si="8"/>
        <v>2.8843404592811392</v>
      </c>
      <c r="R23" s="785"/>
      <c r="S23" s="786" t="s">
        <v>611</v>
      </c>
      <c r="T23" s="372"/>
      <c r="U23" s="372" t="s">
        <v>603</v>
      </c>
    </row>
    <row r="24" spans="1:21" ht="82.5" customHeight="1">
      <c r="A24" s="332" t="str">
        <f>+'MATRIZ GENERAL CONSOLIDADA'!A23</f>
        <v xml:space="preserve">Ha. revegetalizadas naturalmente para la protección de cuencas abastecedoras </v>
      </c>
      <c r="B24" s="303" t="str">
        <f>+'MATRIZ GENERAL CONSOLIDADA'!C23</f>
        <v xml:space="preserve">Hectáreas </v>
      </c>
      <c r="C24" s="515">
        <f>+'MATRIZ GENERAL CONSOLIDADA'!H23</f>
        <v>500</v>
      </c>
      <c r="D24" s="510">
        <f>+'MATRIZ GENERAL CONSOLIDADA'!J23</f>
        <v>0</v>
      </c>
      <c r="E24" s="510">
        <f>+(D24/C24)*100</f>
        <v>0</v>
      </c>
      <c r="F24" s="455"/>
      <c r="G24" s="301"/>
      <c r="H24" s="304">
        <f>+'MATRIZ GENERAL CONSOLIDADA'!D23</f>
        <v>500</v>
      </c>
      <c r="I24" s="301">
        <f>+'MATRIZ GENERAL CONSOLIDADA'!F23</f>
        <v>0</v>
      </c>
      <c r="J24" s="301">
        <f>+I24/H24*100</f>
        <v>0</v>
      </c>
      <c r="K24" s="306"/>
      <c r="L24" s="531">
        <f>+'MATRIZ GENERAL CONSOLIDADA'!I23</f>
        <v>703407316.10000002</v>
      </c>
      <c r="M24" s="534">
        <f>+'MATRIZ GENERAL CONSOLIDADA'!K23</f>
        <v>33702927.811999999</v>
      </c>
      <c r="N24" s="301">
        <f t="shared" si="7"/>
        <v>4.7913814713875702</v>
      </c>
      <c r="O24" s="301">
        <f>+'MATRIZ GENERAL CONSOLIDADA'!E23</f>
        <v>1775037937.0999999</v>
      </c>
      <c r="P24" s="301">
        <f>+'MATRIZ GENERAL CONSOLIDADA'!G23</f>
        <v>33702927.811999999</v>
      </c>
      <c r="Q24" s="406">
        <f>+(P24/O24)*100</f>
        <v>1.898715915168707</v>
      </c>
      <c r="R24" s="785"/>
      <c r="S24" s="786" t="s">
        <v>611</v>
      </c>
      <c r="T24" s="372"/>
      <c r="U24" s="372" t="s">
        <v>603</v>
      </c>
    </row>
    <row r="25" spans="1:21" ht="82.5" customHeight="1">
      <c r="A25" s="332" t="str">
        <f>+'MATRIZ GENERAL CONSOLIDADA'!A24</f>
        <v>Porcentaje de áreas revegetalizadas naturalmente para la protección de cuencas abastecedoras con mantenimiento.</v>
      </c>
      <c r="B25" s="303" t="str">
        <f>+'MATRIZ GENERAL CONSOLIDADA'!C24</f>
        <v>%</v>
      </c>
      <c r="C25" s="515">
        <f>+'MATRIZ GENERAL CONSOLIDADA'!H22</f>
        <v>100</v>
      </c>
      <c r="D25" s="510">
        <f>+'MATRIZ GENERAL CONSOLIDADA'!J24</f>
        <v>0</v>
      </c>
      <c r="E25" s="510">
        <f t="shared" ref="E25:E27" si="10">+(D25/C25)*100</f>
        <v>0</v>
      </c>
      <c r="F25" s="455"/>
      <c r="G25" s="301"/>
      <c r="H25" s="304">
        <f>+'MATRIZ GENERAL CONSOLIDADA'!D24</f>
        <v>100</v>
      </c>
      <c r="I25" s="301">
        <f>+'MATRIZ GENERAL CONSOLIDADA'!F24</f>
        <v>0</v>
      </c>
      <c r="J25" s="301">
        <v>100</v>
      </c>
      <c r="K25" s="306"/>
      <c r="L25" s="531">
        <f>+'MATRIZ GENERAL CONSOLIDADA'!I24</f>
        <v>398051099</v>
      </c>
      <c r="M25" s="534">
        <f>+'MATRIZ GENERAL CONSOLIDADA'!K24</f>
        <v>0</v>
      </c>
      <c r="N25" s="301">
        <f t="shared" si="7"/>
        <v>0</v>
      </c>
      <c r="O25" s="301">
        <f>+'MATRIZ GENERAL CONSOLIDADA'!E24</f>
        <v>2351599580</v>
      </c>
      <c r="P25" s="301">
        <f>+'MATRIZ GENERAL CONSOLIDADA'!G24</f>
        <v>0</v>
      </c>
      <c r="Q25" s="406">
        <f t="shared" si="8"/>
        <v>0</v>
      </c>
      <c r="R25" s="785"/>
      <c r="S25" s="786" t="s">
        <v>611</v>
      </c>
      <c r="T25" s="372"/>
      <c r="U25" s="372" t="s">
        <v>603</v>
      </c>
    </row>
    <row r="26" spans="1:21" ht="82.5" customHeight="1">
      <c r="A26" s="332" t="str">
        <f>+'MATRIZ GENERAL CONSOLIDADA'!A25</f>
        <v>Ha. adquiridas y administradas para la restauración  y conservación de áreas estratégicas en cuencas hidrográficas abastecedoras de acueductos municipales y/o veredales</v>
      </c>
      <c r="B26" s="303" t="str">
        <f>+'MATRIZ GENERAL CONSOLIDADA'!C25</f>
        <v xml:space="preserve">Hectáreas </v>
      </c>
      <c r="C26" s="515">
        <f>+'MATRIZ GENERAL CONSOLIDADA'!H25</f>
        <v>340</v>
      </c>
      <c r="D26" s="510">
        <f>+'MATRIZ GENERAL CONSOLIDADA'!J25</f>
        <v>0</v>
      </c>
      <c r="E26" s="510">
        <f t="shared" si="10"/>
        <v>0</v>
      </c>
      <c r="F26" s="455"/>
      <c r="G26" s="301"/>
      <c r="H26" s="304">
        <f>+'MATRIZ GENERAL CONSOLIDADA'!D25</f>
        <v>340</v>
      </c>
      <c r="I26" s="301">
        <f>+'MATRIZ GENERAL CONSOLIDADA'!F25</f>
        <v>0</v>
      </c>
      <c r="J26" s="301">
        <v>100</v>
      </c>
      <c r="K26" s="306"/>
      <c r="L26" s="531">
        <f>+'MATRIZ GENERAL CONSOLIDADA'!I25</f>
        <v>385530542</v>
      </c>
      <c r="M26" s="534">
        <f>+'MATRIZ GENERAL CONSOLIDADA'!K25</f>
        <v>11033124</v>
      </c>
      <c r="N26" s="301">
        <f t="shared" si="7"/>
        <v>2.8618028399939321</v>
      </c>
      <c r="O26" s="301">
        <f>+'MATRIZ GENERAL CONSOLIDADA'!E25</f>
        <v>1456863662</v>
      </c>
      <c r="P26" s="301">
        <f>+'MATRIZ GENERAL CONSOLIDADA'!G25</f>
        <v>11033124</v>
      </c>
      <c r="Q26" s="406">
        <f t="shared" si="8"/>
        <v>0.75732028245207206</v>
      </c>
      <c r="R26" s="785"/>
      <c r="S26" s="786" t="s">
        <v>611</v>
      </c>
      <c r="T26" s="372"/>
      <c r="U26" s="372" t="s">
        <v>603</v>
      </c>
    </row>
    <row r="27" spans="1:21" ht="99" customHeight="1">
      <c r="A27" s="332" t="str">
        <f>+'MATRIZ GENERAL CONSOLIDADA'!A26</f>
        <v>No. De convenios  para cofinanciar la construcción  y seguimiento a proyectos de saneamiento ambiental hídrico como: interceptores, emisarios finales,  sistemas de tratamiento de aguas residuales domésticas y/o estudios y diseños asociados a estas obras.</v>
      </c>
      <c r="B27" s="303" t="str">
        <f>+'MATRIZ GENERAL CONSOLIDADA'!C26</f>
        <v>Und</v>
      </c>
      <c r="C27" s="515">
        <f>+'MATRIZ GENERAL CONSOLIDADA'!H26</f>
        <v>1</v>
      </c>
      <c r="D27" s="510">
        <f>+'MATRIZ GENERAL CONSOLIDADA'!J26</f>
        <v>0</v>
      </c>
      <c r="E27" s="510">
        <f t="shared" si="10"/>
        <v>0</v>
      </c>
      <c r="F27" s="455"/>
      <c r="G27" s="301"/>
      <c r="H27" s="304">
        <f>+'MATRIZ GENERAL CONSOLIDADA'!D26</f>
        <v>1</v>
      </c>
      <c r="I27" s="301">
        <f>+'MATRIZ GENERAL CONSOLIDADA'!F26</f>
        <v>0</v>
      </c>
      <c r="J27" s="301">
        <v>100</v>
      </c>
      <c r="K27" s="306"/>
      <c r="L27" s="531">
        <f>+'MATRIZ GENERAL CONSOLIDADA'!I26</f>
        <v>3576963272</v>
      </c>
      <c r="M27" s="534">
        <f>+'MATRIZ GENERAL CONSOLIDADA'!K26</f>
        <v>0</v>
      </c>
      <c r="N27" s="301">
        <f t="shared" si="7"/>
        <v>0</v>
      </c>
      <c r="O27" s="301">
        <f>+'MATRIZ GENERAL CONSOLIDADA'!E26</f>
        <v>9622971361</v>
      </c>
      <c r="P27" s="301">
        <f>+'MATRIZ GENERAL CONSOLIDADA'!G26</f>
        <v>0</v>
      </c>
      <c r="Q27" s="406">
        <f t="shared" si="8"/>
        <v>0</v>
      </c>
      <c r="R27" s="785"/>
      <c r="S27" s="786" t="s">
        <v>611</v>
      </c>
      <c r="T27" s="372"/>
      <c r="U27" s="372" t="s">
        <v>603</v>
      </c>
    </row>
    <row r="28" spans="1:21" ht="82.5" customHeight="1">
      <c r="A28" s="795" t="s">
        <v>437</v>
      </c>
      <c r="B28" s="321"/>
      <c r="C28" s="321"/>
      <c r="D28" s="512"/>
      <c r="E28" s="517">
        <f>AVERAGE(E29,E33)</f>
        <v>55.75</v>
      </c>
      <c r="F28" s="431"/>
      <c r="G28" s="431"/>
      <c r="H28" s="322">
        <f>AVERAGE(H29,H33)</f>
        <v>25095.833333333332</v>
      </c>
      <c r="I28" s="322">
        <f>AVERAGE(I29,I33)</f>
        <v>295.5</v>
      </c>
      <c r="J28" s="323">
        <f>AVERAGE(J29,J33)</f>
        <v>176.24254473161034</v>
      </c>
      <c r="K28" s="796"/>
      <c r="L28" s="796">
        <f>+L29+L33</f>
        <v>334519644</v>
      </c>
      <c r="M28" s="796">
        <f>+M29+M33</f>
        <v>209552402</v>
      </c>
      <c r="N28" s="323">
        <f>+M28/L28*100</f>
        <v>62.642779208505914</v>
      </c>
      <c r="O28" s="323">
        <f>+O29+O33</f>
        <v>3747565144</v>
      </c>
      <c r="P28" s="323">
        <f>+P29+P33</f>
        <v>209552402</v>
      </c>
      <c r="Q28" s="323">
        <f t="shared" si="8"/>
        <v>5.5916947123788283</v>
      </c>
      <c r="R28" s="785"/>
      <c r="S28" s="372"/>
      <c r="T28" s="372"/>
      <c r="U28" s="372"/>
    </row>
    <row r="29" spans="1:21" ht="82.5" customHeight="1">
      <c r="A29" s="324" t="str">
        <f>+'MATRIZ GENERAL CONSOLIDADA'!A28</f>
        <v>Proyecto No. 2.1  Desarrollo sectorial sostenible</v>
      </c>
      <c r="B29" s="324"/>
      <c r="C29" s="285"/>
      <c r="D29" s="511"/>
      <c r="E29" s="511">
        <f>AVERAGE(E30:E32)</f>
        <v>59</v>
      </c>
      <c r="F29" s="313"/>
      <c r="G29" s="313"/>
      <c r="H29" s="313">
        <f>AVERAGE(H30:H32)</f>
        <v>167.66666666666666</v>
      </c>
      <c r="I29" s="313">
        <f>AVERAGE(I30:I32)</f>
        <v>591</v>
      </c>
      <c r="J29" s="405">
        <f>+(I29/H29)*100</f>
        <v>352.48508946322067</v>
      </c>
      <c r="K29" s="405"/>
      <c r="L29" s="284">
        <f>SUM(L30:L32)</f>
        <v>203528147</v>
      </c>
      <c r="M29" s="284">
        <f>SUM(M30:M32)</f>
        <v>79513506</v>
      </c>
      <c r="N29" s="284">
        <f>+M29/L29*100</f>
        <v>39.067572309789661</v>
      </c>
      <c r="O29" s="284">
        <f>SUM(O30:O32)</f>
        <v>1966932879</v>
      </c>
      <c r="P29" s="320">
        <f>SUM(P30:P32)</f>
        <v>79513506</v>
      </c>
      <c r="Q29" s="284">
        <f>+(P29/O29)*100</f>
        <v>4.042512423729737</v>
      </c>
      <c r="R29" s="785"/>
      <c r="S29" s="372"/>
      <c r="T29" s="372"/>
      <c r="U29" s="372"/>
    </row>
    <row r="30" spans="1:21" ht="82.5" customHeight="1">
      <c r="A30" s="336" t="str">
        <f>+'MATRIZ GENERAL CONSOLIDADA'!A29</f>
        <v>Porcentaje de sectores con acompañamiento para la reconversión hacia sistemas sostenibles de producción (IM 18)</v>
      </c>
      <c r="B30" s="304" t="str">
        <f>+'MATRIZ GENERAL CONSOLIDADA'!C29</f>
        <v>%</v>
      </c>
      <c r="C30" s="515">
        <f>+'MATRIZ GENERAL CONSOLIDADA'!H29</f>
        <v>100</v>
      </c>
      <c r="D30" s="510">
        <f>+'MATRIZ GENERAL CONSOLIDADA'!J29</f>
        <v>45</v>
      </c>
      <c r="E30" s="510">
        <f t="shared" ref="E30:E32" si="11">+(D30/C30)*100</f>
        <v>45</v>
      </c>
      <c r="F30" s="455"/>
      <c r="G30" s="301"/>
      <c r="H30" s="304">
        <f>+'MATRIZ GENERAL CONSOLIDADA'!D29</f>
        <v>400</v>
      </c>
      <c r="I30" s="301">
        <f>+'MATRIZ GENERAL CONSOLIDADA'!F29</f>
        <v>45</v>
      </c>
      <c r="J30" s="301">
        <f>+(I30/H30)*100</f>
        <v>11.25</v>
      </c>
      <c r="K30" s="306"/>
      <c r="L30" s="531">
        <f>+'MATRIZ GENERAL CONSOLIDADA'!I29</f>
        <v>72999300</v>
      </c>
      <c r="M30" s="531">
        <f>+'MATRIZ GENERAL CONSOLIDADA'!K29</f>
        <v>29995410</v>
      </c>
      <c r="N30" s="301">
        <v>0</v>
      </c>
      <c r="O30" s="301">
        <f>+'MATRIZ GENERAL CONSOLIDADA'!E29</f>
        <v>1250457176</v>
      </c>
      <c r="P30" s="301">
        <f>+'MATRIZ GENERAL CONSOLIDADA'!G29</f>
        <v>29995410</v>
      </c>
      <c r="Q30" s="406">
        <v>0</v>
      </c>
      <c r="R30" s="847"/>
      <c r="S30" s="786" t="s">
        <v>609</v>
      </c>
      <c r="T30" s="372" t="s">
        <v>546</v>
      </c>
      <c r="U30" s="788" t="s">
        <v>604</v>
      </c>
    </row>
    <row r="31" spans="1:21" ht="82.5" customHeight="1">
      <c r="A31" s="332" t="str">
        <f>+'MATRIZ GENERAL CONSOLIDADA'!A30</f>
        <v>Identificación, promoción y aplicación de energías alternativas y/o utilización de sistemas ecoeficientes de combustión en sectores productivos y/o para uso doméstico</v>
      </c>
      <c r="B31" s="304" t="str">
        <f>+'MATRIZ GENERAL CONSOLIDADA'!C30</f>
        <v>%</v>
      </c>
      <c r="C31" s="515">
        <f>+'MATRIZ GENERAL CONSOLIDADA'!H30</f>
        <v>25</v>
      </c>
      <c r="D31" s="510">
        <f>+'MATRIZ GENERAL CONSOLIDADA'!J30</f>
        <v>8</v>
      </c>
      <c r="E31" s="528">
        <f t="shared" si="11"/>
        <v>32</v>
      </c>
      <c r="F31" s="455"/>
      <c r="G31" s="301"/>
      <c r="H31" s="304">
        <f>+'MATRIZ GENERAL CONSOLIDADA'!D30</f>
        <v>100</v>
      </c>
      <c r="I31" s="301">
        <f>+'MATRIZ GENERAL CONSOLIDADA'!F30</f>
        <v>1728</v>
      </c>
      <c r="J31" s="301">
        <f>+(I31/H31)*100</f>
        <v>1728</v>
      </c>
      <c r="K31" s="306"/>
      <c r="L31" s="531">
        <f>+'MATRIZ GENERAL CONSOLIDADA'!I30</f>
        <v>111130751</v>
      </c>
      <c r="M31" s="531">
        <f>+'MATRIZ GENERAL CONSOLIDADA'!K30</f>
        <v>30120000</v>
      </c>
      <c r="N31" s="301" t="s">
        <v>472</v>
      </c>
      <c r="O31" s="301">
        <f>+'MATRIZ GENERAL CONSOLIDADA'!E30</f>
        <v>618265107</v>
      </c>
      <c r="P31" s="301">
        <f>+'MATRIZ GENERAL CONSOLIDADA'!G30</f>
        <v>30120000</v>
      </c>
      <c r="Q31" s="406">
        <f t="shared" si="8"/>
        <v>4.8716965681843014</v>
      </c>
      <c r="R31" s="847"/>
      <c r="S31" s="372" t="s">
        <v>609</v>
      </c>
      <c r="T31" s="372"/>
      <c r="U31" s="788" t="s">
        <v>604</v>
      </c>
    </row>
    <row r="32" spans="1:21" ht="82.5" customHeight="1">
      <c r="A32" s="332" t="str">
        <f>+'MATRIZ GENERAL CONSOLIDADA'!A31</f>
        <v>Apoyo a la  Gestión, Operación, Administración y Promoción del Proyecto</v>
      </c>
      <c r="B32" s="304" t="str">
        <f>+'MATRIZ GENERAL CONSOLIDADA'!C31</f>
        <v>Global</v>
      </c>
      <c r="C32" s="515">
        <f>+'MATRIZ GENERAL CONSOLIDADA'!H31</f>
        <v>1</v>
      </c>
      <c r="D32" s="528">
        <f>+'MATRIZ GENERAL CONSOLIDADA'!J31</f>
        <v>1</v>
      </c>
      <c r="E32" s="510">
        <f t="shared" si="11"/>
        <v>100</v>
      </c>
      <c r="F32" s="455"/>
      <c r="G32" s="301"/>
      <c r="H32" s="304">
        <f>+'MATRIZ GENERAL CONSOLIDADA'!D31</f>
        <v>3</v>
      </c>
      <c r="I32" s="301">
        <f>+'MATRIZ GENERAL CONSOLIDADA'!F31</f>
        <v>0</v>
      </c>
      <c r="J32" s="301">
        <f t="shared" ref="J32" si="12">+(I32/H32)*100</f>
        <v>0</v>
      </c>
      <c r="K32" s="306"/>
      <c r="L32" s="531">
        <f>+'MATRIZ GENERAL CONSOLIDADA'!I31</f>
        <v>19398096</v>
      </c>
      <c r="M32" s="531">
        <f>+'MATRIZ GENERAL CONSOLIDADA'!K31</f>
        <v>19398096</v>
      </c>
      <c r="N32" s="301">
        <v>0</v>
      </c>
      <c r="O32" s="301">
        <f>+'MATRIZ GENERAL CONSOLIDADA'!E31</f>
        <v>98210596</v>
      </c>
      <c r="P32" s="301">
        <f>+'MATRIZ GENERAL CONSOLIDADA'!G31</f>
        <v>19398096</v>
      </c>
      <c r="Q32" s="406">
        <f t="shared" si="8"/>
        <v>19.751530680050042</v>
      </c>
      <c r="R32" s="785"/>
      <c r="S32" s="372"/>
      <c r="T32" s="372"/>
      <c r="U32" s="788"/>
    </row>
    <row r="33" spans="1:21" ht="82.5" customHeight="1">
      <c r="A33" s="324" t="str">
        <f>+'MATRIZ GENERAL CONSOLIDADA'!A32</f>
        <v xml:space="preserve">Proyecto No. 2.2 Negocios verdes </v>
      </c>
      <c r="B33" s="285"/>
      <c r="C33" s="285"/>
      <c r="D33" s="511"/>
      <c r="E33" s="511">
        <f>AVERAGE(E34:E35)</f>
        <v>52.5</v>
      </c>
      <c r="F33" s="313"/>
      <c r="G33" s="313"/>
      <c r="H33" s="313">
        <f>AVERAGE(H34:H35)</f>
        <v>50024</v>
      </c>
      <c r="I33" s="313">
        <f>AVERAGE(I34:I35)</f>
        <v>0</v>
      </c>
      <c r="J33" s="284">
        <f>+(I33/H33)*100</f>
        <v>0</v>
      </c>
      <c r="K33" s="284"/>
      <c r="L33" s="284">
        <f>SUM(L34:L35)</f>
        <v>130991497</v>
      </c>
      <c r="M33" s="284">
        <f>SUM(M34:M35)</f>
        <v>130038896</v>
      </c>
      <c r="N33" s="284">
        <f>+(M33/L33)*100</f>
        <v>99.272776461208011</v>
      </c>
      <c r="O33" s="284">
        <f>SUM(O34:O35)</f>
        <v>1780632265</v>
      </c>
      <c r="P33" s="320">
        <f>SUM(P34:P35)</f>
        <v>130038896</v>
      </c>
      <c r="Q33" s="284">
        <f>+(P33/O33)*100</f>
        <v>7.3029619060620581</v>
      </c>
      <c r="R33" s="785"/>
      <c r="S33" s="372"/>
      <c r="T33" s="372"/>
      <c r="U33" s="372"/>
    </row>
    <row r="34" spans="1:21" ht="82.5" customHeight="1">
      <c r="A34" s="335" t="str">
        <f>+'MATRIZ GENERAL CONSOLIDADA'!A33</f>
        <v>Implementación del Programa Regional de Negocios Verdes por la autoridad ambiental (IM 20)</v>
      </c>
      <c r="B34" s="304" t="str">
        <f>+'MATRIZ GENERAL CONSOLIDADA'!C33</f>
        <v>%</v>
      </c>
      <c r="C34" s="510">
        <f>+'MATRIZ GENERAL CONSOLIDADA'!H33</f>
        <v>100</v>
      </c>
      <c r="D34" s="510">
        <f>+'MATRIZ GENERAL CONSOLIDADA'!J33</f>
        <v>65</v>
      </c>
      <c r="E34" s="510">
        <f>+(D34/C34)*100</f>
        <v>65</v>
      </c>
      <c r="F34" s="455"/>
      <c r="G34" s="301"/>
      <c r="H34" s="304">
        <f>+'MATRIZ GENERAL CONSOLIDADA'!D33</f>
        <v>100</v>
      </c>
      <c r="I34" s="327">
        <f>+'MATRIZ GENERAL CONSOLIDADA'!F33</f>
        <v>0</v>
      </c>
      <c r="J34" s="301">
        <f t="shared" ref="J34" si="13">+(I34/H34)*100</f>
        <v>0</v>
      </c>
      <c r="K34" s="306"/>
      <c r="L34" s="532">
        <f>+'MATRIZ GENERAL CONSOLIDADA'!I33</f>
        <v>111593401</v>
      </c>
      <c r="M34" s="532">
        <f>+'MATRIZ GENERAL CONSOLIDADA'!K33</f>
        <v>110640800</v>
      </c>
      <c r="N34" s="301">
        <v>0</v>
      </c>
      <c r="O34" s="301">
        <f>+'MATRIZ GENERAL CONSOLIDADA'!E33</f>
        <v>1682421669</v>
      </c>
      <c r="P34" s="301">
        <f>+'MATRIZ GENERAL CONSOLIDADA'!G33</f>
        <v>110640800</v>
      </c>
      <c r="Q34" s="406">
        <v>0</v>
      </c>
      <c r="R34" s="847"/>
      <c r="S34" s="372" t="s">
        <v>609</v>
      </c>
      <c r="T34" s="372" t="s">
        <v>550</v>
      </c>
      <c r="U34" s="788" t="s">
        <v>607</v>
      </c>
    </row>
    <row r="35" spans="1:21" ht="82.5" customHeight="1">
      <c r="A35" s="332" t="str">
        <f>+'MATRIZ GENERAL CONSOLIDADA'!A34</f>
        <v>Apoyo a la  Gestión, Operación, Administración y Promoción del Proyecto</v>
      </c>
      <c r="B35" s="304" t="str">
        <f>+'MATRIZ GENERAL CONSOLIDADA'!C34</f>
        <v>Global</v>
      </c>
      <c r="C35" s="510">
        <f>+'MATRIZ GENERAL CONSOLIDADA'!H34</f>
        <v>1</v>
      </c>
      <c r="D35" s="528">
        <f>+'MATRIZ GENERAL CONSOLIDADA'!J34</f>
        <v>0.4</v>
      </c>
      <c r="E35" s="510">
        <f t="shared" ref="E35" si="14">+(D35/C35)*100</f>
        <v>40</v>
      </c>
      <c r="F35" s="455"/>
      <c r="G35" s="301"/>
      <c r="H35" s="304">
        <f>+'MATRIZ GENERAL CONSOLIDADA'!D34</f>
        <v>99948</v>
      </c>
      <c r="I35" s="327">
        <f>+'MATRIZ GENERAL CONSOLIDADA'!F34</f>
        <v>0</v>
      </c>
      <c r="J35" s="301">
        <v>100</v>
      </c>
      <c r="K35" s="306"/>
      <c r="L35" s="532">
        <f>+'MATRIZ GENERAL CONSOLIDADA'!I34</f>
        <v>19398096</v>
      </c>
      <c r="M35" s="532">
        <f>+'MATRIZ GENERAL CONSOLIDADA'!K34</f>
        <v>19398096</v>
      </c>
      <c r="N35" s="474" t="s">
        <v>472</v>
      </c>
      <c r="O35" s="301">
        <f>+'MATRIZ GENERAL CONSOLIDADA'!E34</f>
        <v>98210596</v>
      </c>
      <c r="P35" s="301">
        <f>+'MATRIZ GENERAL CONSOLIDADA'!G34</f>
        <v>19398096</v>
      </c>
      <c r="Q35" s="406">
        <f t="shared" si="8"/>
        <v>19.751530680050042</v>
      </c>
      <c r="R35" s="847"/>
      <c r="S35" s="372" t="s">
        <v>609</v>
      </c>
      <c r="T35" s="372"/>
      <c r="U35" s="788"/>
    </row>
    <row r="36" spans="1:21" ht="82.5" customHeight="1">
      <c r="A36" s="795" t="str">
        <f>+'MATRIZ GENERAL CONSOLIDADA'!A35</f>
        <v>PROGRAMA 3: DESARROLLO TERRITORIAL SOSTENIBLE Y ADAPTACIÒN AL CAMBIO CLIMÀTICO</v>
      </c>
      <c r="B36" s="321"/>
      <c r="C36" s="321"/>
      <c r="D36" s="513"/>
      <c r="E36" s="518">
        <f>AVERAGE(E37,E42,E45)</f>
        <v>33.916666666666664</v>
      </c>
      <c r="F36" s="518" t="e">
        <f t="shared" ref="F36:I36" si="15">AVERAGE(F37,F42,F45)</f>
        <v>#DIV/0!</v>
      </c>
      <c r="G36" s="518" t="e">
        <f t="shared" si="15"/>
        <v>#DIV/0!</v>
      </c>
      <c r="H36" s="518">
        <f>AVERAGE(H37,H42,H45)</f>
        <v>58.416666666666664</v>
      </c>
      <c r="I36" s="518">
        <f t="shared" si="15"/>
        <v>30.444444444444446</v>
      </c>
      <c r="J36" s="797">
        <f>AVERAGE(J37,J42)</f>
        <v>51.970653377630128</v>
      </c>
      <c r="K36" s="323"/>
      <c r="L36" s="323">
        <f>+L37+L42+L45</f>
        <v>2589233218.4000001</v>
      </c>
      <c r="M36" s="323">
        <f t="shared" ref="M36:Q36" si="16">+M37+M42+M45</f>
        <v>589431897.60000002</v>
      </c>
      <c r="N36" s="323">
        <f>+M36/L36*100</f>
        <v>22.764727928380111</v>
      </c>
      <c r="O36" s="323">
        <f t="shared" si="16"/>
        <v>10623497111.278576</v>
      </c>
      <c r="P36" s="323">
        <f t="shared" si="16"/>
        <v>589431897.60000002</v>
      </c>
      <c r="Q36" s="323">
        <f t="shared" si="16"/>
        <v>42.930829210885634</v>
      </c>
      <c r="R36" s="785"/>
      <c r="S36" s="372"/>
      <c r="T36" s="372"/>
      <c r="U36" s="372"/>
    </row>
    <row r="37" spans="1:21" ht="82.5" customHeight="1">
      <c r="A37" s="324" t="str">
        <f>+'MATRIZ GENERAL CONSOLIDADA'!A36</f>
        <v>Proyecto No. 3.1 Fortalecimiento de los procesos de ordenamiento y planificaciòn territorial</v>
      </c>
      <c r="B37" s="324"/>
      <c r="C37" s="285"/>
      <c r="D37" s="511"/>
      <c r="E37" s="511">
        <f>AVERAGE(E38:E41)</f>
        <v>28.75</v>
      </c>
      <c r="F37" s="313"/>
      <c r="G37" s="313"/>
      <c r="H37" s="313">
        <f>AVERAGE(H38:H41)</f>
        <v>75.25</v>
      </c>
      <c r="I37" s="313">
        <f>AVERAGE(I38:I41)</f>
        <v>38.333333333333336</v>
      </c>
      <c r="J37" s="412">
        <f>+(I37/H37)*100</f>
        <v>50.94130675526025</v>
      </c>
      <c r="K37" s="284"/>
      <c r="L37" s="284">
        <f>+SUM(L38:L41)</f>
        <v>785177624.39999998</v>
      </c>
      <c r="M37" s="284">
        <f t="shared" ref="M37:Q37" si="17">+SUM(M38:M41)</f>
        <v>335636638</v>
      </c>
      <c r="N37" s="284">
        <f>+M37/L37*100</f>
        <v>42.746587214132539</v>
      </c>
      <c r="O37" s="284">
        <f t="shared" si="17"/>
        <v>3053201206.8000002</v>
      </c>
      <c r="P37" s="284">
        <f t="shared" si="17"/>
        <v>335636638</v>
      </c>
      <c r="Q37" s="284">
        <f t="shared" si="17"/>
        <v>39.038440532241822</v>
      </c>
      <c r="R37" s="785"/>
      <c r="S37" s="372"/>
      <c r="T37" s="372"/>
      <c r="U37" s="372"/>
    </row>
    <row r="38" spans="1:21" ht="114">
      <c r="A38" s="336" t="str">
        <f>+'MATRIZ GENERAL CONSOLIDADA'!A37</f>
        <v>Porcentaje de municipios asesorados o asistidos en la inclusión del componente ambiental en los procesos de planificación y ordenamiento territorial, con énfasis en la incorporación de las determinantes ambientales para la revisión y ajuste de los POT (IM 24)</v>
      </c>
      <c r="B38" s="311" t="str">
        <f>+'MATRIZ GENERAL CONSOLIDADA'!C37</f>
        <v>%</v>
      </c>
      <c r="C38" s="510">
        <f>+'MATRIZ GENERAL CONSOLIDADA'!D37</f>
        <v>100</v>
      </c>
      <c r="D38" s="510">
        <f>+'MATRIZ GENERAL CONSOLIDADA'!J37</f>
        <v>55</v>
      </c>
      <c r="E38" s="510">
        <f t="shared" ref="E38:E41" si="18">+(D38/C38)*100</f>
        <v>55.000000000000007</v>
      </c>
      <c r="F38" s="455"/>
      <c r="G38" s="301"/>
      <c r="H38" s="304">
        <f>+'MATRIZ GENERAL CONSOLIDADA'!D37</f>
        <v>100</v>
      </c>
      <c r="I38" s="301">
        <f>+'MATRIZ GENERAL CONSOLIDADA'!F37</f>
        <v>55</v>
      </c>
      <c r="J38" s="301">
        <f t="shared" ref="J38:J40" si="19">+(I38/H38)*100</f>
        <v>55.000000000000007</v>
      </c>
      <c r="K38" s="306"/>
      <c r="L38" s="531">
        <f>+'MATRIZ GENERAL CONSOLIDADA'!I37</f>
        <v>200000000.40000001</v>
      </c>
      <c r="M38" s="531">
        <f>+'MATRIZ GENERAL CONSOLIDADA'!K37</f>
        <v>168673004</v>
      </c>
      <c r="N38" s="301">
        <f>+M38/L38*100</f>
        <v>84.336501831326999</v>
      </c>
      <c r="O38" s="301">
        <f>+'MATRIZ GENERAL CONSOLIDADA'!E37</f>
        <v>862025000.39999998</v>
      </c>
      <c r="P38" s="301">
        <f>+'MATRIZ GENERAL CONSOLIDADA'!G37</f>
        <v>168673004</v>
      </c>
      <c r="Q38" s="406">
        <f t="shared" si="8"/>
        <v>19.567066375306023</v>
      </c>
      <c r="R38" s="785"/>
      <c r="S38" s="786" t="s">
        <v>613</v>
      </c>
      <c r="T38" s="372" t="s">
        <v>553</v>
      </c>
      <c r="U38" s="372" t="s">
        <v>605</v>
      </c>
    </row>
    <row r="39" spans="1:21" ht="85.5">
      <c r="A39" s="336" t="str">
        <f>+'MATRIZ GENERAL CONSOLIDADA'!A38</f>
        <v>Porcentaje de entes territoriales asesorados en la incorporación, planificación y ejecución de acciones relacionadas con cambio climático en el marco de los instrumentos de planificación territorial (IM 7)</v>
      </c>
      <c r="B39" s="311" t="str">
        <f>+'MATRIZ GENERAL CONSOLIDADA'!C38</f>
        <v>%</v>
      </c>
      <c r="C39" s="510">
        <f>+'MATRIZ GENERAL CONSOLIDADA'!D38</f>
        <v>100</v>
      </c>
      <c r="D39" s="510">
        <f>+'MATRIZ GENERAL CONSOLIDADA'!J38</f>
        <v>50</v>
      </c>
      <c r="E39" s="510">
        <f t="shared" si="18"/>
        <v>50</v>
      </c>
      <c r="F39" s="455"/>
      <c r="G39" s="301"/>
      <c r="H39" s="304">
        <f>+'MATRIZ GENERAL CONSOLIDADA'!D38</f>
        <v>100</v>
      </c>
      <c r="I39" s="301">
        <f>+'MATRIZ GENERAL CONSOLIDADA'!F38</f>
        <v>50</v>
      </c>
      <c r="J39" s="301">
        <f t="shared" si="19"/>
        <v>50</v>
      </c>
      <c r="K39" s="306"/>
      <c r="L39" s="531">
        <f>+'MATRIZ GENERAL CONSOLIDADA'!I38</f>
        <v>50000000</v>
      </c>
      <c r="M39" s="531">
        <f>+'MATRIZ GENERAL CONSOLIDADA'!K38</f>
        <v>0</v>
      </c>
      <c r="N39" s="301">
        <v>0</v>
      </c>
      <c r="O39" s="301">
        <f>+'MATRIZ GENERAL CONSOLIDADA'!E38</f>
        <v>215506250</v>
      </c>
      <c r="P39" s="301">
        <f>+'MATRIZ GENERAL CONSOLIDADA'!G38</f>
        <v>0</v>
      </c>
      <c r="Q39" s="406">
        <v>0</v>
      </c>
      <c r="R39" s="847"/>
      <c r="S39" s="786" t="s">
        <v>614</v>
      </c>
      <c r="T39" s="372" t="s">
        <v>554</v>
      </c>
      <c r="U39" s="372" t="s">
        <v>605</v>
      </c>
    </row>
    <row r="40" spans="1:21" ht="82.5" customHeight="1">
      <c r="A40" s="336" t="str">
        <f>+'MATRIZ GENERAL CONSOLIDADA'!A39</f>
        <v>Porcentaje de ejecución de acciones en gestión ambiental urbana (IM 19)</v>
      </c>
      <c r="B40" s="311" t="str">
        <f>+'MATRIZ GENERAL CONSOLIDADA'!C39</f>
        <v>%</v>
      </c>
      <c r="C40" s="510">
        <f>+'MATRIZ GENERAL CONSOLIDADA'!D39</f>
        <v>100</v>
      </c>
      <c r="D40" s="510">
        <f>+'MATRIZ GENERAL CONSOLIDADA'!J39</f>
        <v>10</v>
      </c>
      <c r="E40" s="510">
        <f t="shared" si="18"/>
        <v>10</v>
      </c>
      <c r="F40" s="455"/>
      <c r="G40" s="301"/>
      <c r="H40" s="304">
        <f>+'MATRIZ GENERAL CONSOLIDADA'!D39</f>
        <v>100</v>
      </c>
      <c r="I40" s="301">
        <f>+'MATRIZ GENERAL CONSOLIDADA'!F39</f>
        <v>10</v>
      </c>
      <c r="J40" s="301">
        <f t="shared" si="19"/>
        <v>10</v>
      </c>
      <c r="K40" s="306"/>
      <c r="L40" s="531">
        <f>+'MATRIZ GENERAL CONSOLIDADA'!I39</f>
        <v>500177624</v>
      </c>
      <c r="M40" s="531">
        <f>+'MATRIZ GENERAL CONSOLIDADA'!K39</f>
        <v>149989597</v>
      </c>
      <c r="N40" s="301">
        <f t="shared" ref="N40:N46" si="20">+M40/L40*100</f>
        <v>29.987266483556251</v>
      </c>
      <c r="O40" s="301">
        <f>+'MATRIZ GENERAL CONSOLIDADA'!E39</f>
        <v>1824815581.4000001</v>
      </c>
      <c r="P40" s="301">
        <f>+'MATRIZ GENERAL CONSOLIDADA'!G39</f>
        <v>149989597</v>
      </c>
      <c r="Q40" s="406">
        <f t="shared" si="8"/>
        <v>8.2194386396529922</v>
      </c>
      <c r="R40" s="847"/>
      <c r="S40" s="786" t="s">
        <v>614</v>
      </c>
      <c r="T40" s="372" t="s">
        <v>555</v>
      </c>
      <c r="U40" s="372" t="s">
        <v>605</v>
      </c>
    </row>
    <row r="41" spans="1:21" ht="82.5" customHeight="1">
      <c r="A41" s="372" t="str">
        <f>+'MATRIZ GENERAL CONSOLIDADA'!A40</f>
        <v>Apoyo a la Gestión, Operación, Administración y Promoción del Proyecto</v>
      </c>
      <c r="B41" s="311" t="s">
        <v>382</v>
      </c>
      <c r="C41" s="510">
        <f>+'[2]MATRIZ GENERAL CONSOLIDADA'!T60</f>
        <v>1</v>
      </c>
      <c r="D41" s="510">
        <f>+'MATRIZ GENERAL CONSOLIDADA'!J40</f>
        <v>0</v>
      </c>
      <c r="E41" s="510">
        <f t="shared" si="18"/>
        <v>0</v>
      </c>
      <c r="F41" s="455"/>
      <c r="G41" s="301"/>
      <c r="H41" s="304">
        <f>+'MATRIZ GENERAL CONSOLIDADA'!D40</f>
        <v>1</v>
      </c>
      <c r="I41" s="301" t="str">
        <f>+'MATRIZ GENERAL CONSOLIDADA'!F40</f>
        <v>N/A</v>
      </c>
      <c r="J41" s="301" t="s">
        <v>472</v>
      </c>
      <c r="K41" s="306"/>
      <c r="L41" s="531">
        <f>+'MATRIZ GENERAL CONSOLIDADA'!I40</f>
        <v>35000000</v>
      </c>
      <c r="M41" s="531">
        <f>+'MATRIZ GENERAL CONSOLIDADA'!K40</f>
        <v>16974037</v>
      </c>
      <c r="N41" s="301">
        <f t="shared" si="20"/>
        <v>48.497248571428571</v>
      </c>
      <c r="O41" s="301">
        <f>+'MATRIZ GENERAL CONSOLIDADA'!E40</f>
        <v>150854375</v>
      </c>
      <c r="P41" s="301">
        <f>+'MATRIZ GENERAL CONSOLIDADA'!G40</f>
        <v>16974037</v>
      </c>
      <c r="Q41" s="406">
        <f t="shared" si="8"/>
        <v>11.25193551728281</v>
      </c>
      <c r="R41" s="785"/>
      <c r="S41" s="372"/>
      <c r="T41" s="372"/>
      <c r="U41" s="372"/>
    </row>
    <row r="42" spans="1:21" ht="82.5" customHeight="1">
      <c r="A42" s="324" t="str">
        <f>+'MATRIZ GENERAL CONSOLIDADA'!A41</f>
        <v>Proyecto No. 3.2  Gestiòn en conocimiento y reducciòn del riesgo de desastres</v>
      </c>
      <c r="B42" s="285"/>
      <c r="C42" s="285"/>
      <c r="D42" s="511"/>
      <c r="E42" s="511">
        <f>AVERAGE(E43:E44)</f>
        <v>53</v>
      </c>
      <c r="F42" s="413"/>
      <c r="G42" s="413"/>
      <c r="H42" s="313">
        <f>AVERAGE(H43:H44)</f>
        <v>100</v>
      </c>
      <c r="I42" s="313">
        <f>AVERAGE(I43:I44)</f>
        <v>53</v>
      </c>
      <c r="J42" s="284">
        <f t="shared" ref="J42:J48" si="21">+(I42/H42)*100</f>
        <v>53</v>
      </c>
      <c r="K42" s="284"/>
      <c r="L42" s="284">
        <f>SUM(L43:L44)</f>
        <v>1604055594</v>
      </c>
      <c r="M42" s="284">
        <f>SUM(M43:M44)</f>
        <v>253795259.59999999</v>
      </c>
      <c r="N42" s="284">
        <f>+M42/L42*100</f>
        <v>15.822098719603355</v>
      </c>
      <c r="O42" s="284">
        <f>SUM(O43:O44)</f>
        <v>6520295904.4785748</v>
      </c>
      <c r="P42" s="320">
        <f>SUM(P43:P44)</f>
        <v>253795259.59999999</v>
      </c>
      <c r="Q42" s="320">
        <f t="shared" si="8"/>
        <v>3.8923886786438091</v>
      </c>
      <c r="R42" s="785"/>
      <c r="S42" s="372"/>
      <c r="T42" s="372"/>
      <c r="U42" s="372"/>
    </row>
    <row r="43" spans="1:21" ht="82.5" customHeight="1">
      <c r="A43" s="375" t="str">
        <f>+'MATRIZ GENERAL CONSOLIDADA'!A42</f>
        <v>CONOCIMIENTO DEL RIESGO DE DESASTRES GESTIONADO</v>
      </c>
      <c r="B43" s="311" t="str">
        <f>+'MATRIZ GENERAL CONSOLIDADA'!C42</f>
        <v>%</v>
      </c>
      <c r="C43" s="510">
        <f>+'MATRIZ GENERAL CONSOLIDADA'!D42</f>
        <v>100</v>
      </c>
      <c r="D43" s="510">
        <f>+'MATRIZ GENERAL CONSOLIDADA'!J42</f>
        <v>56</v>
      </c>
      <c r="E43" s="510">
        <f t="shared" ref="E43:E78" si="22">+(D43/C43)*100</f>
        <v>56.000000000000007</v>
      </c>
      <c r="F43" s="455"/>
      <c r="G43" s="301"/>
      <c r="H43" s="304">
        <f>+'MATRIZ GENERAL CONSOLIDADA'!D42</f>
        <v>100</v>
      </c>
      <c r="I43" s="301">
        <f>+'MATRIZ GENERAL CONSOLIDADA'!F42</f>
        <v>56</v>
      </c>
      <c r="J43" s="301">
        <f t="shared" si="21"/>
        <v>56.000000000000007</v>
      </c>
      <c r="K43" s="306"/>
      <c r="L43" s="531">
        <f>+'MATRIZ GENERAL CONSOLIDADA'!I42</f>
        <v>1498230496</v>
      </c>
      <c r="M43" s="534">
        <f>+'MATRIZ GENERAL CONSOLIDADA'!K42</f>
        <v>253795259.59999999</v>
      </c>
      <c r="N43" s="301">
        <f t="shared" si="20"/>
        <v>16.939667179221534</v>
      </c>
      <c r="O43" s="301">
        <f>+'MATRIZ GENERAL CONSOLIDADA'!E42</f>
        <v>5308310903.9335747</v>
      </c>
      <c r="P43" s="301">
        <f>+'MATRIZ GENERAL CONSOLIDADA'!G42</f>
        <v>253795259.59999999</v>
      </c>
      <c r="Q43" s="406">
        <v>0</v>
      </c>
      <c r="R43" s="785"/>
      <c r="S43" s="372"/>
      <c r="T43" s="372"/>
      <c r="U43" s="372"/>
    </row>
    <row r="44" spans="1:21" ht="82.5" customHeight="1">
      <c r="A44" s="375" t="str">
        <f>+'MATRIZ GENERAL CONSOLIDADA'!A43</f>
        <v>REDUCCIÓN DEL RIESGO DE DESASTRES GESTIONADO</v>
      </c>
      <c r="B44" s="311" t="str">
        <f>+'MATRIZ GENERAL CONSOLIDADA'!C43</f>
        <v>%</v>
      </c>
      <c r="C44" s="510">
        <f>+'MATRIZ GENERAL CONSOLIDADA'!D43</f>
        <v>100</v>
      </c>
      <c r="D44" s="510">
        <f>+'MATRIZ GENERAL CONSOLIDADA'!J43</f>
        <v>50</v>
      </c>
      <c r="E44" s="510">
        <f>+(D44/C44)*100</f>
        <v>50</v>
      </c>
      <c r="F44" s="455"/>
      <c r="G44" s="301"/>
      <c r="H44" s="304">
        <f>+'MATRIZ GENERAL CONSOLIDADA'!D43</f>
        <v>100</v>
      </c>
      <c r="I44" s="301">
        <f>+'MATRIZ GENERAL CONSOLIDADA'!F43</f>
        <v>50</v>
      </c>
      <c r="J44" s="301">
        <f t="shared" si="21"/>
        <v>50</v>
      </c>
      <c r="K44" s="306"/>
      <c r="L44" s="531">
        <f>+'MATRIZ GENERAL CONSOLIDADA'!I43</f>
        <v>105825098</v>
      </c>
      <c r="M44" s="534">
        <f>+'MATRIZ GENERAL CONSOLIDADA'!K43</f>
        <v>0</v>
      </c>
      <c r="N44" s="301">
        <f t="shared" si="20"/>
        <v>0</v>
      </c>
      <c r="O44" s="301">
        <f>+'MATRIZ GENERAL CONSOLIDADA'!E43</f>
        <v>1211985000.5450001</v>
      </c>
      <c r="P44" s="301">
        <f>+'MATRIZ GENERAL CONSOLIDADA'!G43</f>
        <v>0</v>
      </c>
      <c r="Q44" s="406">
        <f t="shared" si="8"/>
        <v>0</v>
      </c>
      <c r="R44" s="785"/>
      <c r="S44" s="372"/>
      <c r="T44" s="372"/>
      <c r="U44" s="372"/>
    </row>
    <row r="45" spans="1:21" ht="82.5" customHeight="1">
      <c r="A45" s="798" t="str">
        <f>+'MATRIZ GENERAL CONSOLIDADA'!A44</f>
        <v>Proyecto No. 3.3 Gestiòn ambiental con comunidades ètnicas</v>
      </c>
      <c r="B45" s="759"/>
      <c r="C45" s="760"/>
      <c r="D45" s="760"/>
      <c r="E45" s="511">
        <f>AVERAGE(E46)</f>
        <v>20</v>
      </c>
      <c r="F45" s="413"/>
      <c r="G45" s="413"/>
      <c r="H45" s="313">
        <f>AVERAGE(H46)</f>
        <v>0</v>
      </c>
      <c r="I45" s="313">
        <f>AVERAGE(I46)</f>
        <v>0</v>
      </c>
      <c r="J45" s="284">
        <v>0</v>
      </c>
      <c r="K45" s="284"/>
      <c r="L45" s="284">
        <f>SUM(L46)</f>
        <v>200000000</v>
      </c>
      <c r="M45" s="284">
        <f>SUM(M46)</f>
        <v>0</v>
      </c>
      <c r="N45" s="284">
        <f t="shared" si="20"/>
        <v>0</v>
      </c>
      <c r="O45" s="284">
        <f>SUM(O46)</f>
        <v>1050000000</v>
      </c>
      <c r="P45" s="320">
        <f>SUM(P46)</f>
        <v>0</v>
      </c>
      <c r="Q45" s="320">
        <f>+(P45/O45)*100</f>
        <v>0</v>
      </c>
      <c r="R45" s="785"/>
      <c r="S45" s="372"/>
      <c r="T45" s="372"/>
      <c r="U45" s="372"/>
    </row>
    <row r="46" spans="1:21" ht="82.5" customHeight="1">
      <c r="A46" s="375" t="str">
        <f>+'MATRIZ GENERAL CONSOLIDADA'!A45</f>
        <v>Comunidades Indígenas apoyadas en temas de competencia de la Corporación</v>
      </c>
      <c r="B46" s="311" t="str">
        <f>+'MATRIZ GENERAL CONSOLIDADA'!C45</f>
        <v xml:space="preserve">Und </v>
      </c>
      <c r="C46" s="510">
        <f>+'MATRIZ GENERAL CONSOLIDADA'!H45</f>
        <v>5</v>
      </c>
      <c r="D46" s="510">
        <f>+'MATRIZ GENERAL CONSOLIDADA'!J45</f>
        <v>1</v>
      </c>
      <c r="E46" s="510">
        <f>+(D46/C46)*100</f>
        <v>20</v>
      </c>
      <c r="F46" s="455"/>
      <c r="G46" s="301"/>
      <c r="H46" s="304">
        <f>+'MATRIZ GENERAL CONSOLIDADA'!D45</f>
        <v>0</v>
      </c>
      <c r="I46" s="301">
        <f>+'MATRIZ GENERAL CONSOLIDADA'!F45</f>
        <v>0</v>
      </c>
      <c r="J46" s="301">
        <v>0</v>
      </c>
      <c r="K46" s="306"/>
      <c r="L46" s="531">
        <f>+'MATRIZ GENERAL CONSOLIDADA'!I45</f>
        <v>200000000</v>
      </c>
      <c r="M46" s="534">
        <f>+'MATRIZ GENERAL CONSOLIDADA'!K45</f>
        <v>0</v>
      </c>
      <c r="N46" s="301">
        <f t="shared" si="20"/>
        <v>0</v>
      </c>
      <c r="O46" s="301">
        <f>+'MATRIZ GENERAL CONSOLIDADA'!E45</f>
        <v>1050000000</v>
      </c>
      <c r="P46" s="301">
        <f>+'MATRIZ GENERAL CONSOLIDADA'!G45</f>
        <v>0</v>
      </c>
      <c r="Q46" s="406">
        <v>0</v>
      </c>
      <c r="R46" s="785"/>
      <c r="S46" s="372"/>
      <c r="T46" s="372"/>
      <c r="U46" s="372"/>
    </row>
    <row r="47" spans="1:21" ht="82.5" customHeight="1">
      <c r="A47" s="795" t="str">
        <f>+'MATRIZ GENERAL CONSOLIDADA'!A46</f>
        <v>PROGRAMA 4:  INSTITUCIÒN AMBIENTAL MODERNA Y GENERACIÒN DE CAPACIDADES</v>
      </c>
      <c r="B47" s="321"/>
      <c r="C47" s="321"/>
      <c r="D47" s="512"/>
      <c r="E47" s="512">
        <f>AVERAGE(E48,E72,E79)</f>
        <v>51.62830687830688</v>
      </c>
      <c r="F47" s="322"/>
      <c r="G47" s="322"/>
      <c r="H47" s="322">
        <f>AVERAGE(H48)</f>
        <v>38.344202898550726</v>
      </c>
      <c r="I47" s="322">
        <f>AVERAGE(I48)</f>
        <v>19.026086956521741</v>
      </c>
      <c r="J47" s="323">
        <f t="shared" si="21"/>
        <v>49.619200604743455</v>
      </c>
      <c r="K47" s="323"/>
      <c r="L47" s="323">
        <f>+L48+L72+L79</f>
        <v>6201173931.1255999</v>
      </c>
      <c r="M47" s="323">
        <f t="shared" ref="M47:Q47" si="23">+M48+M72+M79</f>
        <v>3538736492.7679996</v>
      </c>
      <c r="N47" s="802">
        <f>+M47/L47*100</f>
        <v>57.06559003297734</v>
      </c>
      <c r="O47" s="323">
        <f t="shared" si="23"/>
        <v>28421642140.936649</v>
      </c>
      <c r="P47" s="323">
        <f t="shared" si="23"/>
        <v>10952415127.978668</v>
      </c>
      <c r="Q47" s="323">
        <f t="shared" si="23"/>
        <v>267.55539669712721</v>
      </c>
      <c r="R47" s="785"/>
      <c r="S47" s="372"/>
      <c r="T47" s="372"/>
      <c r="U47" s="372"/>
    </row>
    <row r="48" spans="1:21" ht="82.5" customHeight="1">
      <c r="A48" s="324" t="str">
        <f>+'MATRIZ GENERAL CONSOLIDADA'!A47</f>
        <v>Proyecto No. 4.1  Autoridad,reglamentaciòn y regulaciòn ambiental</v>
      </c>
      <c r="B48" s="324"/>
      <c r="C48" s="284"/>
      <c r="D48" s="511"/>
      <c r="E48" s="511">
        <f>AVERAGE(E49:E71)</f>
        <v>44.884920634920633</v>
      </c>
      <c r="F48" s="413"/>
      <c r="G48" s="413"/>
      <c r="H48" s="313">
        <f>AVERAGE(H49:H71)</f>
        <v>38.344202898550726</v>
      </c>
      <c r="I48" s="313">
        <f>AVERAGE(I49:I71)</f>
        <v>19.026086956521741</v>
      </c>
      <c r="J48" s="284">
        <f t="shared" si="21"/>
        <v>49.619200604743455</v>
      </c>
      <c r="K48" s="284"/>
      <c r="L48" s="284">
        <f>SUM(L49:L71)</f>
        <v>4609745686.1255999</v>
      </c>
      <c r="M48" s="284">
        <f>SUM(M49:M71)</f>
        <v>2856172200.0959997</v>
      </c>
      <c r="N48" s="320">
        <f>+M48/L48*100</f>
        <v>61.959431052617489</v>
      </c>
      <c r="O48" s="320">
        <f>SUM(O49:O71)</f>
        <v>20679794631.13665</v>
      </c>
      <c r="P48" s="320">
        <f>SUM(P49:P71)</f>
        <v>1712473725.0373337</v>
      </c>
      <c r="Q48" s="320">
        <f t="shared" si="8"/>
        <v>8.280902956642219</v>
      </c>
      <c r="R48" s="785"/>
      <c r="S48" s="372"/>
      <c r="T48" s="372"/>
      <c r="U48" s="372"/>
    </row>
    <row r="49" spans="1:21" ht="82.5" customHeight="1">
      <c r="A49" s="336" t="str">
        <f>+'MATRIZ GENERAL CONSOLIDADA'!A48</f>
        <v>Porcentaje de Programas de Uso Eficiente y Ahorro del Agua (PUEAA) con seguimiento (IM 5)</v>
      </c>
      <c r="B49" s="311" t="str">
        <f>+'MATRIZ GENERAL CONSOLIDADA'!C48</f>
        <v>%</v>
      </c>
      <c r="C49" s="510">
        <f>+'MATRIZ GENERAL CONSOLIDADA'!H48</f>
        <v>100</v>
      </c>
      <c r="D49" s="514">
        <f>+'MATRIZ GENERAL CONSOLIDADA'!J48</f>
        <v>81</v>
      </c>
      <c r="E49" s="510">
        <f>+(D49/C49)*100</f>
        <v>81</v>
      </c>
      <c r="F49" s="455"/>
      <c r="G49" s="301"/>
      <c r="H49" s="304">
        <f>+'MATRIZ GENERAL CONSOLIDADA'!D48</f>
        <v>100</v>
      </c>
      <c r="I49" s="301">
        <f>+'MATRIZ GENERAL CONSOLIDADA'!F48</f>
        <v>81</v>
      </c>
      <c r="J49" s="301">
        <f t="shared" ref="J49:J53" si="24">+(I49/H49)*100</f>
        <v>81</v>
      </c>
      <c r="K49" s="306"/>
      <c r="L49" s="531">
        <f>+'MATRIZ GENERAL CONSOLIDADA'!I48</f>
        <v>26400000</v>
      </c>
      <c r="M49" s="534">
        <f>+'MATRIZ GENERAL CONSOLIDADA'!K48</f>
        <v>17288700</v>
      </c>
      <c r="N49" s="301">
        <f>+M49/L49*100</f>
        <v>65.487499999999997</v>
      </c>
      <c r="O49" s="301">
        <f>+'MATRIZ GENERAL CONSOLIDADA'!E48</f>
        <v>124955371.19999999</v>
      </c>
      <c r="P49" s="301">
        <f>+'MATRIZ GENERAL CONSOLIDADA'!G48</f>
        <v>17288700</v>
      </c>
      <c r="Q49" s="406">
        <v>0</v>
      </c>
      <c r="R49" s="785"/>
      <c r="S49" s="372"/>
      <c r="T49" s="372" t="s">
        <v>563</v>
      </c>
      <c r="U49" s="372" t="s">
        <v>608</v>
      </c>
    </row>
    <row r="50" spans="1:21" ht="82.5" customHeight="1">
      <c r="A50" s="336" t="str">
        <f>+'MATRIZ GENERAL CONSOLIDADA'!A49</f>
        <v>Porcentaje de Planes de Gestión Integral de Residuos Sólidos (PGIRS) con seguimiento a metas de aprovechamiento (IM 17)</v>
      </c>
      <c r="B50" s="311" t="str">
        <f>+'MATRIZ GENERAL CONSOLIDADA'!C49</f>
        <v>%</v>
      </c>
      <c r="C50" s="510">
        <f>+'MATRIZ GENERAL CONSOLIDADA'!H49</f>
        <v>100</v>
      </c>
      <c r="D50" s="514">
        <f>+'MATRIZ GENERAL CONSOLIDADA'!J49</f>
        <v>100</v>
      </c>
      <c r="E50" s="510">
        <f t="shared" si="22"/>
        <v>100</v>
      </c>
      <c r="F50" s="455"/>
      <c r="G50" s="301"/>
      <c r="H50" s="304">
        <f>+'MATRIZ GENERAL CONSOLIDADA'!D49</f>
        <v>100</v>
      </c>
      <c r="I50" s="301">
        <f>+'MATRIZ GENERAL CONSOLIDADA'!F49</f>
        <v>100</v>
      </c>
      <c r="J50" s="301">
        <f t="shared" si="24"/>
        <v>100</v>
      </c>
      <c r="K50" s="306"/>
      <c r="L50" s="531">
        <f>+'MATRIZ GENERAL CONSOLIDADA'!I49</f>
        <v>26400000</v>
      </c>
      <c r="M50" s="534">
        <f>+'MATRIZ GENERAL CONSOLIDADA'!K49</f>
        <v>26400000</v>
      </c>
      <c r="N50" s="301">
        <f t="shared" ref="N50:N71" si="25">+M50/L50*100</f>
        <v>100</v>
      </c>
      <c r="O50" s="301">
        <f>+'MATRIZ GENERAL CONSOLIDADA'!E49</f>
        <v>124955371.19999999</v>
      </c>
      <c r="P50" s="301">
        <f>+'MATRIZ GENERAL CONSOLIDADA'!G49</f>
        <v>26400000</v>
      </c>
      <c r="Q50" s="406">
        <f t="shared" si="8"/>
        <v>21.127543175190858</v>
      </c>
      <c r="R50" s="785"/>
      <c r="S50" s="372"/>
      <c r="T50" s="372" t="s">
        <v>564</v>
      </c>
      <c r="U50" s="372"/>
    </row>
    <row r="51" spans="1:21" ht="82.5" customHeight="1">
      <c r="A51" s="336" t="str">
        <f>+'MATRIZ GENERAL CONSOLIDADA'!A50</f>
        <v>Porcentaje de Planes de Saneamiento y Manejo de Vertimientos –PSMV- con seguimiento (IM 3)</v>
      </c>
      <c r="B51" s="311" t="str">
        <f>+'MATRIZ GENERAL CONSOLIDADA'!C50</f>
        <v>%</v>
      </c>
      <c r="C51" s="510">
        <f>+'MATRIZ GENERAL CONSOLIDADA'!H50</f>
        <v>100</v>
      </c>
      <c r="D51" s="514">
        <f>+'MATRIZ GENERAL CONSOLIDADA'!J50</f>
        <v>72</v>
      </c>
      <c r="E51" s="510">
        <f t="shared" si="22"/>
        <v>72</v>
      </c>
      <c r="F51" s="455"/>
      <c r="G51" s="301"/>
      <c r="H51" s="304">
        <f>+'MATRIZ GENERAL CONSOLIDADA'!D50</f>
        <v>100</v>
      </c>
      <c r="I51" s="301">
        <f>+'MATRIZ GENERAL CONSOLIDADA'!F50</f>
        <v>72</v>
      </c>
      <c r="J51" s="301">
        <f t="shared" si="24"/>
        <v>72</v>
      </c>
      <c r="K51" s="306"/>
      <c r="L51" s="531">
        <f>+'MATRIZ GENERAL CONSOLIDADA'!I50</f>
        <v>26400000</v>
      </c>
      <c r="M51" s="534">
        <f>+'MATRIZ GENERAL CONSOLIDADA'!K50</f>
        <v>15632099.999999998</v>
      </c>
      <c r="N51" s="301">
        <f t="shared" si="25"/>
        <v>59.212499999999991</v>
      </c>
      <c r="O51" s="301">
        <f>+'MATRIZ GENERAL CONSOLIDADA'!E50</f>
        <v>124955371.19999999</v>
      </c>
      <c r="P51" s="301">
        <f>+'MATRIZ GENERAL CONSOLIDADA'!G50</f>
        <v>15632099.999999998</v>
      </c>
      <c r="Q51" s="406">
        <v>0</v>
      </c>
      <c r="R51" s="785"/>
      <c r="S51" s="372"/>
      <c r="T51" s="372" t="s">
        <v>565</v>
      </c>
      <c r="U51" s="372"/>
    </row>
    <row r="52" spans="1:21" ht="82.5" customHeight="1">
      <c r="A52" s="375" t="str">
        <f>+'MATRIZ GENERAL CONSOLIDADA'!A51</f>
        <v xml:space="preserve">Porcentaje de asistencia técnica, seguimiento y control a generadores de residuos o desechos peligrosos – RESPEL y especiales </v>
      </c>
      <c r="B52" s="311" t="str">
        <f>+'MATRIZ GENERAL CONSOLIDADA'!C51</f>
        <v>%</v>
      </c>
      <c r="C52" s="510">
        <f>+'MATRIZ GENERAL CONSOLIDADA'!H51</f>
        <v>100</v>
      </c>
      <c r="D52" s="514">
        <f>+'MATRIZ GENERAL CONSOLIDADA'!J51</f>
        <v>31</v>
      </c>
      <c r="E52" s="510">
        <f t="shared" si="22"/>
        <v>31</v>
      </c>
      <c r="F52" s="455"/>
      <c r="G52" s="301"/>
      <c r="H52" s="304">
        <f>+'MATRIZ GENERAL CONSOLIDADA'!D51</f>
        <v>100</v>
      </c>
      <c r="I52" s="301">
        <f>+'MATRIZ GENERAL CONSOLIDADA'!F51</f>
        <v>31</v>
      </c>
      <c r="J52" s="301">
        <f t="shared" si="24"/>
        <v>31</v>
      </c>
      <c r="K52" s="306"/>
      <c r="L52" s="531">
        <f>+'MATRIZ GENERAL CONSOLIDADA'!I51</f>
        <v>71278795.464000002</v>
      </c>
      <c r="M52" s="534">
        <f>+'MATRIZ GENERAL CONSOLIDADA'!K51</f>
        <v>44192000</v>
      </c>
      <c r="N52" s="301">
        <f t="shared" si="25"/>
        <v>61.998803027359749</v>
      </c>
      <c r="O52" s="301">
        <f>+'MATRIZ GENERAL CONSOLIDADA'!E51</f>
        <v>340868800.93400002</v>
      </c>
      <c r="P52" s="301">
        <f>+'MATRIZ GENERAL CONSOLIDADA'!G51</f>
        <v>44192000</v>
      </c>
      <c r="Q52" s="406">
        <f t="shared" si="8"/>
        <v>12.964518864416863</v>
      </c>
      <c r="R52" s="785"/>
      <c r="S52" s="372"/>
      <c r="T52" s="372"/>
      <c r="U52" s="372"/>
    </row>
    <row r="53" spans="1:21" ht="82.5" customHeight="1">
      <c r="A53" s="336" t="str">
        <f>+'MATRIZ GENERAL CONSOLIDADA'!A52</f>
        <v>Porcentaje de autorizaciones ambientales con seguimiento (IM 22)</v>
      </c>
      <c r="B53" s="311" t="str">
        <f>+'MATRIZ GENERAL CONSOLIDADA'!C52</f>
        <v>%</v>
      </c>
      <c r="C53" s="510">
        <f>+'MATRIZ GENERAL CONSOLIDADA'!H52</f>
        <v>70</v>
      </c>
      <c r="D53" s="514">
        <f>+'MATRIZ GENERAL CONSOLIDADA'!J52</f>
        <v>4.8</v>
      </c>
      <c r="E53" s="510">
        <f t="shared" si="22"/>
        <v>6.8571428571428577</v>
      </c>
      <c r="F53" s="455"/>
      <c r="G53" s="301"/>
      <c r="H53" s="304">
        <f>+'MATRIZ GENERAL CONSOLIDADA'!D52</f>
        <v>85</v>
      </c>
      <c r="I53" s="301">
        <f>+'MATRIZ GENERAL CONSOLIDADA'!F52</f>
        <v>4.8</v>
      </c>
      <c r="J53" s="301">
        <f t="shared" si="24"/>
        <v>5.6470588235294112</v>
      </c>
      <c r="K53" s="306"/>
      <c r="L53" s="531">
        <f>+'MATRIZ GENERAL CONSOLIDADA'!I52</f>
        <v>469581872.77999997</v>
      </c>
      <c r="M53" s="534">
        <f>+'MATRIZ GENERAL CONSOLIDADA'!K52</f>
        <v>440900091.67633337</v>
      </c>
      <c r="N53" s="301">
        <f>+M53/L53*100</f>
        <v>93.892059560590397</v>
      </c>
      <c r="O53" s="301">
        <f>+'MATRIZ GENERAL CONSOLIDADA'!E52</f>
        <v>2749170677.9364181</v>
      </c>
      <c r="P53" s="301">
        <f>+'MATRIZ GENERAL CONSOLIDADA'!G52</f>
        <v>440900091.67633337</v>
      </c>
      <c r="Q53" s="406">
        <v>0</v>
      </c>
      <c r="R53" s="785"/>
      <c r="S53" s="372"/>
      <c r="T53" s="372" t="s">
        <v>567</v>
      </c>
      <c r="U53" s="372"/>
    </row>
    <row r="54" spans="1:21" ht="82.5" customHeight="1">
      <c r="A54" s="336" t="str">
        <f>+'MATRIZ GENERAL CONSOLIDADA'!A53</f>
        <v>Tiempo promedio de trámite para la resolución de autorizaciones ambientales otorgadas por la Corporación. (IM 21)</v>
      </c>
      <c r="B54" s="311" t="str">
        <f>+'MATRIZ GENERAL CONSOLIDADA'!C53</f>
        <v>Dias</v>
      </c>
      <c r="C54" s="510">
        <f>+'MATRIZ GENERAL CONSOLIDADA'!H53</f>
        <v>60</v>
      </c>
      <c r="D54" s="514">
        <f>+'MATRIZ GENERAL CONSOLIDADA'!J53</f>
        <v>60</v>
      </c>
      <c r="E54" s="510">
        <f t="shared" si="22"/>
        <v>100</v>
      </c>
      <c r="F54" s="456"/>
      <c r="G54" s="301"/>
      <c r="H54" s="304">
        <f>+'MATRIZ GENERAL CONSOLIDADA'!D53</f>
        <v>60</v>
      </c>
      <c r="I54" s="301">
        <f>+'MATRIZ GENERAL CONSOLIDADA'!F53</f>
        <v>60</v>
      </c>
      <c r="J54" s="301">
        <f>+(I54/H54)*100</f>
        <v>100</v>
      </c>
      <c r="K54" s="55"/>
      <c r="L54" s="531">
        <f>+'MATRIZ GENERAL CONSOLIDADA'!I53</f>
        <v>0</v>
      </c>
      <c r="M54" s="534">
        <f>+'MATRIZ GENERAL CONSOLIDADA'!K53</f>
        <v>0</v>
      </c>
      <c r="N54" s="301">
        <v>0</v>
      </c>
      <c r="O54" s="301">
        <f>+'MATRIZ GENERAL CONSOLIDADA'!E53</f>
        <v>0</v>
      </c>
      <c r="P54" s="301">
        <f>+'MATRIZ GENERAL CONSOLIDADA'!G53</f>
        <v>0</v>
      </c>
      <c r="Q54" s="406">
        <v>0</v>
      </c>
      <c r="R54" s="785"/>
      <c r="S54" s="372"/>
      <c r="T54" s="372" t="s">
        <v>568</v>
      </c>
      <c r="U54" s="372"/>
    </row>
    <row r="55" spans="1:21" ht="82.5" customHeight="1">
      <c r="A55" s="804" t="str">
        <f>+'MATRIZ GENERAL CONSOLIDADA'!A54</f>
        <v>Porcentaje de solicitudes de licencias y permisos ambientales resueltos.</v>
      </c>
      <c r="B55" s="311" t="str">
        <f>+'MATRIZ GENERAL CONSOLIDADA'!C54</f>
        <v>%</v>
      </c>
      <c r="C55" s="510">
        <f>+'MATRIZ GENERAL CONSOLIDADA'!H54</f>
        <v>70</v>
      </c>
      <c r="D55" s="514">
        <f>+'MATRIZ GENERAL CONSOLIDADA'!J54</f>
        <v>45</v>
      </c>
      <c r="E55" s="510">
        <f t="shared" si="22"/>
        <v>64.285714285714292</v>
      </c>
      <c r="F55" s="456"/>
      <c r="G55" s="301"/>
      <c r="H55" s="304">
        <f>+'MATRIZ GENERAL CONSOLIDADA'!D54</f>
        <v>70</v>
      </c>
      <c r="I55" s="301">
        <f>+'MATRIZ GENERAL CONSOLIDADA'!F54</f>
        <v>45</v>
      </c>
      <c r="J55" s="301">
        <v>0</v>
      </c>
      <c r="K55" s="55"/>
      <c r="L55" s="531">
        <f>+'MATRIZ GENERAL CONSOLIDADA'!I54</f>
        <v>72216869.335999995</v>
      </c>
      <c r="M55" s="534">
        <f>+'MATRIZ GENERAL CONSOLIDADA'!K54</f>
        <v>27029970.399999999</v>
      </c>
      <c r="N55" s="301">
        <f t="shared" si="25"/>
        <v>37.428886974093182</v>
      </c>
      <c r="O55" s="301">
        <f>+'MATRIZ GENERAL CONSOLIDADA'!E54</f>
        <v>321692368.88041401</v>
      </c>
      <c r="P55" s="301">
        <f>+'MATRIZ GENERAL CONSOLIDADA'!G54</f>
        <v>27029970.399999999</v>
      </c>
      <c r="Q55" s="406">
        <v>0</v>
      </c>
      <c r="R55" s="785"/>
      <c r="S55" s="372"/>
      <c r="T55" s="372"/>
      <c r="U55" s="372"/>
    </row>
    <row r="56" spans="1:21" ht="82.5" customHeight="1">
      <c r="A56" s="336" t="str">
        <f>+'MATRIZ GENERAL CONSOLIDADA'!A55</f>
        <v>Porcentaje de procesos sancionatorios resueltos (IM 23)</v>
      </c>
      <c r="B56" s="311" t="str">
        <f>+'MATRIZ GENERAL CONSOLIDADA'!C55</f>
        <v>%</v>
      </c>
      <c r="C56" s="510">
        <f>+'MATRIZ GENERAL CONSOLIDADA'!H55</f>
        <v>20</v>
      </c>
      <c r="D56" s="514">
        <f>+'MATRIZ GENERAL CONSOLIDADA'!J55</f>
        <v>9.8000000000000007</v>
      </c>
      <c r="E56" s="510">
        <f t="shared" si="22"/>
        <v>49.000000000000007</v>
      </c>
      <c r="F56" s="456"/>
      <c r="G56" s="301"/>
      <c r="H56" s="304">
        <f>+'MATRIZ GENERAL CONSOLIDADA'!D55</f>
        <v>27.5</v>
      </c>
      <c r="I56" s="301">
        <f>+'MATRIZ GENERAL CONSOLIDADA'!F55</f>
        <v>9.8000000000000007</v>
      </c>
      <c r="J56" s="301">
        <f t="shared" ref="J56:J65" si="26">+(I56/H56)*100</f>
        <v>35.63636363636364</v>
      </c>
      <c r="K56" s="55"/>
      <c r="L56" s="531">
        <f>+'MATRIZ GENERAL CONSOLIDADA'!I55</f>
        <v>222367667.19999999</v>
      </c>
      <c r="M56" s="534">
        <f>+'MATRIZ GENERAL CONSOLIDADA'!K55</f>
        <v>200234976.30000001</v>
      </c>
      <c r="N56" s="301">
        <f t="shared" si="25"/>
        <v>90.046803486006084</v>
      </c>
      <c r="O56" s="301">
        <f>+'MATRIZ GENERAL CONSOLIDADA'!E55</f>
        <v>1067433934.3006976</v>
      </c>
      <c r="P56" s="301">
        <f>+'MATRIZ GENERAL CONSOLIDADA'!G55</f>
        <v>200234976.30000001</v>
      </c>
      <c r="Q56" s="406">
        <v>0</v>
      </c>
      <c r="R56" s="785"/>
      <c r="S56" s="372"/>
      <c r="T56" s="372" t="s">
        <v>569</v>
      </c>
      <c r="U56" s="372"/>
    </row>
    <row r="57" spans="1:21" ht="82.5" customHeight="1">
      <c r="A57" s="375" t="str">
        <f>+'MATRIZ GENERAL CONSOLIDADA'!A56</f>
        <v>No. De Estrategias de control implementadas para extracción  ilegal de los recursos naturales. RED DE CONTROL AMBIENTAL RECAM</v>
      </c>
      <c r="B57" s="311" t="str">
        <f>+'MATRIZ GENERAL CONSOLIDADA'!C56</f>
        <v>Und</v>
      </c>
      <c r="C57" s="510">
        <f>+'MATRIZ GENERAL CONSOLIDADA'!H56</f>
        <v>1</v>
      </c>
      <c r="D57" s="781">
        <f>+'MATRIZ GENERAL CONSOLIDADA'!J56</f>
        <v>0.5</v>
      </c>
      <c r="E57" s="510">
        <f t="shared" si="22"/>
        <v>50</v>
      </c>
      <c r="F57" s="456"/>
      <c r="G57" s="301"/>
      <c r="H57" s="304">
        <f>+'MATRIZ GENERAL CONSOLIDADA'!D56</f>
        <v>1</v>
      </c>
      <c r="I57" s="301">
        <f>+'MATRIZ GENERAL CONSOLIDADA'!F56</f>
        <v>0.5</v>
      </c>
      <c r="J57" s="301">
        <f t="shared" si="26"/>
        <v>50</v>
      </c>
      <c r="K57" s="55"/>
      <c r="L57" s="531">
        <f>+'MATRIZ GENERAL CONSOLIDADA'!I56</f>
        <v>910151839.34560001</v>
      </c>
      <c r="M57" s="534">
        <f>+'MATRIZ GENERAL CONSOLIDADA'!K56</f>
        <v>613310511.95599997</v>
      </c>
      <c r="N57" s="301">
        <f t="shared" si="25"/>
        <v>67.385515849418127</v>
      </c>
      <c r="O57" s="301">
        <f>+'MATRIZ GENERAL CONSOLIDADA'!E56</f>
        <v>3927676690.360734</v>
      </c>
      <c r="P57" s="301">
        <f>+'MATRIZ GENERAL CONSOLIDADA'!G56</f>
        <v>613310511.95599997</v>
      </c>
      <c r="Q57" s="406">
        <v>0</v>
      </c>
      <c r="R57" s="785"/>
      <c r="S57" s="372"/>
      <c r="T57" s="372"/>
      <c r="U57" s="372"/>
    </row>
    <row r="58" spans="1:21" ht="82.5" customHeight="1">
      <c r="A58" s="375" t="str">
        <f>+'MATRIZ GENERAL CONSOLIDADA'!A57</f>
        <v>Estrategias de control a la deforestacion y conservacion y uso sostenible de los bosques en el departamento del Huila implementada</v>
      </c>
      <c r="B58" s="311" t="str">
        <f>+'MATRIZ GENERAL CONSOLIDADA'!C57</f>
        <v>Und</v>
      </c>
      <c r="C58" s="510">
        <f>+'MATRIZ GENERAL CONSOLIDADA'!H57</f>
        <v>1</v>
      </c>
      <c r="D58" s="781">
        <f>+'MATRIZ GENERAL CONSOLIDADA'!J57</f>
        <v>0.5</v>
      </c>
      <c r="E58" s="510">
        <f t="shared" si="22"/>
        <v>50</v>
      </c>
      <c r="F58" s="456"/>
      <c r="G58" s="301"/>
      <c r="H58" s="304">
        <f>+'MATRIZ GENERAL CONSOLIDADA'!D57</f>
        <v>4</v>
      </c>
      <c r="I58" s="301">
        <f>+'MATRIZ GENERAL CONSOLIDADA'!F57</f>
        <v>0.5</v>
      </c>
      <c r="J58" s="301">
        <f t="shared" si="26"/>
        <v>12.5</v>
      </c>
      <c r="K58" s="55"/>
      <c r="L58" s="531">
        <f>+'MATRIZ GENERAL CONSOLIDADA'!I57</f>
        <v>27108000</v>
      </c>
      <c r="M58" s="534">
        <f>+'MATRIZ GENERAL CONSOLIDADA'!K57</f>
        <v>27108000</v>
      </c>
      <c r="N58" s="301">
        <f t="shared" si="25"/>
        <v>100</v>
      </c>
      <c r="O58" s="301">
        <f>+'MATRIZ GENERAL CONSOLIDADA'!E57</f>
        <v>128306447.264</v>
      </c>
      <c r="P58" s="301">
        <f>+'MATRIZ GENERAL CONSOLIDADA'!G57</f>
        <v>27108000</v>
      </c>
      <c r="Q58" s="406">
        <v>0</v>
      </c>
      <c r="R58" s="785"/>
      <c r="S58" s="372"/>
      <c r="T58" s="372"/>
      <c r="U58" s="372"/>
    </row>
    <row r="59" spans="1:21" ht="82.5" customHeight="1">
      <c r="A59" s="375" t="str">
        <f>+'MATRIZ GENERAL CONSOLIDADA'!A58</f>
        <v>Estrategia para la preservación, conservación, rehabilitación y/o reintroducción, control y seguimiento a la fauna silvestre formulada e implementada</v>
      </c>
      <c r="B59" s="311" t="str">
        <f>+'MATRIZ GENERAL CONSOLIDADA'!C58</f>
        <v>Und</v>
      </c>
      <c r="C59" s="510">
        <f>+'MATRIZ GENERAL CONSOLIDADA'!H58</f>
        <v>1</v>
      </c>
      <c r="D59" s="781">
        <f>+'MATRIZ GENERAL CONSOLIDADA'!J58</f>
        <v>0.5</v>
      </c>
      <c r="E59" s="510">
        <f t="shared" si="22"/>
        <v>50</v>
      </c>
      <c r="F59" s="456"/>
      <c r="G59" s="301"/>
      <c r="H59" s="304">
        <f>+'MATRIZ GENERAL CONSOLIDADA'!D58</f>
        <v>1</v>
      </c>
      <c r="I59" s="301">
        <f>+'MATRIZ GENERAL CONSOLIDADA'!F58</f>
        <v>0.5</v>
      </c>
      <c r="J59" s="301">
        <f t="shared" si="26"/>
        <v>50</v>
      </c>
      <c r="K59" s="55"/>
      <c r="L59" s="531">
        <f>+'MATRIZ GENERAL CONSOLIDADA'!I58</f>
        <v>278951467</v>
      </c>
      <c r="M59" s="534">
        <f>+'MATRIZ GENERAL CONSOLIDADA'!K58</f>
        <v>188302445</v>
      </c>
      <c r="N59" s="301">
        <f t="shared" si="25"/>
        <v>67.503658261815119</v>
      </c>
      <c r="O59" s="301">
        <f>+'MATRIZ GENERAL CONSOLIDADA'!E58</f>
        <v>1302960335.7163758</v>
      </c>
      <c r="P59" s="301">
        <f>+'MATRIZ GENERAL CONSOLIDADA'!G58</f>
        <v>188302445</v>
      </c>
      <c r="Q59" s="406">
        <v>0</v>
      </c>
      <c r="R59" s="785"/>
      <c r="S59" s="372"/>
      <c r="T59" s="372"/>
      <c r="U59" s="372"/>
    </row>
    <row r="60" spans="1:21" ht="82.5" customHeight="1">
      <c r="A60" s="375" t="str">
        <f>+'MATRIZ GENERAL CONSOLIDADA'!A59</f>
        <v>Fuentes móviles de emisiones atmosféricas (via publica y empresas transportadoras - Laboratorio de fuentes moviles) con seguimiento, monitoreo y control</v>
      </c>
      <c r="B60" s="311" t="str">
        <f>+'MATRIZ GENERAL CONSOLIDADA'!C59</f>
        <v>Und</v>
      </c>
      <c r="C60" s="510">
        <f>+'MATRIZ GENERAL CONSOLIDADA'!H59</f>
        <v>60</v>
      </c>
      <c r="D60" s="514">
        <f>+'MATRIZ GENERAL CONSOLIDADA'!J59</f>
        <v>29</v>
      </c>
      <c r="E60" s="510">
        <f t="shared" si="22"/>
        <v>48.333333333333336</v>
      </c>
      <c r="F60" s="456"/>
      <c r="G60" s="301"/>
      <c r="H60" s="304">
        <f>+'MATRIZ GENERAL CONSOLIDADA'!D59</f>
        <v>105</v>
      </c>
      <c r="I60" s="301">
        <f>+'MATRIZ GENERAL CONSOLIDADA'!F59</f>
        <v>29</v>
      </c>
      <c r="J60" s="301">
        <f t="shared" si="26"/>
        <v>27.61904761904762</v>
      </c>
      <c r="K60" s="55"/>
      <c r="L60" s="531">
        <f>+'MATRIZ GENERAL CONSOLIDADA'!I59</f>
        <v>20538687</v>
      </c>
      <c r="M60" s="534">
        <f>+'MATRIZ GENERAL CONSOLIDADA'!K59</f>
        <v>20538686.436000001</v>
      </c>
      <c r="N60" s="301">
        <f t="shared" si="25"/>
        <v>99.999997253962732</v>
      </c>
      <c r="O60" s="301">
        <f>+'MATRIZ GENERAL CONSOLIDADA'!E59</f>
        <v>97212851.469071522</v>
      </c>
      <c r="P60" s="301">
        <f>+'MATRIZ GENERAL CONSOLIDADA'!G59</f>
        <v>20538686.436000001</v>
      </c>
      <c r="Q60" s="406">
        <v>0</v>
      </c>
      <c r="R60" s="785"/>
      <c r="S60" s="372"/>
      <c r="T60" s="372"/>
      <c r="U60" s="372"/>
    </row>
    <row r="61" spans="1:21" ht="82.5" customHeight="1">
      <c r="A61" s="375" t="str">
        <f>+'MATRIZ GENERAL CONSOLIDADA'!A60</f>
        <v>Red de vigilancia y monitoreo de la calidad del aire implementada</v>
      </c>
      <c r="B61" s="311" t="str">
        <f>+'MATRIZ GENERAL CONSOLIDADA'!C60</f>
        <v>Und</v>
      </c>
      <c r="C61" s="510">
        <f>+'MATRIZ GENERAL CONSOLIDADA'!H60</f>
        <v>1</v>
      </c>
      <c r="D61" s="781">
        <f>+'MATRIZ GENERAL CONSOLIDADA'!J60</f>
        <v>0.5</v>
      </c>
      <c r="E61" s="510">
        <f t="shared" si="22"/>
        <v>50</v>
      </c>
      <c r="F61" s="456"/>
      <c r="G61" s="301"/>
      <c r="H61" s="304">
        <f>+'MATRIZ GENERAL CONSOLIDADA'!D60</f>
        <v>1</v>
      </c>
      <c r="I61" s="301">
        <f>+'MATRIZ GENERAL CONSOLIDADA'!F60</f>
        <v>0.5</v>
      </c>
      <c r="J61" s="301">
        <f t="shared" si="26"/>
        <v>50</v>
      </c>
      <c r="K61" s="55"/>
      <c r="L61" s="531">
        <f>+'MATRIZ GENERAL CONSOLIDADA'!I60</f>
        <v>16522687</v>
      </c>
      <c r="M61" s="534">
        <f>+'MATRIZ GENERAL CONSOLIDADA'!K60</f>
        <v>16522686.436000001</v>
      </c>
      <c r="N61" s="301">
        <f t="shared" si="25"/>
        <v>99.999996586511628</v>
      </c>
      <c r="O61" s="301">
        <f>+'MATRIZ GENERAL CONSOLIDADA'!E60</f>
        <v>78204489.541071504</v>
      </c>
      <c r="P61" s="301">
        <f>+'MATRIZ GENERAL CONSOLIDADA'!G60</f>
        <v>16522686.436000001</v>
      </c>
      <c r="Q61" s="406">
        <v>0</v>
      </c>
      <c r="R61" s="785"/>
      <c r="S61" s="372"/>
      <c r="T61" s="372" t="s">
        <v>602</v>
      </c>
      <c r="U61" s="372"/>
    </row>
    <row r="62" spans="1:21" ht="82.5" customHeight="1">
      <c r="A62" s="375" t="str">
        <f>+'MATRIZ GENERAL CONSOLIDADA'!A61</f>
        <v>Mapas de ruido y planes de descontaminación actualizados</v>
      </c>
      <c r="B62" s="311" t="str">
        <f>+'MATRIZ GENERAL CONSOLIDADA'!C61</f>
        <v>Und</v>
      </c>
      <c r="C62" s="510" t="str">
        <f>+'MATRIZ GENERAL CONSOLIDADA'!H61</f>
        <v>N/A</v>
      </c>
      <c r="D62" s="514" t="str">
        <f>+'MATRIZ GENERAL CONSOLIDADA'!J61</f>
        <v>N/A</v>
      </c>
      <c r="E62" s="510" t="s">
        <v>472</v>
      </c>
      <c r="F62" s="456"/>
      <c r="G62" s="301"/>
      <c r="H62" s="304">
        <f>+'MATRIZ GENERAL CONSOLIDADA'!D61</f>
        <v>0.66666666666666663</v>
      </c>
      <c r="I62" s="301">
        <f>+'MATRIZ GENERAL CONSOLIDADA'!F61</f>
        <v>0</v>
      </c>
      <c r="J62" s="301">
        <f t="shared" si="26"/>
        <v>0</v>
      </c>
      <c r="K62" s="55"/>
      <c r="L62" s="531">
        <f>+'MATRIZ GENERAL CONSOLIDADA'!I61</f>
        <v>0</v>
      </c>
      <c r="M62" s="534">
        <f>+'MATRIZ GENERAL CONSOLIDADA'!K61</f>
        <v>0</v>
      </c>
      <c r="N62" s="301" t="e">
        <f t="shared" si="25"/>
        <v>#DIV/0!</v>
      </c>
      <c r="O62" s="301">
        <f>+'MATRIZ GENERAL CONSOLIDADA'!E61</f>
        <v>174400000</v>
      </c>
      <c r="P62" s="301">
        <f>+'MATRIZ GENERAL CONSOLIDADA'!G61</f>
        <v>0</v>
      </c>
      <c r="Q62" s="406">
        <v>0</v>
      </c>
      <c r="R62" s="785"/>
      <c r="S62" s="372"/>
      <c r="T62" s="372"/>
      <c r="U62" s="372"/>
    </row>
    <row r="63" spans="1:21" ht="82.5" customHeight="1">
      <c r="A63" s="375" t="str">
        <f>+'MATRIZ GENERAL CONSOLIDADA'!A62</f>
        <v>Generadores y gestores de Residuos de Construcción y Demolición - RCD con seguimiento</v>
      </c>
      <c r="B63" s="311" t="str">
        <f>+'MATRIZ GENERAL CONSOLIDADA'!C62</f>
        <v>%</v>
      </c>
      <c r="C63" s="510">
        <f>+'MATRIZ GENERAL CONSOLIDADA'!H62</f>
        <v>100</v>
      </c>
      <c r="D63" s="514">
        <f>+'MATRIZ GENERAL CONSOLIDADA'!J62</f>
        <v>0</v>
      </c>
      <c r="E63" s="510">
        <f t="shared" si="22"/>
        <v>0</v>
      </c>
      <c r="F63" s="456"/>
      <c r="G63" s="301"/>
      <c r="H63" s="304">
        <f>+'MATRIZ GENERAL CONSOLIDADA'!D62</f>
        <v>50.5</v>
      </c>
      <c r="I63" s="301">
        <f>+'MATRIZ GENERAL CONSOLIDADA'!F62</f>
        <v>0</v>
      </c>
      <c r="J63" s="301">
        <f t="shared" si="26"/>
        <v>0</v>
      </c>
      <c r="K63" s="55"/>
      <c r="L63" s="531">
        <f>+'MATRIZ GENERAL CONSOLIDADA'!I62</f>
        <v>70000000</v>
      </c>
      <c r="M63" s="534">
        <f>+'MATRIZ GENERAL CONSOLIDADA'!K62</f>
        <v>53796010.833000004</v>
      </c>
      <c r="N63" s="301">
        <f t="shared" si="25"/>
        <v>76.851444047142863</v>
      </c>
      <c r="O63" s="301">
        <f>+'MATRIZ GENERAL CONSOLIDADA'!E62</f>
        <v>331321060</v>
      </c>
      <c r="P63" s="301">
        <f>+'MATRIZ GENERAL CONSOLIDADA'!G62</f>
        <v>53796010.833000004</v>
      </c>
      <c r="Q63" s="406">
        <v>0</v>
      </c>
      <c r="R63" s="785"/>
      <c r="S63" s="372"/>
      <c r="T63" s="372"/>
      <c r="U63" s="372"/>
    </row>
    <row r="64" spans="1:21" ht="82.5" customHeight="1">
      <c r="A64" s="375" t="str">
        <f>+'MATRIZ GENERAL CONSOLIDADA'!A63</f>
        <v>Empresas obligadas a conformar el Departamento de Gestión Ambiental con seguimiento</v>
      </c>
      <c r="B64" s="311" t="str">
        <f>+'MATRIZ GENERAL CONSOLIDADA'!C63</f>
        <v>%</v>
      </c>
      <c r="C64" s="510">
        <f>+'MATRIZ GENERAL CONSOLIDADA'!H63</f>
        <v>100</v>
      </c>
      <c r="D64" s="803">
        <f>+'MATRIZ GENERAL CONSOLIDADA'!J63</f>
        <v>3</v>
      </c>
      <c r="E64" s="510">
        <f>+(D64/C64)*100</f>
        <v>3</v>
      </c>
      <c r="F64" s="456"/>
      <c r="G64" s="301"/>
      <c r="H64" s="304">
        <f>+'MATRIZ GENERAL CONSOLIDADA'!D63</f>
        <v>50.5</v>
      </c>
      <c r="I64" s="301">
        <f>+'MATRIZ GENERAL CONSOLIDADA'!F63</f>
        <v>3</v>
      </c>
      <c r="J64" s="301">
        <f t="shared" si="26"/>
        <v>5.9405940594059405</v>
      </c>
      <c r="K64" s="55"/>
      <c r="L64" s="531">
        <f>+'MATRIZ GENERAL CONSOLIDADA'!I63</f>
        <v>12000000</v>
      </c>
      <c r="M64" s="534">
        <f>+'MATRIZ GENERAL CONSOLIDADA'!K63</f>
        <v>0</v>
      </c>
      <c r="N64" s="301">
        <f t="shared" si="25"/>
        <v>0</v>
      </c>
      <c r="O64" s="301">
        <f>+'MATRIZ GENERAL CONSOLIDADA'!E63</f>
        <v>56797896</v>
      </c>
      <c r="P64" s="301">
        <f>+'MATRIZ GENERAL CONSOLIDADA'!G63</f>
        <v>0</v>
      </c>
      <c r="Q64" s="406">
        <v>0</v>
      </c>
      <c r="R64" s="785"/>
      <c r="S64" s="372"/>
      <c r="T64" s="372"/>
      <c r="U64" s="372"/>
    </row>
    <row r="65" spans="1:21" ht="82.5" customHeight="1">
      <c r="A65" s="375" t="str">
        <f>+'MATRIZ GENERAL CONSOLIDADA'!A64</f>
        <v>Porcentaje de Optimización y seguimiento de los aplicativos en línea de trámites ambientales (CITA, RUIA, SUNL, LOFL, SILAMC - VITAL).</v>
      </c>
      <c r="B65" s="311" t="str">
        <f>+'MATRIZ GENERAL CONSOLIDADA'!C64</f>
        <v>%</v>
      </c>
      <c r="C65" s="510">
        <f>+'MATRIZ GENERAL CONSOLIDADA'!H64</f>
        <v>100</v>
      </c>
      <c r="D65" s="781">
        <f>+'MATRIZ GENERAL CONSOLIDADA'!J64</f>
        <v>50</v>
      </c>
      <c r="E65" s="510">
        <f t="shared" si="22"/>
        <v>50</v>
      </c>
      <c r="F65" s="456"/>
      <c r="G65" s="301"/>
      <c r="H65" s="304">
        <f>+'MATRIZ GENERAL CONSOLIDADA'!D64</f>
        <v>25.75</v>
      </c>
      <c r="I65" s="301">
        <f>+'MATRIZ GENERAL CONSOLIDADA'!F64</f>
        <v>0</v>
      </c>
      <c r="J65" s="301">
        <f t="shared" si="26"/>
        <v>0</v>
      </c>
      <c r="K65" s="55"/>
      <c r="L65" s="531">
        <f>+'MATRIZ GENERAL CONSOLIDADA'!I64</f>
        <v>191281761</v>
      </c>
      <c r="M65" s="534">
        <f>+'MATRIZ GENERAL CONSOLIDADA'!K64</f>
        <v>148060967</v>
      </c>
      <c r="N65" s="301">
        <f t="shared" si="25"/>
        <v>77.404644450131343</v>
      </c>
      <c r="O65" s="301">
        <f>+'MATRIZ GENERAL CONSOLIDADA'!E64</f>
        <v>1046080106.9571999</v>
      </c>
      <c r="P65" s="301">
        <f>+'MATRIZ GENERAL CONSOLIDADA'!G64</f>
        <v>0</v>
      </c>
      <c r="Q65" s="406">
        <v>0</v>
      </c>
      <c r="R65" s="785"/>
      <c r="S65" s="372"/>
      <c r="T65" s="372"/>
      <c r="U65" s="372"/>
    </row>
    <row r="66" spans="1:21" ht="82.5" customHeight="1">
      <c r="A66" s="375" t="str">
        <f>+'MATRIZ GENERAL CONSOLIDADA'!A65</f>
        <v>Porcentaje de actualización y reporte de la información en el SIAC (IM 26)</v>
      </c>
      <c r="B66" s="311" t="str">
        <f>+'MATRIZ GENERAL CONSOLIDADA'!C65</f>
        <v>%</v>
      </c>
      <c r="C66" s="510">
        <f>+'MATRIZ GENERAL CONSOLIDADA'!H65*100</f>
        <v>9000</v>
      </c>
      <c r="D66" s="514">
        <f>+'MATRIZ GENERAL CONSOLIDADA'!J65*100</f>
        <v>6500</v>
      </c>
      <c r="E66" s="510">
        <f t="shared" si="22"/>
        <v>72.222222222222214</v>
      </c>
      <c r="F66" s="456"/>
      <c r="G66" s="301"/>
      <c r="H66" s="304">
        <f>+'MATRIZ GENERAL CONSOLIDADA'!D65</f>
        <v>0</v>
      </c>
      <c r="I66" s="301">
        <f>+'MATRIZ GENERAL CONSOLIDADA'!F65</f>
        <v>0</v>
      </c>
      <c r="J66" s="301">
        <v>0</v>
      </c>
      <c r="K66" s="55"/>
      <c r="L66" s="531">
        <f>+'MATRIZ GENERAL CONSOLIDADA'!I65</f>
        <v>36477830</v>
      </c>
      <c r="M66" s="534">
        <f>+'MATRIZ GENERAL CONSOLIDADA'!K65</f>
        <v>36477830</v>
      </c>
      <c r="N66" s="301">
        <f t="shared" si="25"/>
        <v>100</v>
      </c>
      <c r="O66" s="301">
        <f>+'MATRIZ GENERAL CONSOLIDADA'!E65</f>
        <v>250107350</v>
      </c>
      <c r="P66" s="301">
        <f>+'MATRIZ GENERAL CONSOLIDADA'!G65</f>
        <v>0</v>
      </c>
      <c r="Q66" s="406">
        <v>0</v>
      </c>
      <c r="R66" s="785"/>
      <c r="S66" s="372"/>
      <c r="T66" s="372" t="s">
        <v>579</v>
      </c>
      <c r="U66" s="372"/>
    </row>
    <row r="67" spans="1:21" ht="82.5" customHeight="1">
      <c r="A67" s="375" t="str">
        <f>+'MATRIZ GENERAL CONSOLIDADA'!A66</f>
        <v>Porcentaje de cuerpos de agua con reglamentación por uso de las aguas (IM 4)</v>
      </c>
      <c r="B67" s="311" t="str">
        <f>+'MATRIZ GENERAL CONSOLIDADA'!C66</f>
        <v>%</v>
      </c>
      <c r="C67" s="510">
        <f>+'MATRIZ GENERAL CONSOLIDADA'!H66</f>
        <v>20</v>
      </c>
      <c r="D67" s="514">
        <f>+'MATRIZ GENERAL CONSOLIDADA'!J66</f>
        <v>0</v>
      </c>
      <c r="E67" s="510">
        <f t="shared" si="22"/>
        <v>0</v>
      </c>
      <c r="F67" s="456"/>
      <c r="G67" s="301"/>
      <c r="H67" s="304">
        <f>+'MATRIZ GENERAL CONSOLIDADA'!D66</f>
        <v>0</v>
      </c>
      <c r="I67" s="301">
        <f>+'MATRIZ GENERAL CONSOLIDADA'!F66</f>
        <v>0</v>
      </c>
      <c r="J67" s="301">
        <v>0</v>
      </c>
      <c r="K67" s="55"/>
      <c r="L67" s="531">
        <f>+'MATRIZ GENERAL CONSOLIDADA'!I66</f>
        <v>199288633</v>
      </c>
      <c r="M67" s="534">
        <f>+'MATRIZ GENERAL CONSOLIDADA'!K66</f>
        <v>0</v>
      </c>
      <c r="N67" s="301">
        <f t="shared" si="25"/>
        <v>0</v>
      </c>
      <c r="O67" s="301">
        <f>+'MATRIZ GENERAL CONSOLIDADA'!E66</f>
        <v>699288633</v>
      </c>
      <c r="P67" s="301">
        <f>+'MATRIZ GENERAL CONSOLIDADA'!G66</f>
        <v>0</v>
      </c>
      <c r="Q67" s="406">
        <v>0</v>
      </c>
      <c r="R67" s="785"/>
      <c r="S67" s="372"/>
      <c r="T67" s="372" t="s">
        <v>580</v>
      </c>
      <c r="U67" s="372" t="s">
        <v>608</v>
      </c>
    </row>
    <row r="68" spans="1:21" ht="82.5" customHeight="1">
      <c r="A68" s="375" t="str">
        <f>+'MATRIZ GENERAL CONSOLIDADA'!A67</f>
        <v>Porcentaje de cuerpos de agua con plan de ordenamiento del recurso hídrico (PORH) adoptados (IM 2)</v>
      </c>
      <c r="B68" s="311" t="str">
        <f>+'MATRIZ GENERAL CONSOLIDADA'!C67</f>
        <v>%</v>
      </c>
      <c r="C68" s="510">
        <f>+'MATRIZ GENERAL CONSOLIDADA'!H67</f>
        <v>20</v>
      </c>
      <c r="D68" s="514">
        <f>+'MATRIZ GENERAL CONSOLIDADA'!J67</f>
        <v>0</v>
      </c>
      <c r="E68" s="510">
        <f t="shared" si="22"/>
        <v>0</v>
      </c>
      <c r="F68" s="456"/>
      <c r="G68" s="301"/>
      <c r="H68" s="304">
        <f>+'MATRIZ GENERAL CONSOLIDADA'!D67</f>
        <v>0</v>
      </c>
      <c r="I68" s="301">
        <f>+'MATRIZ GENERAL CONSOLIDADA'!F67</f>
        <v>0</v>
      </c>
      <c r="J68" s="301">
        <v>0</v>
      </c>
      <c r="K68" s="55"/>
      <c r="L68" s="531">
        <f>+'MATRIZ GENERAL CONSOLIDADA'!I67</f>
        <v>324995200</v>
      </c>
      <c r="M68" s="534">
        <f>+'MATRIZ GENERAL CONSOLIDADA'!K67</f>
        <v>0</v>
      </c>
      <c r="N68" s="301">
        <f t="shared" si="25"/>
        <v>0</v>
      </c>
      <c r="O68" s="301">
        <f>+'MATRIZ GENERAL CONSOLIDADA'!E67</f>
        <v>924995200</v>
      </c>
      <c r="P68" s="301">
        <f>+'MATRIZ GENERAL CONSOLIDADA'!G67</f>
        <v>0</v>
      </c>
      <c r="Q68" s="406">
        <v>0</v>
      </c>
      <c r="R68" s="785"/>
      <c r="S68" s="372"/>
      <c r="T68" s="372" t="s">
        <v>581</v>
      </c>
      <c r="U68" s="372" t="s">
        <v>608</v>
      </c>
    </row>
    <row r="69" spans="1:21" ht="82.5" customHeight="1">
      <c r="A69" s="375" t="str">
        <f>+'MATRIZ GENERAL CONSOLIDADA'!A68</f>
        <v>Implementación del Programa Institucional Regional de monitoreo del agua - PIRMA en aguas superficial y subterráneas</v>
      </c>
      <c r="B69" s="311" t="str">
        <f>+'MATRIZ GENERAL CONSOLIDADA'!C68</f>
        <v>Und</v>
      </c>
      <c r="C69" s="510">
        <f>+'MATRIZ GENERAL CONSOLIDADA'!H68</f>
        <v>1</v>
      </c>
      <c r="D69" s="803">
        <f>+'MATRIZ GENERAL CONSOLIDADA'!J68</f>
        <v>0.2</v>
      </c>
      <c r="E69" s="510">
        <f t="shared" si="22"/>
        <v>20</v>
      </c>
      <c r="F69" s="455"/>
      <c r="G69" s="301"/>
      <c r="H69" s="304">
        <f>+'MATRIZ GENERAL CONSOLIDADA'!D68</f>
        <v>0</v>
      </c>
      <c r="I69" s="301">
        <f>+'MATRIZ GENERAL CONSOLIDADA'!F68</f>
        <v>0</v>
      </c>
      <c r="J69" s="301">
        <v>0</v>
      </c>
      <c r="K69" s="306"/>
      <c r="L69" s="531">
        <f>+'MATRIZ GENERAL CONSOLIDADA'!I68</f>
        <v>1576566831</v>
      </c>
      <c r="M69" s="534">
        <f>+'MATRIZ GENERAL CONSOLIDADA'!K68</f>
        <v>959159678.05866623</v>
      </c>
      <c r="N69" s="301">
        <f t="shared" si="25"/>
        <v>60.838504223146771</v>
      </c>
      <c r="O69" s="301">
        <f>+'MATRIZ GENERAL CONSOLIDADA'!E68</f>
        <v>5971054095.6289997</v>
      </c>
      <c r="P69" s="301">
        <f>+'MATRIZ GENERAL CONSOLIDADA'!G68</f>
        <v>0</v>
      </c>
      <c r="Q69" s="406">
        <v>0</v>
      </c>
      <c r="R69" s="785"/>
      <c r="S69" s="372"/>
      <c r="T69" s="372"/>
      <c r="U69" s="372" t="s">
        <v>608</v>
      </c>
    </row>
    <row r="70" spans="1:21" ht="82.5" customHeight="1">
      <c r="A70" s="375" t="str">
        <f>+'MATRIZ GENERAL CONSOLIDADA'!A69</f>
        <v>Estudios Ambientales del recurso hídrico Evaluación Regional del Agua - ERA elaborados</v>
      </c>
      <c r="B70" s="311">
        <f>+'MATRIZ GENERAL CONSOLIDADA'!C69</f>
        <v>0</v>
      </c>
      <c r="C70" s="510" t="str">
        <f>+'MATRIZ GENERAL CONSOLIDADA'!H69</f>
        <v>N/A</v>
      </c>
      <c r="D70" s="514" t="str">
        <f>+'MATRIZ GENERAL CONSOLIDADA'!J69</f>
        <v>N/A</v>
      </c>
      <c r="E70" s="510" t="s">
        <v>472</v>
      </c>
      <c r="F70" s="455"/>
      <c r="G70" s="301"/>
      <c r="H70" s="304">
        <f>+'MATRIZ GENERAL CONSOLIDADA'!D69</f>
        <v>0</v>
      </c>
      <c r="I70" s="301">
        <f>+'MATRIZ GENERAL CONSOLIDADA'!F69</f>
        <v>0</v>
      </c>
      <c r="J70" s="301" t="s">
        <v>472</v>
      </c>
      <c r="K70" s="306"/>
      <c r="L70" s="531">
        <f>+'MATRIZ GENERAL CONSOLIDADA'!I69</f>
        <v>0</v>
      </c>
      <c r="M70" s="534">
        <f>+'MATRIZ GENERAL CONSOLIDADA'!K69</f>
        <v>0</v>
      </c>
      <c r="N70" s="301" t="s">
        <v>472</v>
      </c>
      <c r="O70" s="301">
        <f>+'MATRIZ GENERAL CONSOLIDADA'!E69</f>
        <v>689600000</v>
      </c>
      <c r="P70" s="301">
        <f>+'MATRIZ GENERAL CONSOLIDADA'!G69</f>
        <v>0</v>
      </c>
      <c r="Q70" s="406">
        <v>0</v>
      </c>
      <c r="R70" s="785"/>
      <c r="S70" s="372"/>
      <c r="T70" s="372"/>
      <c r="U70" s="372" t="s">
        <v>608</v>
      </c>
    </row>
    <row r="71" spans="1:21" ht="82.5" customHeight="1">
      <c r="A71" s="375" t="str">
        <f>+'MATRIZ GENERAL CONSOLIDADA'!A70</f>
        <v>Gestión, Operación, Administración y Promoción del Proyecto apoyados</v>
      </c>
      <c r="B71" s="311" t="str">
        <f>+'MATRIZ GENERAL CONSOLIDADA'!C70</f>
        <v>Global</v>
      </c>
      <c r="C71" s="510">
        <f>+'MATRIZ GENERAL CONSOLIDADA'!H70</f>
        <v>1</v>
      </c>
      <c r="D71" s="514">
        <f>+'MATRIZ GENERAL CONSOLIDADA'!J70</f>
        <v>0.6</v>
      </c>
      <c r="E71" s="510" t="s">
        <v>472</v>
      </c>
      <c r="F71" s="455"/>
      <c r="G71" s="301"/>
      <c r="H71" s="304">
        <f>+'MATRIZ GENERAL CONSOLIDADA'!D70</f>
        <v>0</v>
      </c>
      <c r="I71" s="301">
        <f>+'MATRIZ GENERAL CONSOLIDADA'!F70</f>
        <v>0</v>
      </c>
      <c r="J71" s="301" t="s">
        <v>472</v>
      </c>
      <c r="K71" s="306"/>
      <c r="L71" s="531">
        <f>+'MATRIZ GENERAL CONSOLIDADA'!I70</f>
        <v>31217546</v>
      </c>
      <c r="M71" s="534">
        <f>+'MATRIZ GENERAL CONSOLIDADA'!K70</f>
        <v>21217546</v>
      </c>
      <c r="N71" s="301">
        <f t="shared" si="25"/>
        <v>67.966732554826706</v>
      </c>
      <c r="O71" s="301">
        <f>+'MATRIZ GENERAL CONSOLIDADA'!E70</f>
        <v>147757579.54766798</v>
      </c>
      <c r="P71" s="301">
        <f>+'MATRIZ GENERAL CONSOLIDADA'!G70</f>
        <v>21217546</v>
      </c>
      <c r="Q71" s="406">
        <v>0</v>
      </c>
      <c r="R71" s="785"/>
      <c r="S71" s="372"/>
      <c r="T71" s="372"/>
      <c r="U71" s="372"/>
    </row>
    <row r="72" spans="1:21" ht="82.5" customHeight="1">
      <c r="A72" s="799" t="str">
        <f>+'MATRIZ GENERAL CONSOLIDADA'!A71</f>
        <v>Proyecto No. 4.2 Fortalecimiento institucional para la gestiòn ambiental</v>
      </c>
      <c r="B72" s="324"/>
      <c r="C72" s="516"/>
      <c r="D72" s="511"/>
      <c r="E72" s="511">
        <f>AVERAGE(E73:E78)</f>
        <v>35</v>
      </c>
      <c r="F72" s="413"/>
      <c r="G72" s="313"/>
      <c r="H72" s="407">
        <f>AVERAGE(H73:H78)</f>
        <v>12.833333333333334</v>
      </c>
      <c r="I72" s="407">
        <f>AVERAGE(I73:I78)</f>
        <v>5.1833333333333336</v>
      </c>
      <c r="J72" s="284">
        <f>AVERAGE(J73:J78)</f>
        <v>26.666666666666668</v>
      </c>
      <c r="K72" s="284"/>
      <c r="L72" s="284">
        <f>SUM(L73:L78)</f>
        <v>877773853</v>
      </c>
      <c r="M72" s="284">
        <f>SUM(M73:M78)</f>
        <v>435191832.67200005</v>
      </c>
      <c r="N72" s="284">
        <f>+M72/L72*100</f>
        <v>49.579038061412845</v>
      </c>
      <c r="O72" s="284">
        <f>SUM(O73:O78)</f>
        <v>3791085655</v>
      </c>
      <c r="P72" s="320">
        <f>SUM(P73:P78)</f>
        <v>8992568942.9413338</v>
      </c>
      <c r="Q72" s="320">
        <f t="shared" ref="Q72:Q81" si="27">+(P72/O72)*100</f>
        <v>237.20300096836863</v>
      </c>
      <c r="R72" s="785"/>
      <c r="S72" s="372"/>
      <c r="T72" s="372"/>
      <c r="U72" s="372"/>
    </row>
    <row r="73" spans="1:21" ht="82.5" customHeight="1">
      <c r="A73" s="332" t="str">
        <f>+'MATRIZ GENERAL CONSOLIDADA'!A72</f>
        <v>Porcentaje de Consolidación y fortalecimiento del Modelo Integrado de Planeación y Gestión - MIPG</v>
      </c>
      <c r="B73" s="311" t="str">
        <f>+'MATRIZ GENERAL CONSOLIDADA'!C72</f>
        <v>%</v>
      </c>
      <c r="C73" s="510">
        <f>+'MATRIZ GENERAL CONSOLIDADA'!D72</f>
        <v>25</v>
      </c>
      <c r="D73" s="528">
        <f>+'MATRIZ GENERAL CONSOLIDADA'!J72</f>
        <v>15</v>
      </c>
      <c r="E73" s="510">
        <f t="shared" si="22"/>
        <v>60</v>
      </c>
      <c r="F73" s="455"/>
      <c r="G73" s="301"/>
      <c r="H73" s="304">
        <f>+'MATRIZ GENERAL CONSOLIDADA'!D72</f>
        <v>25</v>
      </c>
      <c r="I73" s="301">
        <f>+'MATRIZ GENERAL CONSOLIDADA'!F72</f>
        <v>15</v>
      </c>
      <c r="J73" s="301">
        <f t="shared" ref="J73:J80" si="28">+(I73/H73)*100</f>
        <v>60</v>
      </c>
      <c r="K73" s="306"/>
      <c r="L73" s="531">
        <f>+'MATRIZ GENERAL CONSOLIDADA'!I72</f>
        <v>308297197</v>
      </c>
      <c r="M73" s="534">
        <f>+'MATRIZ GENERAL CONSOLIDADA'!K72</f>
        <v>222088257.71200001</v>
      </c>
      <c r="N73" s="301" t="s">
        <v>472</v>
      </c>
      <c r="O73" s="301">
        <f>+'MATRIZ GENERAL CONSOLIDADA'!E72</f>
        <v>1053601843</v>
      </c>
      <c r="P73" s="301">
        <f>+'MATRIZ GENERAL CONSOLIDADA'!G79</f>
        <v>221809560</v>
      </c>
      <c r="Q73" s="406">
        <f t="shared" si="27"/>
        <v>21.052503037430618</v>
      </c>
      <c r="R73" s="785"/>
      <c r="S73" s="786" t="s">
        <v>612</v>
      </c>
      <c r="T73" s="372"/>
      <c r="U73" s="372"/>
    </row>
    <row r="74" spans="1:21" ht="82.5" customHeight="1">
      <c r="A74" s="332" t="str">
        <f>+'MATRIZ GENERAL CONSOLIDADA'!A73</f>
        <v>Porcentaje de la Política de servicio al ciudadano implementada</v>
      </c>
      <c r="B74" s="311" t="str">
        <f>+'MATRIZ GENERAL CONSOLIDADA'!C73</f>
        <v>%</v>
      </c>
      <c r="C74" s="514">
        <f>+'MATRIZ GENERAL CONSOLIDADA'!H73</f>
        <v>5</v>
      </c>
      <c r="D74" s="781">
        <f>+'MATRIZ GENERAL CONSOLIDADA'!J73</f>
        <v>1.5</v>
      </c>
      <c r="E74" s="510">
        <f>+(D74/C74)*100</f>
        <v>30</v>
      </c>
      <c r="F74" s="455"/>
      <c r="G74" s="301"/>
      <c r="H74" s="304">
        <f>+'MATRIZ GENERAL CONSOLIDADA'!D73</f>
        <v>5</v>
      </c>
      <c r="I74" s="301">
        <f>+'MATRIZ GENERAL CONSOLIDADA'!F73</f>
        <v>1.5</v>
      </c>
      <c r="J74" s="301">
        <f t="shared" si="28"/>
        <v>30</v>
      </c>
      <c r="K74" s="306"/>
      <c r="L74" s="531">
        <f>+'MATRIZ GENERAL CONSOLIDADA'!I73</f>
        <v>18465568</v>
      </c>
      <c r="M74" s="534">
        <f>+'MATRIZ GENERAL CONSOLIDADA'!K73</f>
        <v>4689924.96</v>
      </c>
      <c r="N74" s="301">
        <f>+M74/L74*100</f>
        <v>25.398216615919967</v>
      </c>
      <c r="O74" s="301">
        <f>+'MATRIZ GENERAL CONSOLIDADA'!E73</f>
        <v>106540933</v>
      </c>
      <c r="P74" s="301">
        <f>+'MATRIZ GENERAL CONSOLIDADA'!G80</f>
        <v>25562900</v>
      </c>
      <c r="Q74" s="406">
        <f t="shared" si="27"/>
        <v>23.993501164477319</v>
      </c>
      <c r="R74" s="785"/>
      <c r="S74" s="786" t="s">
        <v>612</v>
      </c>
      <c r="T74" s="372"/>
      <c r="U74" s="372"/>
    </row>
    <row r="75" spans="1:21" ht="82.5" customHeight="1">
      <c r="A75" s="332" t="str">
        <f>+'MATRIZ GENERAL CONSOLIDADA'!A74</f>
        <v>Porcentaje de actualización e implementación del Plan Estratégico Tecnológico de la CAM para el período 2020-2023</v>
      </c>
      <c r="B75" s="311" t="str">
        <f>+'MATRIZ GENERAL CONSOLIDADA'!C74</f>
        <v>%</v>
      </c>
      <c r="C75" s="510">
        <f>+'MATRIZ GENERAL CONSOLIDADA'!D74</f>
        <v>25</v>
      </c>
      <c r="D75" s="528">
        <f>+'MATRIZ GENERAL CONSOLIDADA'!J74</f>
        <v>12.5</v>
      </c>
      <c r="E75" s="510">
        <f t="shared" si="22"/>
        <v>50</v>
      </c>
      <c r="F75" s="455"/>
      <c r="G75" s="301"/>
      <c r="H75" s="304">
        <f>+'MATRIZ GENERAL CONSOLIDADA'!D74</f>
        <v>25</v>
      </c>
      <c r="I75" s="301">
        <f>+'MATRIZ GENERAL CONSOLIDADA'!F74</f>
        <v>12.5</v>
      </c>
      <c r="J75" s="301">
        <f t="shared" ref="J75:J78" si="29">+(I75/H75)*100</f>
        <v>50</v>
      </c>
      <c r="K75" s="306"/>
      <c r="L75" s="531">
        <f>+'MATRIZ GENERAL CONSOLIDADA'!I74</f>
        <v>465430798</v>
      </c>
      <c r="M75" s="534">
        <f>+'MATRIZ GENERAL CONSOLIDADA'!K74</f>
        <v>205857360</v>
      </c>
      <c r="N75" s="301">
        <f t="shared" ref="N75:N78" si="30">+M75/L75*100</f>
        <v>44.229423769245287</v>
      </c>
      <c r="O75" s="301">
        <f>+'MATRIZ GENERAL CONSOLIDADA'!E74</f>
        <v>1917786348</v>
      </c>
      <c r="P75" s="301">
        <f>+'MATRIZ GENERAL CONSOLIDADA'!G81</f>
        <v>3800749003.9413338</v>
      </c>
      <c r="Q75" s="406">
        <f t="shared" ref="Q75:Q78" si="31">+(P75/O75)*100</f>
        <v>198.18417249163429</v>
      </c>
      <c r="R75" s="785"/>
      <c r="S75" s="786" t="s">
        <v>612</v>
      </c>
      <c r="T75" s="372"/>
      <c r="U75" s="372"/>
    </row>
    <row r="76" spans="1:21" ht="82.5" customHeight="1">
      <c r="A76" s="332" t="str">
        <f>+'MATRIZ GENERAL CONSOLIDADA'!A75</f>
        <v xml:space="preserve">Porcentaje de actualización e Implementacion del programa de gestión documental  </v>
      </c>
      <c r="B76" s="311" t="str">
        <f>+'MATRIZ GENERAL CONSOLIDADA'!C75</f>
        <v>%</v>
      </c>
      <c r="C76" s="510">
        <f>+'MATRIZ GENERAL CONSOLIDADA'!H75</f>
        <v>20</v>
      </c>
      <c r="D76" s="528">
        <f>+'MATRIZ GENERAL CONSOLIDADA'!J75</f>
        <v>2</v>
      </c>
      <c r="E76" s="510">
        <f>+(D76/C76)*100</f>
        <v>10</v>
      </c>
      <c r="F76" s="455"/>
      <c r="G76" s="301"/>
      <c r="H76" s="304">
        <f>+'MATRIZ GENERAL CONSOLIDADA'!D75</f>
        <v>20</v>
      </c>
      <c r="I76" s="301">
        <f>+'MATRIZ GENERAL CONSOLIDADA'!F75</f>
        <v>2</v>
      </c>
      <c r="J76" s="301">
        <f t="shared" si="29"/>
        <v>10</v>
      </c>
      <c r="K76" s="306"/>
      <c r="L76" s="531">
        <f>+'MATRIZ GENERAL CONSOLIDADA'!I75</f>
        <v>67000000</v>
      </c>
      <c r="M76" s="534">
        <f>+'MATRIZ GENERAL CONSOLIDADA'!K75</f>
        <v>0</v>
      </c>
      <c r="N76" s="301">
        <f t="shared" si="30"/>
        <v>0</v>
      </c>
      <c r="O76" s="301">
        <f>+'MATRIZ GENERAL CONSOLIDADA'!E75</f>
        <v>239500000</v>
      </c>
      <c r="P76" s="301">
        <f>+'MATRIZ GENERAL CONSOLIDADA'!G82</f>
        <v>0</v>
      </c>
      <c r="Q76" s="406">
        <f t="shared" si="31"/>
        <v>0</v>
      </c>
      <c r="R76" s="785"/>
      <c r="S76" s="786" t="s">
        <v>612</v>
      </c>
      <c r="T76" s="372"/>
      <c r="U76" s="372"/>
    </row>
    <row r="77" spans="1:21" ht="82.5" customHeight="1">
      <c r="A77" s="332" t="str">
        <f>+'MATRIZ GENERAL CONSOLIDADA'!A76</f>
        <v>Porcentaje de sedes Diseñadas y/o construidas y/o adecuadas, como ejemplo de sostenibilidad ambiental y armonía con el ambiente</v>
      </c>
      <c r="B77" s="311" t="str">
        <f>+'MATRIZ GENERAL CONSOLIDADA'!C76</f>
        <v>Global</v>
      </c>
      <c r="C77" s="510">
        <f>+'MATRIZ GENERAL CONSOLIDADA'!D76</f>
        <v>1</v>
      </c>
      <c r="D77" s="528">
        <f>+'MATRIZ GENERAL CONSOLIDADA'!J76</f>
        <v>0.1</v>
      </c>
      <c r="E77" s="510">
        <f t="shared" si="22"/>
        <v>10</v>
      </c>
      <c r="F77" s="455"/>
      <c r="G77" s="301"/>
      <c r="H77" s="304">
        <f>+'MATRIZ GENERAL CONSOLIDADA'!D76</f>
        <v>1</v>
      </c>
      <c r="I77" s="301">
        <f>+'MATRIZ GENERAL CONSOLIDADA'!F76</f>
        <v>0.1</v>
      </c>
      <c r="J77" s="301">
        <f t="shared" si="29"/>
        <v>10</v>
      </c>
      <c r="K77" s="306"/>
      <c r="L77" s="531">
        <f>+'MATRIZ GENERAL CONSOLIDADA'!I76</f>
        <v>14016000</v>
      </c>
      <c r="M77" s="534">
        <f>+'MATRIZ GENERAL CONSOLIDADA'!K76</f>
        <v>0</v>
      </c>
      <c r="N77" s="301">
        <f t="shared" si="30"/>
        <v>0</v>
      </c>
      <c r="O77" s="301">
        <f>+'MATRIZ GENERAL CONSOLIDADA'!E76</f>
        <v>414016000</v>
      </c>
      <c r="P77" s="301">
        <f>+'MATRIZ GENERAL CONSOLIDADA'!G83</f>
        <v>0</v>
      </c>
      <c r="Q77" s="406">
        <f t="shared" si="31"/>
        <v>0</v>
      </c>
      <c r="R77" s="785"/>
      <c r="S77" s="786" t="s">
        <v>612</v>
      </c>
      <c r="T77" s="372"/>
      <c r="U77" s="372"/>
    </row>
    <row r="78" spans="1:21" ht="82.5" customHeight="1">
      <c r="A78" s="332" t="str">
        <f>+'MATRIZ GENERAL CONSOLIDADA'!A77</f>
        <v>Apoyo a la Gestión, Operación, Administración y Promoción del Proyecto</v>
      </c>
      <c r="B78" s="311" t="str">
        <f>+'MATRIZ GENERAL CONSOLIDADA'!C77</f>
        <v>Global</v>
      </c>
      <c r="C78" s="510">
        <f>+'MATRIZ GENERAL CONSOLIDADA'!D77</f>
        <v>1</v>
      </c>
      <c r="D78" s="528">
        <f>+'MATRIZ GENERAL CONSOLIDADA'!J77</f>
        <v>0.5</v>
      </c>
      <c r="E78" s="510">
        <f t="shared" si="22"/>
        <v>50</v>
      </c>
      <c r="F78" s="455"/>
      <c r="G78" s="301"/>
      <c r="H78" s="304">
        <f>+'MATRIZ GENERAL CONSOLIDADA'!D77</f>
        <v>1</v>
      </c>
      <c r="I78" s="301">
        <f>+'MATRIZ GENERAL CONSOLIDADA'!F77</f>
        <v>0</v>
      </c>
      <c r="J78" s="301">
        <f t="shared" si="29"/>
        <v>0</v>
      </c>
      <c r="K78" s="306"/>
      <c r="L78" s="531">
        <f>+'MATRIZ GENERAL CONSOLIDADA'!I77</f>
        <v>4564290</v>
      </c>
      <c r="M78" s="534">
        <f>+'MATRIZ GENERAL CONSOLIDADA'!K77</f>
        <v>2556290</v>
      </c>
      <c r="N78" s="301">
        <f t="shared" si="30"/>
        <v>56.00630108954514</v>
      </c>
      <c r="O78" s="301">
        <f>+'MATRIZ GENERAL CONSOLIDADA'!E77</f>
        <v>59640531</v>
      </c>
      <c r="P78" s="301">
        <f>+'MATRIZ GENERAL CONSOLIDADA'!G84</f>
        <v>4944447479</v>
      </c>
      <c r="Q78" s="406">
        <f t="shared" si="31"/>
        <v>8290.4149176673163</v>
      </c>
      <c r="R78" s="785"/>
      <c r="S78" s="372"/>
      <c r="T78" s="372"/>
      <c r="U78" s="372"/>
    </row>
    <row r="79" spans="1:21" ht="82.5" customHeight="1">
      <c r="A79" s="324" t="str">
        <f>+'MATRIZ GENERAL CONSOLIDADA'!A78</f>
        <v xml:space="preserve">Proyecto No. 4.3 Educaciòn y cultura ambiental </v>
      </c>
      <c r="B79" s="324"/>
      <c r="C79" s="284"/>
      <c r="D79" s="511"/>
      <c r="E79" s="585">
        <f>AVERAGE(E80:E81)</f>
        <v>75</v>
      </c>
      <c r="F79" s="405"/>
      <c r="G79" s="313"/>
      <c r="H79" s="313">
        <f>AVERAGE(H80:H81)</f>
        <v>50.5</v>
      </c>
      <c r="I79" s="313">
        <f>AVERAGE(I80:I81)</f>
        <v>25.5</v>
      </c>
      <c r="J79" s="412">
        <f>+(I79/H79)*100</f>
        <v>50.495049504950494</v>
      </c>
      <c r="K79" s="284"/>
      <c r="L79" s="284">
        <f>SUM(L80:L81)</f>
        <v>713654392</v>
      </c>
      <c r="M79" s="284">
        <f t="shared" ref="M79:Q79" si="32">SUM(M80:M81)</f>
        <v>247372460</v>
      </c>
      <c r="N79" s="284">
        <f>+M79/L79*100</f>
        <v>34.662781140706549</v>
      </c>
      <c r="O79" s="284">
        <f t="shared" si="32"/>
        <v>3950761854.8000002</v>
      </c>
      <c r="P79" s="284">
        <f t="shared" si="32"/>
        <v>247372460</v>
      </c>
      <c r="Q79" s="284">
        <f t="shared" si="32"/>
        <v>22.071492772116365</v>
      </c>
      <c r="R79" s="785"/>
      <c r="S79" s="372"/>
      <c r="T79" s="372"/>
      <c r="U79" s="372"/>
    </row>
    <row r="80" spans="1:21" ht="82.5" customHeight="1">
      <c r="A80" s="800" t="str">
        <f>+'MATRIZ GENERAL CONSOLIDADA'!A79</f>
        <v>Ejecución de acciones en Educación Ambiental (IM 27)</v>
      </c>
      <c r="B80" s="311" t="str">
        <f>+'MATRIZ GENERAL CONSOLIDADA'!C79</f>
        <v>%</v>
      </c>
      <c r="C80" s="510">
        <f>+'MATRIZ GENERAL CONSOLIDADA'!H79</f>
        <v>100</v>
      </c>
      <c r="D80" s="510">
        <f>+'MATRIZ GENERAL CONSOLIDADA'!J79</f>
        <v>50</v>
      </c>
      <c r="E80" s="510">
        <f t="shared" ref="E80:E81" si="33">+(D80/C80)*100</f>
        <v>50</v>
      </c>
      <c r="F80" s="455"/>
      <c r="G80" s="301"/>
      <c r="H80" s="304">
        <f>+'MATRIZ GENERAL CONSOLIDADA'!D79</f>
        <v>100</v>
      </c>
      <c r="I80" s="301">
        <f>+'MATRIZ GENERAL CONSOLIDADA'!F79</f>
        <v>50</v>
      </c>
      <c r="J80" s="301">
        <f t="shared" si="28"/>
        <v>50</v>
      </c>
      <c r="K80" s="306"/>
      <c r="L80" s="531">
        <f>+'MATRIZ GENERAL CONSOLIDADA'!I79</f>
        <v>688091492</v>
      </c>
      <c r="M80" s="534">
        <f>+'MATRIZ GENERAL CONSOLIDADA'!K79</f>
        <v>221809560</v>
      </c>
      <c r="N80" s="301">
        <f>+M80/L80*100</f>
        <v>32.235474871995656</v>
      </c>
      <c r="O80" s="301">
        <f>+'MATRIZ GENERAL CONSOLIDADA'!E79</f>
        <v>3793198954.8000002</v>
      </c>
      <c r="P80" s="301">
        <f>+'MATRIZ GENERAL CONSOLIDADA'!G79</f>
        <v>221809560</v>
      </c>
      <c r="Q80" s="406">
        <f t="shared" si="27"/>
        <v>5.8475593461639326</v>
      </c>
      <c r="R80" s="785"/>
      <c r="S80" s="786" t="s">
        <v>615</v>
      </c>
      <c r="T80" s="372" t="s">
        <v>592</v>
      </c>
      <c r="U80" s="372"/>
    </row>
    <row r="81" spans="1:21" ht="82.5" customHeight="1">
      <c r="A81" s="332" t="str">
        <f>+'MATRIZ GENERAL CONSOLIDADA'!A80</f>
        <v>Apoyo a la Gestión, Operación, Administración y Promoción del Proyecto</v>
      </c>
      <c r="B81" s="311" t="str">
        <f>+'MATRIZ GENERAL CONSOLIDADA'!C80</f>
        <v>Global</v>
      </c>
      <c r="C81" s="510">
        <f>+'MATRIZ GENERAL CONSOLIDADA'!H80</f>
        <v>1</v>
      </c>
      <c r="D81" s="510">
        <f>+'MATRIZ GENERAL CONSOLIDADA'!J80</f>
        <v>1</v>
      </c>
      <c r="E81" s="510">
        <f t="shared" si="33"/>
        <v>100</v>
      </c>
      <c r="F81" s="455"/>
      <c r="G81" s="301"/>
      <c r="H81" s="304">
        <f>+'MATRIZ GENERAL CONSOLIDADA'!D80</f>
        <v>1</v>
      </c>
      <c r="I81" s="301">
        <f>+'MATRIZ GENERAL CONSOLIDADA'!F80</f>
        <v>1</v>
      </c>
      <c r="J81" s="301">
        <f t="shared" ref="J81" si="34">+(I81/H81)*100</f>
        <v>100</v>
      </c>
      <c r="K81" s="306"/>
      <c r="L81" s="531">
        <f>+'MATRIZ GENERAL CONSOLIDADA'!I80</f>
        <v>25562900</v>
      </c>
      <c r="M81" s="534">
        <f>+'MATRIZ GENERAL CONSOLIDADA'!K80</f>
        <v>25562900</v>
      </c>
      <c r="N81" s="301">
        <f>+M81/L81*100</f>
        <v>100</v>
      </c>
      <c r="O81" s="301">
        <f>+'MATRIZ GENERAL CONSOLIDADA'!E80</f>
        <v>157562900</v>
      </c>
      <c r="P81" s="301">
        <f>+'MATRIZ GENERAL CONSOLIDADA'!G80</f>
        <v>25562900</v>
      </c>
      <c r="Q81" s="406">
        <f t="shared" si="27"/>
        <v>16.223933425952431</v>
      </c>
      <c r="R81" s="785"/>
      <c r="S81" s="372"/>
      <c r="T81" s="372"/>
      <c r="U81" s="372"/>
    </row>
    <row r="82" spans="1:21" s="145" customFormat="1" ht="82.5" customHeight="1">
      <c r="A82" s="848" t="s">
        <v>84</v>
      </c>
      <c r="B82" s="848"/>
      <c r="C82" s="801"/>
      <c r="D82" s="323"/>
      <c r="E82" s="323">
        <f>AVERAGE(E47,E36,E28,E6)</f>
        <v>38.032076719576722</v>
      </c>
      <c r="F82" s="323" t="e">
        <f t="shared" ref="F82:K82" si="35">+F6+F28+F36+F47</f>
        <v>#DIV/0!</v>
      </c>
      <c r="G82" s="323" t="e">
        <f t="shared" si="35"/>
        <v>#DIV/0!</v>
      </c>
      <c r="H82" s="323">
        <f t="shared" si="35"/>
        <v>25406.384679089027</v>
      </c>
      <c r="I82" s="323">
        <f t="shared" si="35"/>
        <v>357.88053140096622</v>
      </c>
      <c r="J82" s="323">
        <f t="shared" si="35"/>
        <v>367.59380588918424</v>
      </c>
      <c r="K82" s="323">
        <f t="shared" si="35"/>
        <v>0</v>
      </c>
      <c r="L82" s="323">
        <f>+L6+L28+L36+L47</f>
        <v>23359601712.5896</v>
      </c>
      <c r="M82" s="323">
        <f t="shared" ref="M82:P82" si="36">+M6+M28+M36+M47</f>
        <v>4944447479</v>
      </c>
      <c r="N82" s="323">
        <f>+M82/L82*100</f>
        <v>21.166660030574075</v>
      </c>
      <c r="O82" s="323">
        <f t="shared" si="36"/>
        <v>101551672337.59323</v>
      </c>
      <c r="P82" s="323">
        <f t="shared" si="36"/>
        <v>12358126114.210669</v>
      </c>
      <c r="Q82" s="323">
        <f>+P82/O82*100</f>
        <v>12.169298476078207</v>
      </c>
      <c r="R82" s="784"/>
      <c r="S82" s="372"/>
      <c r="T82" s="372"/>
      <c r="U82" s="372"/>
    </row>
    <row r="83" spans="1:21" ht="82.5" customHeight="1">
      <c r="H83" s="28"/>
      <c r="I83" s="28"/>
      <c r="J83" s="145"/>
      <c r="K83" s="145"/>
      <c r="L83" s="145"/>
      <c r="M83" s="145"/>
      <c r="N83" s="145"/>
      <c r="O83" s="28"/>
      <c r="P83" s="28"/>
    </row>
    <row r="84" spans="1:21" ht="82.5" customHeight="1">
      <c r="H84" s="28"/>
      <c r="I84" s="28"/>
      <c r="J84" s="145"/>
      <c r="K84" s="145"/>
      <c r="L84" s="145"/>
      <c r="M84" s="145"/>
      <c r="O84" s="599"/>
      <c r="P84" s="600"/>
    </row>
    <row r="85" spans="1:21" ht="82.5" customHeight="1">
      <c r="H85" s="28"/>
      <c r="I85" s="28"/>
      <c r="J85" s="145"/>
      <c r="L85" s="768"/>
      <c r="M85" s="617"/>
      <c r="O85" s="603"/>
      <c r="P85" s="28"/>
    </row>
    <row r="86" spans="1:21" ht="82.5" customHeight="1">
      <c r="H86" s="28"/>
      <c r="I86" s="28"/>
      <c r="J86" s="145"/>
      <c r="L86" s="602"/>
      <c r="M86" s="603"/>
      <c r="O86" s="28"/>
      <c r="P86" s="28"/>
    </row>
    <row r="87" spans="1:21" ht="82.5" customHeight="1">
      <c r="H87" s="28"/>
      <c r="I87" s="28"/>
      <c r="J87" s="145"/>
      <c r="L87" s="602"/>
      <c r="M87" s="28"/>
      <c r="O87" s="28"/>
      <c r="P87" s="28"/>
    </row>
    <row r="88" spans="1:21" ht="82.5" customHeight="1">
      <c r="H88" s="28"/>
      <c r="I88" s="28"/>
      <c r="J88" s="145"/>
      <c r="L88" s="602"/>
      <c r="M88" s="28"/>
      <c r="O88" s="28"/>
      <c r="P88" s="28"/>
    </row>
    <row r="89" spans="1:21" ht="82.5" customHeight="1">
      <c r="H89" s="28"/>
      <c r="I89" s="28"/>
      <c r="J89" s="145"/>
      <c r="L89" s="602"/>
      <c r="M89" s="28"/>
      <c r="O89" s="28"/>
      <c r="P89" s="28"/>
    </row>
    <row r="90" spans="1:21" ht="82.5" customHeight="1">
      <c r="H90" s="28"/>
      <c r="I90" s="28"/>
      <c r="J90" s="145"/>
      <c r="L90" s="602"/>
      <c r="M90" s="28"/>
      <c r="O90" s="28"/>
      <c r="P90" s="28"/>
    </row>
    <row r="91" spans="1:21" ht="82.5" customHeight="1">
      <c r="H91" s="28"/>
      <c r="I91" s="28"/>
      <c r="J91" s="145"/>
      <c r="L91" s="602"/>
      <c r="M91" s="28"/>
      <c r="O91" s="28"/>
      <c r="P91" s="28"/>
    </row>
    <row r="92" spans="1:21" ht="82.5" customHeight="1">
      <c r="H92" s="28"/>
      <c r="I92" s="28"/>
      <c r="J92" s="145"/>
      <c r="L92" s="602"/>
      <c r="M92" s="28"/>
      <c r="O92" s="28"/>
      <c r="P92" s="28"/>
    </row>
    <row r="93" spans="1:21" ht="82.5" customHeight="1">
      <c r="H93" s="28"/>
      <c r="I93" s="28"/>
      <c r="J93" s="145"/>
      <c r="L93" s="602"/>
      <c r="M93" s="28"/>
      <c r="O93" s="28"/>
      <c r="P93" s="28"/>
    </row>
    <row r="94" spans="1:21" ht="82.5" customHeight="1">
      <c r="H94" s="28"/>
      <c r="I94" s="28"/>
      <c r="J94" s="145"/>
      <c r="L94" s="602"/>
      <c r="M94" s="28"/>
      <c r="O94" s="28"/>
      <c r="P94" s="28"/>
    </row>
    <row r="95" spans="1:21" ht="82.5" customHeight="1">
      <c r="H95" s="28"/>
      <c r="I95" s="28"/>
      <c r="J95" s="145"/>
      <c r="L95" s="602"/>
      <c r="M95" s="28"/>
      <c r="O95" s="28"/>
      <c r="P95" s="28"/>
    </row>
    <row r="96" spans="1:21" ht="82.5" customHeight="1">
      <c r="H96" s="28"/>
      <c r="I96" s="28"/>
      <c r="J96" s="145"/>
      <c r="L96" s="602"/>
      <c r="M96" s="28"/>
      <c r="O96" s="28"/>
      <c r="P96" s="28"/>
    </row>
    <row r="97" spans="8:16" ht="82.5" customHeight="1">
      <c r="H97" s="28"/>
      <c r="I97" s="28"/>
      <c r="J97" s="145"/>
      <c r="L97" s="602"/>
      <c r="M97" s="28"/>
      <c r="O97" s="28"/>
      <c r="P97" s="28"/>
    </row>
    <row r="98" spans="8:16" ht="82.5" customHeight="1">
      <c r="H98" s="28"/>
      <c r="I98" s="28"/>
      <c r="J98" s="145"/>
      <c r="L98" s="602"/>
      <c r="M98" s="28"/>
      <c r="O98" s="28"/>
      <c r="P98" s="28"/>
    </row>
    <row r="99" spans="8:16" ht="82.5" customHeight="1">
      <c r="H99" s="28"/>
      <c r="I99" s="28"/>
      <c r="J99" s="145"/>
      <c r="L99" s="602"/>
      <c r="M99" s="28"/>
      <c r="O99" s="28"/>
      <c r="P99" s="28"/>
    </row>
    <row r="100" spans="8:16" ht="82.5" customHeight="1">
      <c r="H100" s="28"/>
      <c r="I100" s="28"/>
      <c r="J100" s="145"/>
      <c r="L100" s="602"/>
      <c r="M100" s="28"/>
      <c r="O100" s="28"/>
      <c r="P100" s="28"/>
    </row>
    <row r="101" spans="8:16" ht="82.5" customHeight="1">
      <c r="H101" s="28"/>
      <c r="I101" s="28"/>
      <c r="J101" s="145"/>
      <c r="L101" s="602"/>
      <c r="M101" s="28"/>
      <c r="O101" s="28"/>
      <c r="P101" s="28"/>
    </row>
    <row r="102" spans="8:16" ht="82.5" customHeight="1">
      <c r="H102" s="28"/>
      <c r="I102" s="28"/>
      <c r="J102" s="145"/>
      <c r="L102" s="602"/>
      <c r="M102" s="28"/>
      <c r="O102" s="28"/>
      <c r="P102" s="28"/>
    </row>
    <row r="103" spans="8:16" ht="82.5" customHeight="1">
      <c r="H103" s="28"/>
      <c r="I103" s="28"/>
      <c r="J103" s="145"/>
      <c r="L103" s="602"/>
      <c r="M103" s="28"/>
      <c r="O103" s="28"/>
      <c r="P103" s="28"/>
    </row>
    <row r="104" spans="8:16" ht="82.5" customHeight="1">
      <c r="H104" s="28"/>
      <c r="I104" s="28"/>
      <c r="J104" s="145"/>
      <c r="L104" s="602"/>
      <c r="M104" s="28"/>
      <c r="O104" s="28"/>
      <c r="P104" s="28"/>
    </row>
    <row r="105" spans="8:16" ht="82.5" customHeight="1">
      <c r="H105" s="28"/>
      <c r="I105" s="28"/>
      <c r="J105" s="145"/>
      <c r="L105" s="602"/>
      <c r="M105" s="28"/>
      <c r="O105" s="28"/>
      <c r="P105" s="28"/>
    </row>
    <row r="106" spans="8:16" ht="82.5" customHeight="1">
      <c r="H106" s="28"/>
      <c r="I106" s="28"/>
      <c r="J106" s="145"/>
      <c r="L106" s="602"/>
      <c r="M106" s="28"/>
      <c r="O106" s="28"/>
      <c r="P106" s="28"/>
    </row>
    <row r="107" spans="8:16" ht="82.5" customHeight="1">
      <c r="H107" s="28"/>
      <c r="I107" s="28"/>
      <c r="J107" s="145"/>
      <c r="L107" s="602"/>
      <c r="M107" s="28"/>
      <c r="O107" s="28"/>
      <c r="P107" s="28"/>
    </row>
    <row r="108" spans="8:16" ht="82.5" customHeight="1">
      <c r="H108" s="28"/>
      <c r="I108" s="28"/>
      <c r="J108" s="145"/>
      <c r="L108" s="602"/>
      <c r="M108" s="28"/>
      <c r="O108" s="28"/>
      <c r="P108" s="28"/>
    </row>
    <row r="109" spans="8:16" ht="82.5" customHeight="1">
      <c r="H109" s="28"/>
      <c r="I109" s="28"/>
      <c r="J109" s="145"/>
      <c r="L109" s="602"/>
      <c r="M109" s="28"/>
      <c r="O109" s="28"/>
      <c r="P109" s="28"/>
    </row>
    <row r="110" spans="8:16" ht="82.5" customHeight="1">
      <c r="H110" s="28"/>
      <c r="I110" s="28"/>
      <c r="J110" s="145"/>
      <c r="L110" s="602"/>
      <c r="M110" s="28"/>
      <c r="O110" s="28"/>
      <c r="P110" s="28"/>
    </row>
    <row r="111" spans="8:16" ht="82.5" customHeight="1">
      <c r="H111" s="28"/>
      <c r="I111" s="28"/>
      <c r="J111" s="145"/>
      <c r="L111" s="602"/>
      <c r="M111" s="28"/>
      <c r="O111" s="28"/>
      <c r="P111" s="28"/>
    </row>
    <row r="112" spans="8:16" ht="82.5" customHeight="1">
      <c r="H112" s="28"/>
      <c r="I112" s="28"/>
      <c r="J112" s="145"/>
      <c r="L112" s="602"/>
      <c r="M112" s="28"/>
      <c r="O112" s="28"/>
      <c r="P112" s="28"/>
    </row>
    <row r="113" spans="8:16" ht="82.5" customHeight="1">
      <c r="H113" s="28"/>
      <c r="I113" s="28"/>
      <c r="J113" s="145"/>
      <c r="L113" s="602"/>
      <c r="M113" s="28"/>
      <c r="O113" s="28"/>
      <c r="P113" s="28"/>
    </row>
    <row r="114" spans="8:16" ht="82.5" customHeight="1">
      <c r="H114" s="28"/>
      <c r="I114" s="28"/>
      <c r="J114" s="145"/>
      <c r="L114" s="602"/>
      <c r="M114" s="28"/>
      <c r="O114" s="28"/>
      <c r="P114" s="28"/>
    </row>
    <row r="115" spans="8:16" ht="82.5" customHeight="1">
      <c r="H115" s="28"/>
      <c r="I115" s="28"/>
      <c r="J115" s="145"/>
      <c r="L115" s="602"/>
      <c r="M115" s="28"/>
      <c r="O115" s="28"/>
      <c r="P115" s="28"/>
    </row>
    <row r="116" spans="8:16" ht="82.5" customHeight="1">
      <c r="H116" s="28"/>
      <c r="I116" s="28"/>
      <c r="J116" s="145"/>
      <c r="L116" s="602"/>
      <c r="M116" s="28"/>
      <c r="O116" s="28"/>
      <c r="P116" s="28"/>
    </row>
    <row r="117" spans="8:16" ht="82.5" customHeight="1">
      <c r="H117" s="28"/>
      <c r="I117" s="28"/>
      <c r="J117" s="145"/>
      <c r="L117" s="602"/>
      <c r="M117" s="28"/>
      <c r="O117" s="28"/>
      <c r="P117" s="28"/>
    </row>
    <row r="118" spans="8:16" ht="82.5" customHeight="1">
      <c r="H118" s="28"/>
      <c r="I118" s="28"/>
      <c r="J118" s="145"/>
      <c r="L118" s="602"/>
      <c r="M118" s="28"/>
      <c r="O118" s="28"/>
      <c r="P118" s="28"/>
    </row>
    <row r="119" spans="8:16" ht="82.5" customHeight="1">
      <c r="H119" s="28"/>
      <c r="I119" s="28"/>
      <c r="J119" s="145"/>
      <c r="L119" s="602"/>
      <c r="M119" s="28"/>
      <c r="O119" s="28"/>
      <c r="P119" s="28"/>
    </row>
    <row r="120" spans="8:16" ht="82.5" customHeight="1">
      <c r="H120" s="28"/>
      <c r="I120" s="28"/>
      <c r="J120" s="145"/>
      <c r="L120" s="602"/>
      <c r="M120" s="28"/>
      <c r="O120" s="28"/>
      <c r="P120" s="28"/>
    </row>
    <row r="121" spans="8:16" ht="82.5" customHeight="1">
      <c r="H121" s="28"/>
      <c r="I121" s="28"/>
      <c r="J121" s="145"/>
      <c r="L121" s="602"/>
      <c r="M121" s="28"/>
      <c r="O121" s="28"/>
      <c r="P121" s="28"/>
    </row>
    <row r="122" spans="8:16" ht="82.5" customHeight="1">
      <c r="H122" s="28"/>
      <c r="I122" s="28"/>
      <c r="J122" s="145"/>
      <c r="L122" s="602"/>
      <c r="M122" s="28"/>
      <c r="O122" s="28"/>
      <c r="P122" s="28"/>
    </row>
    <row r="123" spans="8:16" ht="82.5" customHeight="1">
      <c r="H123" s="28"/>
      <c r="I123" s="28"/>
      <c r="J123" s="145"/>
      <c r="L123" s="602"/>
      <c r="M123" s="28"/>
      <c r="O123" s="28"/>
      <c r="P123" s="28"/>
    </row>
    <row r="124" spans="8:16" ht="82.5" customHeight="1">
      <c r="H124" s="28"/>
      <c r="I124" s="28"/>
      <c r="J124" s="145"/>
      <c r="L124" s="602"/>
      <c r="M124" s="28"/>
      <c r="O124" s="28"/>
      <c r="P124" s="28"/>
    </row>
    <row r="125" spans="8:16" ht="82.5" customHeight="1">
      <c r="H125" s="28"/>
      <c r="I125" s="28"/>
      <c r="J125" s="145"/>
      <c r="L125" s="602"/>
      <c r="M125" s="28"/>
      <c r="O125" s="28"/>
      <c r="P125" s="28"/>
    </row>
    <row r="126" spans="8:16" ht="82.5" customHeight="1">
      <c r="H126" s="28"/>
      <c r="I126" s="28"/>
      <c r="J126" s="145"/>
      <c r="L126" s="602"/>
      <c r="M126" s="28"/>
      <c r="O126" s="28"/>
      <c r="P126" s="28"/>
    </row>
    <row r="127" spans="8:16" ht="82.5" customHeight="1">
      <c r="H127" s="28"/>
      <c r="I127" s="28"/>
      <c r="J127" s="145"/>
      <c r="L127" s="602"/>
      <c r="M127" s="28"/>
      <c r="O127" s="28"/>
      <c r="P127" s="28"/>
    </row>
    <row r="128" spans="8:16" ht="82.5" customHeight="1">
      <c r="H128" s="28"/>
      <c r="I128" s="28"/>
      <c r="J128" s="145"/>
      <c r="L128" s="602"/>
      <c r="M128" s="28"/>
      <c r="O128" s="28"/>
      <c r="P128" s="28"/>
    </row>
    <row r="129" spans="8:16" ht="82.5" customHeight="1">
      <c r="H129" s="28"/>
      <c r="I129" s="28"/>
      <c r="J129" s="145"/>
      <c r="L129" s="602"/>
      <c r="M129" s="28"/>
      <c r="O129" s="28"/>
      <c r="P129" s="28"/>
    </row>
    <row r="130" spans="8:16" ht="82.5" customHeight="1">
      <c r="H130" s="28"/>
      <c r="I130" s="28"/>
      <c r="J130" s="145"/>
      <c r="L130" s="602"/>
      <c r="M130" s="28"/>
      <c r="O130" s="28"/>
      <c r="P130" s="28"/>
    </row>
    <row r="131" spans="8:16" ht="82.5" customHeight="1">
      <c r="H131" s="28"/>
      <c r="I131" s="28"/>
      <c r="J131" s="145"/>
      <c r="L131" s="602"/>
      <c r="M131" s="28"/>
      <c r="O131" s="28"/>
      <c r="P131" s="28"/>
    </row>
    <row r="132" spans="8:16" ht="82.5" customHeight="1">
      <c r="H132" s="28"/>
      <c r="I132" s="28"/>
      <c r="J132" s="145"/>
      <c r="L132" s="602"/>
      <c r="M132" s="28"/>
      <c r="O132" s="28"/>
      <c r="P132" s="28"/>
    </row>
    <row r="133" spans="8:16" ht="82.5" customHeight="1">
      <c r="H133" s="28"/>
      <c r="I133" s="28"/>
      <c r="J133" s="145"/>
      <c r="L133" s="602"/>
      <c r="M133" s="28"/>
      <c r="O133" s="28"/>
      <c r="P133" s="28"/>
    </row>
    <row r="134" spans="8:16" ht="82.5" customHeight="1">
      <c r="H134" s="28"/>
      <c r="I134" s="28"/>
      <c r="J134" s="145"/>
      <c r="L134" s="602"/>
      <c r="M134" s="28"/>
      <c r="O134" s="28"/>
      <c r="P134" s="28"/>
    </row>
    <row r="135" spans="8:16" ht="82.5" customHeight="1">
      <c r="H135" s="28"/>
      <c r="I135" s="28"/>
      <c r="J135" s="145"/>
      <c r="L135" s="602"/>
      <c r="M135" s="28"/>
      <c r="O135" s="28"/>
      <c r="P135" s="28"/>
    </row>
    <row r="136" spans="8:16" ht="82.5" customHeight="1">
      <c r="H136" s="28"/>
      <c r="I136" s="28"/>
      <c r="J136" s="145"/>
      <c r="L136" s="602"/>
      <c r="M136" s="28"/>
      <c r="O136" s="28"/>
      <c r="P136" s="28"/>
    </row>
    <row r="137" spans="8:16" ht="82.5" customHeight="1">
      <c r="H137" s="28"/>
      <c r="I137" s="28"/>
      <c r="J137" s="145"/>
      <c r="L137" s="602"/>
      <c r="M137" s="28"/>
      <c r="O137" s="28"/>
      <c r="P137" s="28"/>
    </row>
    <row r="138" spans="8:16" ht="82.5" customHeight="1">
      <c r="H138" s="28"/>
      <c r="I138" s="28"/>
      <c r="J138" s="145"/>
      <c r="L138" s="602"/>
      <c r="M138" s="28"/>
      <c r="O138" s="28"/>
      <c r="P138" s="28"/>
    </row>
    <row r="139" spans="8:16" ht="82.5" customHeight="1">
      <c r="H139" s="28"/>
      <c r="I139" s="28"/>
      <c r="J139" s="145"/>
      <c r="L139" s="602"/>
      <c r="M139" s="28"/>
      <c r="O139" s="28"/>
      <c r="P139" s="28"/>
    </row>
    <row r="140" spans="8:16" ht="82.5" customHeight="1">
      <c r="H140" s="28"/>
      <c r="I140" s="28"/>
      <c r="J140" s="145"/>
      <c r="L140" s="602"/>
      <c r="M140" s="28"/>
      <c r="O140" s="28"/>
      <c r="P140" s="28"/>
    </row>
    <row r="141" spans="8:16" ht="82.5" customHeight="1">
      <c r="H141" s="28"/>
      <c r="I141" s="28"/>
      <c r="J141" s="145"/>
      <c r="L141" s="602"/>
      <c r="M141" s="28"/>
      <c r="O141" s="28"/>
      <c r="P141" s="28"/>
    </row>
    <row r="142" spans="8:16" ht="82.5" customHeight="1">
      <c r="H142" s="28"/>
      <c r="I142" s="28"/>
      <c r="J142" s="145"/>
      <c r="L142" s="602"/>
      <c r="M142" s="28"/>
      <c r="O142" s="28"/>
      <c r="P142" s="28"/>
    </row>
    <row r="143" spans="8:16" ht="82.5" customHeight="1">
      <c r="H143" s="28"/>
      <c r="I143" s="28"/>
      <c r="J143" s="145"/>
      <c r="L143" s="602"/>
      <c r="M143" s="28"/>
      <c r="O143" s="28"/>
      <c r="P143" s="28"/>
    </row>
    <row r="144" spans="8:16" ht="82.5" customHeight="1">
      <c r="H144" s="28"/>
      <c r="I144" s="28"/>
      <c r="J144" s="145"/>
      <c r="L144" s="602"/>
      <c r="M144" s="28"/>
      <c r="O144" s="28"/>
      <c r="P144" s="28"/>
    </row>
    <row r="145" spans="8:16" ht="82.5" customHeight="1">
      <c r="H145" s="28"/>
      <c r="I145" s="28"/>
      <c r="J145" s="145"/>
      <c r="L145" s="602"/>
      <c r="M145" s="28"/>
      <c r="O145" s="28"/>
      <c r="P145" s="28"/>
    </row>
    <row r="146" spans="8:16" ht="82.5" customHeight="1">
      <c r="H146" s="28"/>
      <c r="I146" s="28"/>
      <c r="J146" s="145"/>
      <c r="L146" s="602"/>
      <c r="M146" s="28"/>
      <c r="O146" s="28"/>
      <c r="P146" s="28"/>
    </row>
    <row r="147" spans="8:16" ht="82.5" customHeight="1">
      <c r="H147" s="28"/>
      <c r="I147" s="28"/>
      <c r="J147" s="145"/>
      <c r="L147" s="602"/>
      <c r="M147" s="28"/>
      <c r="O147" s="28"/>
      <c r="P147" s="28"/>
    </row>
    <row r="148" spans="8:16" ht="82.5" customHeight="1">
      <c r="H148" s="28"/>
      <c r="I148" s="28"/>
      <c r="J148" s="145"/>
      <c r="L148" s="602"/>
      <c r="M148" s="28"/>
      <c r="O148" s="28"/>
      <c r="P148" s="28"/>
    </row>
    <row r="149" spans="8:16" ht="82.5" customHeight="1">
      <c r="H149" s="28"/>
      <c r="I149" s="28"/>
      <c r="J149" s="145"/>
      <c r="L149" s="602"/>
      <c r="M149" s="28"/>
      <c r="O149" s="28"/>
      <c r="P149" s="28"/>
    </row>
    <row r="150" spans="8:16" ht="82.5" customHeight="1">
      <c r="H150" s="28"/>
      <c r="I150" s="28"/>
      <c r="J150" s="145"/>
      <c r="L150" s="602"/>
      <c r="M150" s="28"/>
      <c r="O150" s="28"/>
      <c r="P150" s="28"/>
    </row>
    <row r="151" spans="8:16" ht="82.5" customHeight="1">
      <c r="H151" s="28"/>
      <c r="I151" s="28"/>
      <c r="J151" s="145"/>
      <c r="L151" s="602"/>
      <c r="M151" s="28"/>
      <c r="O151" s="28"/>
      <c r="P151" s="28"/>
    </row>
    <row r="152" spans="8:16" ht="82.5" customHeight="1">
      <c r="H152" s="28"/>
      <c r="I152" s="28"/>
      <c r="J152" s="145"/>
      <c r="L152" s="602"/>
      <c r="M152" s="28"/>
      <c r="O152" s="28"/>
      <c r="P152" s="28"/>
    </row>
    <row r="153" spans="8:16" ht="82.5" customHeight="1">
      <c r="H153" s="28"/>
      <c r="I153" s="28"/>
      <c r="J153" s="145"/>
      <c r="L153" s="602"/>
      <c r="M153" s="28"/>
      <c r="O153" s="28"/>
      <c r="P153" s="28"/>
    </row>
    <row r="154" spans="8:16" ht="82.5" customHeight="1">
      <c r="H154" s="28"/>
      <c r="I154" s="28"/>
      <c r="J154" s="145"/>
      <c r="L154" s="602"/>
      <c r="M154" s="28"/>
      <c r="O154" s="28"/>
      <c r="P154" s="28"/>
    </row>
    <row r="155" spans="8:16" ht="82.5" customHeight="1">
      <c r="H155" s="28"/>
      <c r="I155" s="28"/>
      <c r="J155" s="145"/>
      <c r="L155" s="602"/>
      <c r="M155" s="28"/>
      <c r="O155" s="28"/>
      <c r="P155" s="28"/>
    </row>
    <row r="156" spans="8:16" ht="82.5" customHeight="1">
      <c r="H156" s="28"/>
      <c r="I156" s="28"/>
      <c r="J156" s="145"/>
      <c r="L156" s="602"/>
      <c r="M156" s="28"/>
      <c r="O156" s="28"/>
      <c r="P156" s="28"/>
    </row>
    <row r="157" spans="8:16" ht="82.5" customHeight="1">
      <c r="H157" s="28"/>
      <c r="I157" s="28"/>
      <c r="J157" s="145"/>
      <c r="L157" s="602"/>
      <c r="M157" s="28"/>
      <c r="O157" s="28"/>
      <c r="P157" s="28"/>
    </row>
    <row r="158" spans="8:16" ht="82.5" customHeight="1">
      <c r="H158" s="28"/>
      <c r="I158" s="28"/>
      <c r="J158" s="145"/>
      <c r="L158" s="602"/>
      <c r="M158" s="28"/>
      <c r="O158" s="28"/>
      <c r="P158" s="28"/>
    </row>
    <row r="159" spans="8:16" ht="82.5" customHeight="1">
      <c r="H159" s="28"/>
      <c r="I159" s="28"/>
      <c r="J159" s="145"/>
      <c r="L159" s="602"/>
      <c r="M159" s="28"/>
      <c r="O159" s="28"/>
      <c r="P159" s="28"/>
    </row>
    <row r="160" spans="8:16" ht="82.5" customHeight="1">
      <c r="H160" s="28"/>
      <c r="I160" s="28"/>
      <c r="J160" s="145"/>
      <c r="L160" s="602"/>
      <c r="M160" s="28"/>
      <c r="O160" s="28"/>
      <c r="P160" s="28"/>
    </row>
    <row r="161" spans="8:16" ht="82.5" customHeight="1">
      <c r="H161" s="28"/>
      <c r="I161" s="28"/>
      <c r="J161" s="145"/>
      <c r="L161" s="602"/>
      <c r="M161" s="28"/>
      <c r="O161" s="28"/>
      <c r="P161" s="28"/>
    </row>
    <row r="162" spans="8:16" ht="82.5" customHeight="1">
      <c r="H162" s="28"/>
      <c r="I162" s="28"/>
      <c r="J162" s="145"/>
      <c r="L162" s="602"/>
      <c r="M162" s="28"/>
      <c r="O162" s="28"/>
      <c r="P162" s="28"/>
    </row>
    <row r="163" spans="8:16" ht="82.5" customHeight="1">
      <c r="H163" s="28"/>
      <c r="I163" s="28"/>
      <c r="J163" s="145"/>
      <c r="L163" s="602"/>
      <c r="M163" s="28"/>
      <c r="O163" s="28"/>
      <c r="P163" s="28"/>
    </row>
    <row r="164" spans="8:16" ht="82.5" customHeight="1">
      <c r="H164" s="28"/>
      <c r="I164" s="28"/>
      <c r="J164" s="145"/>
      <c r="L164" s="602"/>
      <c r="M164" s="28"/>
      <c r="O164" s="28"/>
      <c r="P164" s="28"/>
    </row>
    <row r="165" spans="8:16" ht="82.5" customHeight="1">
      <c r="H165" s="28"/>
      <c r="I165" s="28"/>
      <c r="J165" s="145"/>
      <c r="L165" s="602"/>
      <c r="M165" s="28"/>
      <c r="O165" s="28"/>
      <c r="P165" s="28"/>
    </row>
    <row r="166" spans="8:16" ht="82.5" customHeight="1">
      <c r="H166" s="28"/>
      <c r="I166" s="28"/>
      <c r="J166" s="145"/>
      <c r="L166" s="602"/>
      <c r="M166" s="28"/>
      <c r="O166" s="28"/>
      <c r="P166" s="28"/>
    </row>
    <row r="167" spans="8:16" ht="82.5" customHeight="1">
      <c r="H167" s="28"/>
      <c r="I167" s="28"/>
      <c r="J167" s="145"/>
      <c r="L167" s="602"/>
      <c r="M167" s="28"/>
      <c r="O167" s="28"/>
      <c r="P167" s="28"/>
    </row>
    <row r="168" spans="8:16" ht="82.5" customHeight="1">
      <c r="H168" s="28"/>
      <c r="I168" s="28"/>
      <c r="J168" s="145"/>
      <c r="L168" s="602"/>
      <c r="M168" s="28"/>
      <c r="O168" s="28"/>
      <c r="P168" s="28"/>
    </row>
    <row r="169" spans="8:16" ht="82.5" customHeight="1">
      <c r="H169" s="28"/>
      <c r="I169" s="28"/>
      <c r="J169" s="145"/>
      <c r="L169" s="602"/>
      <c r="M169" s="28"/>
      <c r="O169" s="28"/>
      <c r="P169" s="28"/>
    </row>
    <row r="170" spans="8:16" ht="82.5" customHeight="1">
      <c r="H170" s="28"/>
      <c r="I170" s="28"/>
      <c r="J170" s="145"/>
      <c r="L170" s="602"/>
      <c r="M170" s="28"/>
      <c r="O170" s="28"/>
      <c r="P170" s="28"/>
    </row>
    <row r="171" spans="8:16" ht="82.5" customHeight="1">
      <c r="H171" s="28"/>
      <c r="I171" s="28"/>
      <c r="J171" s="145"/>
      <c r="L171" s="602"/>
      <c r="M171" s="28"/>
      <c r="O171" s="28"/>
      <c r="P171" s="28"/>
    </row>
    <row r="172" spans="8:16" ht="82.5" customHeight="1">
      <c r="H172" s="28"/>
      <c r="I172" s="28"/>
      <c r="J172" s="145"/>
      <c r="L172" s="602"/>
      <c r="M172" s="28"/>
      <c r="O172" s="28"/>
      <c r="P172" s="28"/>
    </row>
    <row r="173" spans="8:16" ht="82.5" customHeight="1">
      <c r="H173" s="28"/>
      <c r="I173" s="28"/>
      <c r="J173" s="145"/>
      <c r="L173" s="602"/>
      <c r="M173" s="28"/>
      <c r="O173" s="28"/>
      <c r="P173" s="28"/>
    </row>
    <row r="174" spans="8:16" ht="82.5" customHeight="1">
      <c r="H174" s="28"/>
      <c r="I174" s="28"/>
      <c r="J174" s="145"/>
      <c r="L174" s="602"/>
      <c r="M174" s="28"/>
      <c r="O174" s="28"/>
      <c r="P174" s="28"/>
    </row>
    <row r="175" spans="8:16" ht="82.5" customHeight="1">
      <c r="H175" s="28"/>
      <c r="I175" s="28"/>
      <c r="J175" s="145"/>
      <c r="L175" s="602"/>
      <c r="M175" s="28"/>
      <c r="O175" s="28"/>
      <c r="P175" s="28"/>
    </row>
    <row r="176" spans="8:16" ht="82.5" customHeight="1">
      <c r="H176" s="28"/>
      <c r="I176" s="28"/>
      <c r="J176" s="145"/>
      <c r="L176" s="602"/>
      <c r="M176" s="28"/>
      <c r="O176" s="28"/>
      <c r="P176" s="28"/>
    </row>
    <row r="177" spans="8:16" ht="82.5" customHeight="1">
      <c r="H177" s="28"/>
      <c r="I177" s="28"/>
      <c r="J177" s="145"/>
      <c r="L177" s="602"/>
      <c r="M177" s="28"/>
      <c r="O177" s="28"/>
      <c r="P177" s="28"/>
    </row>
    <row r="178" spans="8:16" ht="82.5" customHeight="1">
      <c r="H178" s="28"/>
      <c r="I178" s="28"/>
      <c r="J178" s="145"/>
      <c r="L178" s="602"/>
      <c r="M178" s="28"/>
      <c r="O178" s="28"/>
      <c r="P178" s="28"/>
    </row>
    <row r="179" spans="8:16" ht="82.5" customHeight="1">
      <c r="H179" s="28"/>
      <c r="I179" s="28"/>
      <c r="J179" s="145"/>
      <c r="L179" s="602"/>
      <c r="M179" s="28"/>
      <c r="O179" s="28"/>
      <c r="P179" s="28"/>
    </row>
    <row r="180" spans="8:16" ht="82.5" customHeight="1">
      <c r="H180" s="28"/>
      <c r="I180" s="28"/>
      <c r="J180" s="145"/>
      <c r="L180" s="602"/>
      <c r="M180" s="28"/>
      <c r="O180" s="28"/>
      <c r="P180" s="28"/>
    </row>
    <row r="181" spans="8:16" ht="82.5" customHeight="1">
      <c r="H181" s="28"/>
      <c r="I181" s="28"/>
      <c r="J181" s="145"/>
      <c r="L181" s="602"/>
      <c r="M181" s="28"/>
      <c r="O181" s="28"/>
      <c r="P181" s="28"/>
    </row>
    <row r="182" spans="8:16" ht="82.5" customHeight="1">
      <c r="H182" s="28"/>
      <c r="I182" s="28"/>
      <c r="J182" s="145"/>
      <c r="L182" s="602"/>
      <c r="M182" s="28"/>
      <c r="O182" s="28"/>
      <c r="P182" s="28"/>
    </row>
    <row r="183" spans="8:16" ht="82.5" customHeight="1">
      <c r="H183" s="28"/>
      <c r="I183" s="28"/>
      <c r="J183" s="145"/>
      <c r="L183" s="602"/>
      <c r="M183" s="28"/>
      <c r="O183" s="28"/>
      <c r="P183" s="28"/>
    </row>
    <row r="184" spans="8:16" ht="82.5" customHeight="1">
      <c r="H184" s="28"/>
      <c r="I184" s="28"/>
      <c r="J184" s="145"/>
      <c r="L184" s="602"/>
      <c r="M184" s="28"/>
      <c r="O184" s="28"/>
      <c r="P184" s="28"/>
    </row>
    <row r="185" spans="8:16" ht="82.5" customHeight="1">
      <c r="H185" s="28"/>
      <c r="I185" s="28"/>
      <c r="J185" s="145"/>
      <c r="L185" s="602"/>
      <c r="M185" s="28"/>
      <c r="O185" s="28"/>
      <c r="P185" s="28"/>
    </row>
    <row r="186" spans="8:16" ht="82.5" customHeight="1">
      <c r="H186" s="28"/>
      <c r="I186" s="28"/>
      <c r="J186" s="145"/>
      <c r="L186" s="602"/>
      <c r="M186" s="28"/>
      <c r="O186" s="28"/>
      <c r="P186" s="28"/>
    </row>
    <row r="187" spans="8:16" ht="82.5" customHeight="1">
      <c r="H187" s="28"/>
      <c r="I187" s="28"/>
      <c r="J187" s="145"/>
      <c r="L187" s="602"/>
      <c r="M187" s="28"/>
      <c r="O187" s="28"/>
      <c r="P187" s="28"/>
    </row>
    <row r="188" spans="8:16" ht="82.5" customHeight="1">
      <c r="H188" s="28"/>
      <c r="I188" s="28"/>
      <c r="J188" s="145"/>
      <c r="L188" s="602"/>
      <c r="M188" s="28"/>
      <c r="O188" s="28"/>
      <c r="P188" s="28"/>
    </row>
    <row r="189" spans="8:16" ht="82.5" customHeight="1">
      <c r="H189" s="28"/>
      <c r="I189" s="28"/>
      <c r="J189" s="145"/>
      <c r="L189" s="602"/>
      <c r="M189" s="28"/>
      <c r="O189" s="28"/>
      <c r="P189" s="28"/>
    </row>
    <row r="190" spans="8:16" ht="82.5" customHeight="1">
      <c r="H190" s="28"/>
      <c r="I190" s="28"/>
      <c r="J190" s="145"/>
      <c r="L190" s="602"/>
      <c r="M190" s="28"/>
      <c r="O190" s="28"/>
      <c r="P190" s="28"/>
    </row>
    <row r="191" spans="8:16" ht="82.5" customHeight="1">
      <c r="H191" s="28"/>
      <c r="I191" s="28"/>
      <c r="J191" s="145"/>
      <c r="L191" s="602"/>
      <c r="M191" s="28"/>
      <c r="O191" s="28"/>
      <c r="P191" s="28"/>
    </row>
    <row r="192" spans="8:16" ht="82.5" customHeight="1">
      <c r="H192" s="28"/>
      <c r="I192" s="28"/>
      <c r="J192" s="145"/>
      <c r="L192" s="602"/>
      <c r="M192" s="28"/>
      <c r="O192" s="28"/>
      <c r="P192" s="28"/>
    </row>
    <row r="193" spans="8:16" ht="82.5" customHeight="1">
      <c r="H193" s="28"/>
      <c r="I193" s="28"/>
      <c r="J193" s="145"/>
      <c r="L193" s="602"/>
      <c r="M193" s="28"/>
      <c r="O193" s="28"/>
      <c r="P193" s="28"/>
    </row>
    <row r="194" spans="8:16" ht="82.5" customHeight="1">
      <c r="H194" s="28"/>
      <c r="I194" s="28"/>
      <c r="J194" s="145"/>
      <c r="L194" s="602"/>
      <c r="M194" s="28"/>
      <c r="O194" s="28"/>
      <c r="P194" s="28"/>
    </row>
    <row r="195" spans="8:16" ht="82.5" customHeight="1">
      <c r="H195" s="28"/>
      <c r="I195" s="28"/>
      <c r="J195" s="145"/>
      <c r="L195" s="602"/>
      <c r="M195" s="28"/>
      <c r="O195" s="28"/>
      <c r="P195" s="28"/>
    </row>
    <row r="196" spans="8:16" ht="82.5" customHeight="1">
      <c r="H196" s="28"/>
      <c r="I196" s="28"/>
      <c r="J196" s="145"/>
      <c r="L196" s="602"/>
      <c r="M196" s="28"/>
      <c r="O196" s="28"/>
      <c r="P196" s="28"/>
    </row>
    <row r="197" spans="8:16" ht="82.5" customHeight="1">
      <c r="H197" s="28"/>
      <c r="I197" s="28"/>
      <c r="J197" s="145"/>
      <c r="L197" s="602"/>
      <c r="M197" s="28"/>
      <c r="O197" s="28"/>
      <c r="P197" s="28"/>
    </row>
    <row r="198" spans="8:16" ht="82.5" customHeight="1">
      <c r="H198" s="28"/>
      <c r="I198" s="28"/>
      <c r="J198" s="145"/>
      <c r="L198" s="602"/>
      <c r="M198" s="28"/>
      <c r="O198" s="28"/>
      <c r="P198" s="28"/>
    </row>
    <row r="199" spans="8:16" ht="82.5" customHeight="1">
      <c r="H199" s="28"/>
      <c r="I199" s="28"/>
      <c r="J199" s="145"/>
      <c r="L199" s="602"/>
      <c r="M199" s="28"/>
      <c r="O199" s="28"/>
      <c r="P199" s="28"/>
    </row>
  </sheetData>
  <mergeCells count="20">
    <mergeCell ref="R8:R9"/>
    <mergeCell ref="R10:R11"/>
    <mergeCell ref="R12:R13"/>
    <mergeCell ref="R14:R15"/>
    <mergeCell ref="A4:A5"/>
    <mergeCell ref="B4:J4"/>
    <mergeCell ref="L4:Q4"/>
    <mergeCell ref="R4:R5"/>
    <mergeCell ref="R19:R20"/>
    <mergeCell ref="A82:B82"/>
    <mergeCell ref="R34:R35"/>
    <mergeCell ref="R39:R40"/>
    <mergeCell ref="R21:R22"/>
    <mergeCell ref="R30:R31"/>
    <mergeCell ref="A1:U1"/>
    <mergeCell ref="S4:S5"/>
    <mergeCell ref="T4:T5"/>
    <mergeCell ref="U4:U5"/>
    <mergeCell ref="A2:U2"/>
    <mergeCell ref="A3:U3"/>
  </mergeCells>
  <phoneticPr fontId="21"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7"/>
  <sheetViews>
    <sheetView tabSelected="1" view="pageBreakPreview" zoomScale="62" zoomScaleNormal="62" zoomScaleSheetLayoutView="62" workbookViewId="0">
      <pane xSplit="3" ySplit="8" topLeftCell="D93" activePane="bottomRight" state="frozen"/>
      <selection pane="topRight" activeCell="D1" sqref="D1"/>
      <selection pane="bottomLeft" activeCell="A9" sqref="A9"/>
      <selection pane="bottomRight" activeCell="G122" sqref="G122"/>
    </sheetView>
  </sheetViews>
  <sheetFormatPr baseColWidth="10" defaultRowHeight="14.25"/>
  <cols>
    <col min="1" max="1" width="22.28515625" style="352" customWidth="1"/>
    <col min="2" max="2" width="26.42578125" style="353" customWidth="1"/>
    <col min="3" max="3" width="29" style="353" hidden="1" customWidth="1"/>
    <col min="4" max="4" width="66.5703125" style="352" customWidth="1"/>
    <col min="5" max="5" width="18.42578125" style="352" customWidth="1"/>
    <col min="6" max="6" width="21" style="142" customWidth="1"/>
    <col min="7" max="7" width="17.5703125" style="465" customWidth="1"/>
    <col min="8" max="8" width="24.140625" style="143" customWidth="1"/>
    <col min="9" max="9" width="25.140625" style="144" customWidth="1"/>
    <col min="10" max="10" width="26.85546875" style="144" customWidth="1"/>
    <col min="11" max="11" width="18.42578125" style="351" hidden="1" customWidth="1"/>
    <col min="12" max="12" width="17" style="351" hidden="1" customWidth="1"/>
    <col min="13" max="14" width="14.42578125" style="129" hidden="1" customWidth="1"/>
    <col min="15" max="15" width="14.42578125" style="130" hidden="1" customWidth="1"/>
    <col min="16" max="16" width="14.42578125" style="125" hidden="1" customWidth="1"/>
    <col min="17" max="17" width="13" style="1" hidden="1" customWidth="1"/>
    <col min="18" max="18" width="27.7109375" style="1" hidden="1" customWidth="1"/>
    <col min="19" max="19" width="30" style="1" customWidth="1"/>
    <col min="20" max="20" width="24.5703125" style="352" customWidth="1"/>
    <col min="21" max="16384" width="11.42578125" style="352"/>
  </cols>
  <sheetData>
    <row r="1" spans="1:37" s="346" customFormat="1" ht="34.5" customHeight="1">
      <c r="A1" s="900" t="s">
        <v>489</v>
      </c>
      <c r="B1" s="897"/>
      <c r="C1" s="897"/>
      <c r="D1" s="897"/>
      <c r="E1" s="897"/>
      <c r="F1" s="897"/>
      <c r="G1" s="897"/>
      <c r="H1" s="897"/>
      <c r="I1" s="897"/>
      <c r="J1" s="344" t="s">
        <v>300</v>
      </c>
      <c r="K1" s="345"/>
      <c r="L1" s="345"/>
      <c r="M1" s="122"/>
      <c r="N1" s="122"/>
      <c r="O1" s="123"/>
      <c r="P1" s="124"/>
      <c r="Q1" s="386"/>
      <c r="R1" s="386"/>
      <c r="S1" s="386"/>
    </row>
    <row r="2" spans="1:37" s="346" customFormat="1" ht="28.5" customHeight="1">
      <c r="A2" s="905"/>
      <c r="B2" s="866"/>
      <c r="C2" s="866"/>
      <c r="D2" s="866"/>
      <c r="E2" s="866"/>
      <c r="F2" s="866"/>
      <c r="G2" s="866"/>
      <c r="H2" s="866"/>
      <c r="I2" s="866"/>
      <c r="J2" s="347" t="s">
        <v>301</v>
      </c>
      <c r="K2" s="345"/>
      <c r="L2" s="345"/>
      <c r="M2" s="122"/>
      <c r="N2" s="122"/>
      <c r="O2" s="123"/>
      <c r="P2" s="124"/>
      <c r="Q2" s="386"/>
      <c r="R2" s="386"/>
      <c r="S2" s="386"/>
    </row>
    <row r="3" spans="1:37" s="346" customFormat="1" ht="25.5" customHeight="1" thickBot="1">
      <c r="A3" s="905"/>
      <c r="B3" s="866"/>
      <c r="C3" s="866"/>
      <c r="D3" s="866"/>
      <c r="E3" s="866"/>
      <c r="F3" s="866"/>
      <c r="G3" s="866"/>
      <c r="H3" s="866"/>
      <c r="I3" s="866"/>
      <c r="J3" s="348" t="s">
        <v>302</v>
      </c>
      <c r="K3" s="345"/>
      <c r="L3" s="345"/>
      <c r="M3" s="122"/>
      <c r="N3" s="122"/>
      <c r="O3" s="123"/>
      <c r="P3" s="124"/>
      <c r="Q3" s="386"/>
      <c r="R3" s="386"/>
      <c r="S3" s="386"/>
    </row>
    <row r="4" spans="1:37" s="346" customFormat="1" ht="8.25" customHeight="1">
      <c r="A4" s="349"/>
      <c r="B4" s="854"/>
      <c r="C4" s="854"/>
      <c r="D4" s="854"/>
      <c r="E4" s="854"/>
      <c r="F4" s="854"/>
      <c r="G4" s="854"/>
      <c r="H4" s="854"/>
      <c r="I4" s="854"/>
      <c r="J4" s="907"/>
      <c r="K4" s="345"/>
      <c r="L4" s="345"/>
      <c r="M4" s="122"/>
      <c r="N4" s="122"/>
      <c r="O4" s="123"/>
      <c r="P4" s="124"/>
      <c r="Q4" s="386"/>
      <c r="R4" s="386"/>
      <c r="S4" s="386"/>
    </row>
    <row r="5" spans="1:37" s="346" customFormat="1" ht="39" customHeight="1">
      <c r="A5" s="905" t="s">
        <v>303</v>
      </c>
      <c r="B5" s="866"/>
      <c r="C5" s="418"/>
      <c r="D5" s="908">
        <v>2020</v>
      </c>
      <c r="E5" s="909"/>
      <c r="F5" s="22"/>
      <c r="G5" s="463" t="s">
        <v>304</v>
      </c>
      <c r="H5" s="854" t="s">
        <v>595</v>
      </c>
      <c r="I5" s="854"/>
      <c r="J5" s="907"/>
      <c r="K5" s="345"/>
      <c r="L5" s="345"/>
      <c r="M5" s="122"/>
      <c r="N5" s="122"/>
      <c r="O5" s="123"/>
      <c r="P5" s="124"/>
      <c r="Q5" s="386"/>
      <c r="R5" s="386"/>
      <c r="S5" s="386"/>
    </row>
    <row r="6" spans="1:37" ht="8.25" customHeight="1" thickBot="1">
      <c r="A6" s="350"/>
      <c r="B6" s="914"/>
      <c r="C6" s="914"/>
      <c r="D6" s="914"/>
      <c r="E6" s="914"/>
      <c r="F6" s="914"/>
      <c r="G6" s="914"/>
      <c r="H6" s="914"/>
      <c r="I6" s="914"/>
      <c r="J6" s="915"/>
      <c r="M6" s="122"/>
      <c r="N6" s="122"/>
      <c r="O6" s="123"/>
      <c r="T6" s="346"/>
      <c r="U6" s="346"/>
      <c r="V6" s="346"/>
      <c r="W6" s="346"/>
      <c r="X6" s="346"/>
      <c r="Y6" s="346"/>
      <c r="Z6" s="346"/>
      <c r="AA6" s="346"/>
      <c r="AB6" s="346"/>
      <c r="AC6" s="346"/>
      <c r="AD6" s="346"/>
      <c r="AE6" s="346"/>
      <c r="AF6" s="346"/>
      <c r="AG6" s="346"/>
      <c r="AH6" s="346"/>
      <c r="AI6" s="346"/>
      <c r="AJ6" s="346"/>
      <c r="AK6" s="346"/>
    </row>
    <row r="7" spans="1:37" s="353" customFormat="1" ht="15.75" customHeight="1">
      <c r="A7" s="900" t="s">
        <v>305</v>
      </c>
      <c r="B7" s="902" t="s">
        <v>306</v>
      </c>
      <c r="C7" s="425"/>
      <c r="D7" s="911" t="s">
        <v>488</v>
      </c>
      <c r="E7" s="897" t="s">
        <v>95</v>
      </c>
      <c r="F7" s="897" t="s">
        <v>308</v>
      </c>
      <c r="G7" s="897"/>
      <c r="H7" s="898" t="s">
        <v>309</v>
      </c>
      <c r="I7" s="898"/>
      <c r="J7" s="899"/>
      <c r="K7" s="2"/>
      <c r="L7" s="2"/>
      <c r="M7" s="122"/>
      <c r="N7" s="122"/>
      <c r="O7" s="123"/>
      <c r="P7" s="36"/>
      <c r="T7" s="346"/>
      <c r="U7" s="346"/>
      <c r="V7" s="346"/>
      <c r="W7" s="346"/>
      <c r="X7" s="346"/>
      <c r="Y7" s="346"/>
      <c r="Z7" s="346"/>
      <c r="AA7" s="346"/>
      <c r="AB7" s="346"/>
      <c r="AC7" s="346"/>
      <c r="AD7" s="346"/>
      <c r="AE7" s="346"/>
      <c r="AF7" s="346"/>
      <c r="AG7" s="346"/>
      <c r="AH7" s="346"/>
      <c r="AI7" s="346"/>
      <c r="AJ7" s="346"/>
      <c r="AK7" s="346"/>
    </row>
    <row r="8" spans="1:37" s="1" customFormat="1" ht="45.75" customHeight="1" thickBot="1">
      <c r="A8" s="901"/>
      <c r="B8" s="903"/>
      <c r="C8" s="426"/>
      <c r="D8" s="912"/>
      <c r="E8" s="916"/>
      <c r="F8" s="354" t="s">
        <v>310</v>
      </c>
      <c r="G8" s="464" t="s">
        <v>617</v>
      </c>
      <c r="H8" s="355" t="s">
        <v>312</v>
      </c>
      <c r="I8" s="355" t="s">
        <v>313</v>
      </c>
      <c r="J8" s="356" t="s">
        <v>314</v>
      </c>
      <c r="K8" s="357"/>
      <c r="L8" s="357"/>
      <c r="M8" s="127" t="s">
        <v>315</v>
      </c>
      <c r="N8" s="127" t="s">
        <v>315</v>
      </c>
      <c r="O8" s="128" t="s">
        <v>316</v>
      </c>
      <c r="P8" s="35" t="s">
        <v>317</v>
      </c>
      <c r="T8" s="346"/>
    </row>
    <row r="9" spans="1:37" s="1" customFormat="1" ht="76.5" customHeight="1">
      <c r="A9" s="888" t="str">
        <f>+'Anexo 1 Matriz SINA Inf Gestión'!A6</f>
        <v>PROGRAMA 1: GESTIÓN Y CONSERVACIÓN DE LA RIQUEZA NATURAL</v>
      </c>
      <c r="B9" s="913" t="str">
        <f>+'Anexo 1 Matriz SINA Inf Gestión'!A7</f>
        <v>Proyecto 1.1: GESTIÓN DE LA BIODIVERSIDAD Y SUS SERVICIOS ECOSISTÉMICOS</v>
      </c>
      <c r="C9" s="358"/>
      <c r="D9" s="330" t="str">
        <f>+'Anexo 1 Matriz SINA Inf Gestión'!A8</f>
        <v>No. predios apoyados para su caracterización y/o gestión como reserva natural de la sociedad civil</v>
      </c>
      <c r="E9" s="432" t="str">
        <f>+'Anexo 1 Matriz SINA Inf Gestión'!B8</f>
        <v>Predios</v>
      </c>
      <c r="F9" s="433">
        <f>+'Anexo 1 Matriz SINA Inf Gestión'!C8</f>
        <v>30</v>
      </c>
      <c r="G9" s="433">
        <f>+'Anexo 1 Matriz SINA Inf Gestión'!E8</f>
        <v>16.666666666666664</v>
      </c>
      <c r="H9" s="331">
        <f>+'Anexo 1 Matriz SINA Inf Gestión'!L8</f>
        <v>74790993.280000001</v>
      </c>
      <c r="I9" s="400">
        <f>+'Anexo 1 Matriz SINA Inf Gestión'!M8</f>
        <v>0</v>
      </c>
      <c r="J9" s="70">
        <f t="shared" ref="J9:J18" si="0">+H9-I9</f>
        <v>74790993.280000001</v>
      </c>
      <c r="K9" s="359"/>
      <c r="L9" s="357"/>
      <c r="M9" s="129"/>
      <c r="N9" s="129"/>
      <c r="O9" s="130"/>
      <c r="P9" s="300"/>
    </row>
    <row r="10" spans="1:37" s="1" customFormat="1" ht="48" customHeight="1">
      <c r="A10" s="888"/>
      <c r="B10" s="910"/>
      <c r="C10" s="417"/>
      <c r="D10" s="332" t="str">
        <f>+'Anexo 1 Matriz SINA Inf Gestión'!A9</f>
        <v>No. ecosistemas compartidos planificados y/o gestionados por la Corporación</v>
      </c>
      <c r="E10" s="432" t="str">
        <f>+'Anexo 1 Matriz SINA Inf Gestión'!B9</f>
        <v>Und</v>
      </c>
      <c r="F10" s="433">
        <f>+'Anexo 1 Matriz SINA Inf Gestión'!C9</f>
        <v>3</v>
      </c>
      <c r="G10" s="433">
        <v>1</v>
      </c>
      <c r="H10" s="331">
        <f>+'Anexo 1 Matriz SINA Inf Gestión'!L9</f>
        <v>90040000</v>
      </c>
      <c r="I10" s="400">
        <f>+'Anexo 1 Matriz SINA Inf Gestión'!M9</f>
        <v>0</v>
      </c>
      <c r="J10" s="70">
        <f t="shared" si="0"/>
        <v>90040000</v>
      </c>
      <c r="K10" s="359"/>
      <c r="L10" s="357"/>
      <c r="M10" s="129"/>
      <c r="N10" s="129"/>
      <c r="O10" s="130"/>
      <c r="P10" s="300"/>
    </row>
    <row r="11" spans="1:37" s="1" customFormat="1" ht="52.5" customHeight="1">
      <c r="A11" s="888"/>
      <c r="B11" s="910"/>
      <c r="C11" s="417"/>
      <c r="D11" s="335" t="str">
        <f>+'Anexo 1 Matriz SINA Inf Gestión'!A10</f>
        <v>No.de áreas estratégicas con desarrollo de actividades de investigacion-monitoreo y estudios de caracterización de la biodiversidad con participación comunitaria</v>
      </c>
      <c r="E11" s="432" t="str">
        <f>+'Anexo 1 Matriz SINA Inf Gestión'!B10</f>
        <v>Und</v>
      </c>
      <c r="F11" s="433">
        <f>+'Anexo 1 Matriz SINA Inf Gestión'!C10</f>
        <v>2</v>
      </c>
      <c r="G11" s="433">
        <f>+'Anexo 1 Matriz SINA Inf Gestión'!E10</f>
        <v>0</v>
      </c>
      <c r="H11" s="331">
        <f>+'Anexo 1 Matriz SINA Inf Gestión'!L10</f>
        <v>183153053.44</v>
      </c>
      <c r="I11" s="400">
        <f>+'Anexo 1 Matriz SINA Inf Gestión'!M10</f>
        <v>0</v>
      </c>
      <c r="J11" s="70">
        <f t="shared" si="0"/>
        <v>183153053.44</v>
      </c>
      <c r="K11" s="359">
        <v>118606003</v>
      </c>
      <c r="L11" s="357"/>
      <c r="M11" s="129">
        <v>35046</v>
      </c>
      <c r="N11" s="129">
        <v>255412</v>
      </c>
      <c r="O11" s="130">
        <v>615140</v>
      </c>
      <c r="P11" s="300"/>
      <c r="Q11" s="1">
        <v>0</v>
      </c>
      <c r="R11" s="357"/>
    </row>
    <row r="12" spans="1:37" s="1" customFormat="1" ht="47.25" customHeight="1">
      <c r="A12" s="888"/>
      <c r="B12" s="910"/>
      <c r="C12" s="417"/>
      <c r="D12" s="332" t="str">
        <f>+'Anexo 1 Matriz SINA Inf Gestión'!A11</f>
        <v xml:space="preserve">No. De estudios formulados  y/o actualizados de planes de manejo ambiental (PMA) de áreas protegidas </v>
      </c>
      <c r="E12" s="432" t="str">
        <f>+'Anexo 1 Matriz SINA Inf Gestión'!B11</f>
        <v>Und</v>
      </c>
      <c r="F12" s="433">
        <f>+'Anexo 1 Matriz SINA Inf Gestión'!C11</f>
        <v>3</v>
      </c>
      <c r="G12" s="433">
        <f>+'Anexo 1 Matriz SINA Inf Gestión'!E11</f>
        <v>0</v>
      </c>
      <c r="H12" s="331">
        <f>+'Anexo 1 Matriz SINA Inf Gestión'!L11</f>
        <v>558167976.60000002</v>
      </c>
      <c r="I12" s="400">
        <f>+'Anexo 1 Matriz SINA Inf Gestión'!M11</f>
        <v>0</v>
      </c>
      <c r="J12" s="70">
        <f t="shared" si="0"/>
        <v>558167976.60000002</v>
      </c>
      <c r="K12" s="359">
        <v>304866161</v>
      </c>
      <c r="L12" s="357"/>
      <c r="M12" s="129">
        <v>79222</v>
      </c>
      <c r="N12" s="129"/>
      <c r="O12" s="130">
        <v>165962</v>
      </c>
      <c r="P12" s="300"/>
      <c r="Q12" s="1">
        <v>0</v>
      </c>
    </row>
    <row r="13" spans="1:37" s="1" customFormat="1" ht="66.75" customHeight="1">
      <c r="A13" s="888"/>
      <c r="B13" s="910"/>
      <c r="C13" s="417"/>
      <c r="D13" s="335" t="str">
        <f>+'Anexo 1 Matriz SINA Inf Gestión'!A12</f>
        <v>% de estudios elaborados  en ejecución de la Política Ambiental</v>
      </c>
      <c r="E13" s="432" t="str">
        <f>+'Anexo 1 Matriz SINA Inf Gestión'!B12</f>
        <v>%</v>
      </c>
      <c r="F13" s="433">
        <f>+'Anexo 1 Matriz SINA Inf Gestión'!C12</f>
        <v>0.5714285714285714</v>
      </c>
      <c r="G13" s="433">
        <f>+'Anexo 1 Matriz SINA Inf Gestión'!E12</f>
        <v>0</v>
      </c>
      <c r="H13" s="331">
        <f>+'Anexo 1 Matriz SINA Inf Gestión'!L12</f>
        <v>280708222.84000003</v>
      </c>
      <c r="I13" s="400">
        <f>+'Anexo 1 Matriz SINA Inf Gestión'!M12</f>
        <v>0</v>
      </c>
      <c r="J13" s="70">
        <f t="shared" si="0"/>
        <v>280708222.84000003</v>
      </c>
      <c r="K13" s="359">
        <v>423472164</v>
      </c>
      <c r="L13" s="357"/>
      <c r="M13" s="129">
        <v>255412</v>
      </c>
      <c r="N13" s="129"/>
      <c r="O13" s="130">
        <v>489303</v>
      </c>
      <c r="P13" s="300"/>
    </row>
    <row r="14" spans="1:37" s="1" customFormat="1" ht="64.5" customHeight="1">
      <c r="A14" s="888"/>
      <c r="B14" s="910"/>
      <c r="C14" s="417"/>
      <c r="D14" s="332" t="str">
        <f>+'Anexo 1 Matriz SINA Inf Gestión'!A13</f>
        <v>Porcentaje de especies  invasoras con medidas de prevención, control y manejo en ejecución (IM 14)</v>
      </c>
      <c r="E14" s="432" t="str">
        <f>+'Anexo 1 Matriz SINA Inf Gestión'!B13</f>
        <v>%</v>
      </c>
      <c r="F14" s="433">
        <f>+'Anexo 1 Matriz SINA Inf Gestión'!C13</f>
        <v>100</v>
      </c>
      <c r="G14" s="433">
        <f>+'Anexo 1 Matriz SINA Inf Gestión'!E13</f>
        <v>20</v>
      </c>
      <c r="H14" s="331">
        <f>+'Anexo 1 Matriz SINA Inf Gestión'!L13</f>
        <v>5000000</v>
      </c>
      <c r="I14" s="400">
        <f>+'Anexo 1 Matriz SINA Inf Gestión'!M13</f>
        <v>0</v>
      </c>
      <c r="J14" s="70">
        <f t="shared" si="0"/>
        <v>5000000</v>
      </c>
      <c r="K14" s="360" t="s">
        <v>318</v>
      </c>
      <c r="L14" s="357"/>
      <c r="M14" s="129">
        <v>85137</v>
      </c>
      <c r="N14" s="129"/>
      <c r="O14" s="130">
        <v>341394</v>
      </c>
      <c r="P14" s="300"/>
    </row>
    <row r="15" spans="1:37" s="1" customFormat="1" ht="48" customHeight="1">
      <c r="A15" s="888"/>
      <c r="B15" s="910"/>
      <c r="C15" s="416"/>
      <c r="D15" s="335" t="str">
        <f>+'Anexo 1 Matriz SINA Inf Gestión'!A14</f>
        <v>Porcentaje de áreas protegidas con planes de manejo en ejecución (IM 12)</v>
      </c>
      <c r="E15" s="432" t="str">
        <f>+'Anexo 1 Matriz SINA Inf Gestión'!B14</f>
        <v>%</v>
      </c>
      <c r="F15" s="433">
        <f>+'Anexo 1 Matriz SINA Inf Gestión'!C14</f>
        <v>100</v>
      </c>
      <c r="G15" s="433">
        <f>+'Anexo 1 Matriz SINA Inf Gestión'!E14</f>
        <v>20</v>
      </c>
      <c r="H15" s="331">
        <f>+'Anexo 1 Matriz SINA Inf Gestión'!L14</f>
        <v>1902862692.0999999</v>
      </c>
      <c r="I15" s="400">
        <f>+'Anexo 1 Matriz SINA Inf Gestión'!M14</f>
        <v>254844477</v>
      </c>
      <c r="J15" s="70">
        <f t="shared" si="0"/>
        <v>1648018215.0999999</v>
      </c>
      <c r="K15" s="359"/>
      <c r="L15" s="357"/>
      <c r="M15" s="129"/>
      <c r="N15" s="129"/>
      <c r="O15" s="130"/>
      <c r="P15" s="300"/>
    </row>
    <row r="16" spans="1:37" s="1" customFormat="1" ht="48" customHeight="1">
      <c r="A16" s="888"/>
      <c r="B16" s="910"/>
      <c r="C16" s="416"/>
      <c r="D16" s="332" t="str">
        <f>+'Anexo 1 Matriz SINA Inf Gestión'!A15</f>
        <v>Porcentaje de áreas de ecosistemas en restauración, rehabilitación y reforestación (IM 15)</v>
      </c>
      <c r="E16" s="432" t="str">
        <f>+'Anexo 1 Matriz SINA Inf Gestión'!B15</f>
        <v>%</v>
      </c>
      <c r="F16" s="433">
        <f>+'Anexo 1 Matriz SINA Inf Gestión'!C15</f>
        <v>25</v>
      </c>
      <c r="G16" s="433">
        <f>+'Anexo 1 Matriz SINA Inf Gestión'!E15</f>
        <v>20</v>
      </c>
      <c r="H16" s="331">
        <f>+'Anexo 1 Matriz SINA Inf Gestión'!L15</f>
        <v>652210000.04400015</v>
      </c>
      <c r="I16" s="400">
        <f>+'Anexo 1 Matriz SINA Inf Gestión'!M15</f>
        <v>0</v>
      </c>
      <c r="J16" s="70">
        <f t="shared" si="0"/>
        <v>652210000.04400015</v>
      </c>
      <c r="K16" s="359"/>
      <c r="L16" s="357"/>
      <c r="M16" s="129"/>
      <c r="N16" s="129"/>
      <c r="O16" s="130"/>
      <c r="P16" s="300"/>
    </row>
    <row r="17" spans="1:19" s="1" customFormat="1" ht="48" customHeight="1">
      <c r="A17" s="888"/>
      <c r="B17" s="910"/>
      <c r="C17" s="416"/>
      <c r="D17" s="332" t="str">
        <f>+'Anexo 1 Matriz SINA Inf Gestión'!A16</f>
        <v>Porcentaje de especies amenazadas con medidas de conservación y manejo en ejecución (IM 13)</v>
      </c>
      <c r="E17" s="432" t="str">
        <f>+'Anexo 1 Matriz SINA Inf Gestión'!B16</f>
        <v>%</v>
      </c>
      <c r="F17" s="433">
        <f>+'Anexo 1 Matriz SINA Inf Gestión'!C16</f>
        <v>100</v>
      </c>
      <c r="G17" s="433">
        <f>+'Anexo 1 Matriz SINA Inf Gestión'!E16</f>
        <v>20</v>
      </c>
      <c r="H17" s="331">
        <f>+'Anexo 1 Matriz SINA Inf Gestión'!L16</f>
        <v>191824064.46000001</v>
      </c>
      <c r="I17" s="400">
        <f>+'Anexo 1 Matriz SINA Inf Gestión'!M16</f>
        <v>28635375</v>
      </c>
      <c r="J17" s="70">
        <f t="shared" si="0"/>
        <v>163188689.46000001</v>
      </c>
      <c r="K17" s="359"/>
      <c r="L17" s="357"/>
      <c r="M17" s="129"/>
      <c r="N17" s="129"/>
      <c r="O17" s="130"/>
      <c r="P17" s="300"/>
      <c r="R17" s="457"/>
      <c r="S17" s="357"/>
    </row>
    <row r="18" spans="1:19" s="1" customFormat="1" ht="48" customHeight="1">
      <c r="A18" s="888"/>
      <c r="B18" s="910"/>
      <c r="C18" s="752"/>
      <c r="D18" s="332" t="str">
        <f>+'Anexo 1 Matriz SINA Inf Gestión'!A17</f>
        <v>Gestión, Operación, Administración y Promoción del Proyecto apoyados</v>
      </c>
      <c r="E18" s="432" t="str">
        <f>+'Anexo 1 Matriz SINA Inf Gestión'!B17</f>
        <v>Global</v>
      </c>
      <c r="F18" s="433">
        <f>+'Anexo 1 Matriz SINA Inf Gestión'!C17</f>
        <v>1</v>
      </c>
      <c r="G18" s="775">
        <v>0.2</v>
      </c>
      <c r="H18" s="331">
        <f>+'Anexo 1 Matriz SINA Inf Gestión'!L17</f>
        <v>51527303</v>
      </c>
      <c r="I18" s="400">
        <f>+'Anexo 1 Matriz SINA Inf Gestión'!M17</f>
        <v>47527303</v>
      </c>
      <c r="J18" s="70">
        <f t="shared" si="0"/>
        <v>4000000</v>
      </c>
      <c r="K18" s="359"/>
      <c r="L18" s="357"/>
      <c r="M18" s="129"/>
      <c r="N18" s="129"/>
      <c r="O18" s="130"/>
      <c r="P18" s="300"/>
      <c r="R18" s="457"/>
      <c r="S18" s="357"/>
    </row>
    <row r="19" spans="1:19" s="1" customFormat="1" ht="18" customHeight="1">
      <c r="A19" s="888"/>
      <c r="B19" s="910"/>
      <c r="C19" s="417"/>
      <c r="D19" s="904" t="s">
        <v>319</v>
      </c>
      <c r="E19" s="904"/>
      <c r="F19" s="904"/>
      <c r="G19" s="904"/>
      <c r="H19" s="364">
        <f>SUM(H9:H18)</f>
        <v>3990284305.7640004</v>
      </c>
      <c r="I19" s="338"/>
      <c r="J19" s="864">
        <f>+H19-I20</f>
        <v>3659277150.7640004</v>
      </c>
      <c r="K19" s="131" t="e">
        <v>#REF!</v>
      </c>
      <c r="L19" s="357"/>
      <c r="M19" s="129">
        <v>210274</v>
      </c>
      <c r="N19" s="129"/>
      <c r="O19" s="130"/>
      <c r="P19" s="125"/>
    </row>
    <row r="20" spans="1:19" s="1" customFormat="1" ht="18" customHeight="1">
      <c r="A20" s="888"/>
      <c r="B20" s="910"/>
      <c r="C20" s="417"/>
      <c r="D20" s="904" t="s">
        <v>320</v>
      </c>
      <c r="E20" s="904"/>
      <c r="F20" s="904"/>
      <c r="G20" s="904"/>
      <c r="H20" s="904"/>
      <c r="I20" s="339">
        <f>SUM(I9:I19)</f>
        <v>331007155</v>
      </c>
      <c r="J20" s="906"/>
      <c r="K20" s="131">
        <v>11</v>
      </c>
      <c r="L20" s="357"/>
      <c r="M20" s="129">
        <v>105137</v>
      </c>
      <c r="N20" s="129"/>
      <c r="O20" s="130"/>
      <c r="P20" s="125"/>
    </row>
    <row r="21" spans="1:19" s="1" customFormat="1" ht="18.75" customHeight="1">
      <c r="A21" s="888"/>
      <c r="B21" s="910"/>
      <c r="C21" s="417"/>
      <c r="D21" s="904" t="s">
        <v>321</v>
      </c>
      <c r="E21" s="904"/>
      <c r="F21" s="904"/>
      <c r="G21" s="904"/>
      <c r="H21" s="904"/>
      <c r="I21" s="408">
        <f>+'Anexo 1 Matriz SINA Inf Gestión'!N7/100</f>
        <v>8.2953275916168995E-2</v>
      </c>
      <c r="J21" s="906"/>
      <c r="K21" s="357"/>
      <c r="L21" s="357"/>
      <c r="M21" s="132"/>
      <c r="N21" s="132">
        <v>1025640</v>
      </c>
      <c r="O21" s="130"/>
      <c r="P21" s="125"/>
    </row>
    <row r="22" spans="1:19" s="1" customFormat="1" ht="18.75" customHeight="1">
      <c r="A22" s="888"/>
      <c r="B22" s="417"/>
      <c r="C22" s="417"/>
      <c r="D22" s="892" t="s">
        <v>481</v>
      </c>
      <c r="E22" s="893"/>
      <c r="F22" s="893"/>
      <c r="G22" s="893"/>
      <c r="H22" s="894"/>
      <c r="I22" s="408">
        <f>+'Anexo 1 Matriz SINA Inf Gestión'!E7/100</f>
        <v>0.17</v>
      </c>
      <c r="J22" s="422"/>
      <c r="K22" s="357"/>
      <c r="L22" s="357"/>
      <c r="M22" s="132"/>
      <c r="N22" s="132"/>
      <c r="O22" s="130"/>
      <c r="P22" s="125"/>
    </row>
    <row r="23" spans="1:19" s="1" customFormat="1" ht="24" customHeight="1">
      <c r="A23" s="888"/>
      <c r="B23" s="865" t="s">
        <v>306</v>
      </c>
      <c r="C23" s="419"/>
      <c r="D23" s="869" t="s">
        <v>488</v>
      </c>
      <c r="E23" s="866" t="s">
        <v>95</v>
      </c>
      <c r="F23" s="866" t="s">
        <v>308</v>
      </c>
      <c r="G23" s="866"/>
      <c r="H23" s="895" t="s">
        <v>309</v>
      </c>
      <c r="I23" s="895"/>
      <c r="J23" s="896"/>
      <c r="K23" s="357"/>
      <c r="L23" s="357"/>
      <c r="M23" s="132"/>
      <c r="N23" s="132"/>
      <c r="O23" s="130"/>
      <c r="P23" s="125"/>
    </row>
    <row r="24" spans="1:19" s="1" customFormat="1" ht="45" customHeight="1" thickBot="1">
      <c r="A24" s="888"/>
      <c r="B24" s="865"/>
      <c r="C24" s="419"/>
      <c r="D24" s="870"/>
      <c r="E24" s="866"/>
      <c r="F24" s="361" t="s">
        <v>310</v>
      </c>
      <c r="G24" s="464" t="s">
        <v>617</v>
      </c>
      <c r="H24" s="362" t="s">
        <v>312</v>
      </c>
      <c r="I24" s="420" t="s">
        <v>313</v>
      </c>
      <c r="J24" s="421" t="s">
        <v>314</v>
      </c>
      <c r="K24" s="357"/>
      <c r="L24" s="357"/>
      <c r="M24" s="132"/>
      <c r="N24" s="132"/>
      <c r="O24" s="130"/>
      <c r="P24" s="125"/>
    </row>
    <row r="25" spans="1:19" s="1" customFormat="1" ht="76.5" customHeight="1">
      <c r="A25" s="888"/>
      <c r="B25" s="910" t="str">
        <f>+'Anexo 1 Matriz SINA Inf Gestión'!A18</f>
        <v>PROYECTO 1.2: CONSERVACION Y USO EFICIENTE DEL RECURSO HÍDRICO</v>
      </c>
      <c r="C25" s="417"/>
      <c r="D25" s="335" t="str">
        <f>+'Anexo 1 Matriz SINA Inf Gestión'!A19</f>
        <v xml:space="preserve">Porcentaje de avance en la formulación y/o ajustes de los  Planes de Ordenación y Manejo de Cuencas (POMCAS), Planes de Manejo de Acuíferos (PMA) y Planes de Manejo de Microcuencas (PMM). (IM 1) </v>
      </c>
      <c r="E25" s="303" t="str">
        <f>+'Anexo 1 Matriz SINA Inf Gestión'!B19</f>
        <v>%</v>
      </c>
      <c r="F25" s="304">
        <f>+'Anexo 1 Matriz SINA Inf Gestión'!C19</f>
        <v>30</v>
      </c>
      <c r="G25" s="304">
        <f>+'Anexo 1 Matriz SINA Inf Gestión'!E19</f>
        <v>10</v>
      </c>
      <c r="H25" s="341">
        <f>+'Anexo 1 Matriz SINA Inf Gestión'!L19</f>
        <v>675782143.39999998</v>
      </c>
      <c r="I25" s="341">
        <f>+'Anexo 1 Matriz SINA Inf Gestión'!M19</f>
        <v>10184422</v>
      </c>
      <c r="J25" s="70">
        <f>+H25-I25</f>
        <v>665597721.39999998</v>
      </c>
      <c r="K25" s="357"/>
      <c r="L25" s="357"/>
      <c r="M25" s="132"/>
      <c r="N25" s="132"/>
      <c r="O25" s="130"/>
      <c r="P25" s="125"/>
      <c r="Q25" s="1">
        <v>0</v>
      </c>
    </row>
    <row r="26" spans="1:19" s="1" customFormat="1" ht="75" customHeight="1">
      <c r="A26" s="888"/>
      <c r="B26" s="910"/>
      <c r="C26" s="417"/>
      <c r="D26" s="332" t="str">
        <f>+'Anexo 1 Matriz SINA Inf Gestión'!A20</f>
        <v>Porcentaje de Planes de Ordenación y Manejo de Cuencas (POMCAS), Planes de Manejo de Acuíferos (PMA) y Planes de Manejo de Microcuencas (PMM) en ejecución (IM 6)</v>
      </c>
      <c r="E26" s="303" t="str">
        <f>+'Anexo 1 Matriz SINA Inf Gestión'!B20</f>
        <v>%</v>
      </c>
      <c r="F26" s="304">
        <f>+'Anexo 1 Matriz SINA Inf Gestión'!C20</f>
        <v>100</v>
      </c>
      <c r="G26" s="304">
        <f>+'Anexo 1 Matriz SINA Inf Gestión'!E20</f>
        <v>10</v>
      </c>
      <c r="H26" s="341">
        <f>+'Anexo 1 Matriz SINA Inf Gestión'!L20</f>
        <v>4133045375.4000001</v>
      </c>
      <c r="I26" s="341">
        <f>+'Anexo 1 Matriz SINA Inf Gestión'!M20</f>
        <v>178236212.81999999</v>
      </c>
      <c r="J26" s="70">
        <f t="shared" ref="J26:J33" si="1">+H26-I26</f>
        <v>3954809162.5799999</v>
      </c>
      <c r="K26" s="357"/>
      <c r="L26" s="357"/>
      <c r="M26" s="132"/>
      <c r="N26" s="132"/>
      <c r="O26" s="130"/>
      <c r="P26" s="300"/>
      <c r="Q26" s="437">
        <v>0</v>
      </c>
    </row>
    <row r="27" spans="1:19" s="1" customFormat="1" ht="75" customHeight="1">
      <c r="A27" s="888"/>
      <c r="B27" s="910"/>
      <c r="C27" s="416"/>
      <c r="D27" s="335" t="str">
        <f>+'Anexo 1 Matriz SINA Inf Gestión'!A21</f>
        <v>Porcentaje de suelos degradados en recuperación o rehabilitacón (IM 8)</v>
      </c>
      <c r="E27" s="303" t="str">
        <f>+'Anexo 1 Matriz SINA Inf Gestión'!B21</f>
        <v>%</v>
      </c>
      <c r="F27" s="304">
        <f>+'Anexo 1 Matriz SINA Inf Gestión'!C21</f>
        <v>100</v>
      </c>
      <c r="G27" s="304">
        <f>+'Anexo 1 Matriz SINA Inf Gestión'!E21</f>
        <v>0</v>
      </c>
      <c r="H27" s="341">
        <f>+'Anexo 1 Matriz SINA Inf Gestión'!L21</f>
        <v>0</v>
      </c>
      <c r="I27" s="341">
        <f>+'Anexo 1 Matriz SINA Inf Gestión'!M21</f>
        <v>0</v>
      </c>
      <c r="J27" s="70">
        <f t="shared" si="1"/>
        <v>0</v>
      </c>
      <c r="K27" s="357"/>
      <c r="L27" s="357"/>
      <c r="M27" s="132"/>
      <c r="N27" s="132"/>
      <c r="O27" s="130"/>
      <c r="P27" s="300"/>
    </row>
    <row r="28" spans="1:19" s="1" customFormat="1" ht="61.5" customHeight="1">
      <c r="A28" s="888"/>
      <c r="B28" s="910"/>
      <c r="C28" s="416"/>
      <c r="D28" s="332" t="str">
        <f>+'Anexo 1 Matriz SINA Inf Gestión'!A22</f>
        <v>Ha. Recuperadas  y/o rehabilitadas, de suelos degradados por erosión y/o afectación de incendios forestales. Incluye asistencia técnica, capacitación, interventoria, apoyo losgistico (Transporte, almuerzos y refrigerios)</v>
      </c>
      <c r="E28" s="303" t="str">
        <f>+'Anexo 1 Matriz SINA Inf Gestión'!B22</f>
        <v xml:space="preserve">Hectáreas </v>
      </c>
      <c r="F28" s="304">
        <f>+'Anexo 1 Matriz SINA Inf Gestión'!C22</f>
        <v>25</v>
      </c>
      <c r="G28" s="404">
        <v>2.5</v>
      </c>
      <c r="H28" s="341">
        <f>+'Anexo 1 Matriz SINA Inf Gestión'!L22</f>
        <v>66787200</v>
      </c>
      <c r="I28" s="341">
        <f>+'Anexo 1 Matriz SINA Inf Gestión'!M22</f>
        <v>5020000</v>
      </c>
      <c r="J28" s="70">
        <f t="shared" si="1"/>
        <v>61767200</v>
      </c>
      <c r="K28" s="357"/>
      <c r="L28" s="357"/>
      <c r="M28" s="132"/>
      <c r="N28" s="132"/>
      <c r="O28" s="130"/>
      <c r="P28" s="125"/>
    </row>
    <row r="29" spans="1:19" s="1" customFormat="1" ht="73.5" customHeight="1">
      <c r="A29" s="888"/>
      <c r="B29" s="910"/>
      <c r="C29" s="416"/>
      <c r="D29" s="332" t="str">
        <f>+'Anexo 1 Matriz SINA Inf Gestión'!A23</f>
        <v>Porcetaje de áreas reforestadas gestionadas y con mantenimiento para la protección de cuencas abastecedoras.</v>
      </c>
      <c r="E29" s="303" t="str">
        <f>+'Anexo 1 Matriz SINA Inf Gestión'!B23</f>
        <v>%</v>
      </c>
      <c r="F29" s="304">
        <f>+'Anexo 1 Matriz SINA Inf Gestión'!C23</f>
        <v>100</v>
      </c>
      <c r="G29" s="304">
        <f>+'Anexo 1 Matriz SINA Inf Gestión'!E23</f>
        <v>12</v>
      </c>
      <c r="H29" s="341">
        <f>+'Anexo 1 Matriz SINA Inf Gestión'!L23</f>
        <v>304823665.39999998</v>
      </c>
      <c r="I29" s="341">
        <f>+'Anexo 1 Matriz SINA Inf Gestión'!M23</f>
        <v>37542845</v>
      </c>
      <c r="J29" s="70">
        <f t="shared" si="1"/>
        <v>267280820.39999998</v>
      </c>
      <c r="K29" s="357"/>
      <c r="L29" s="357"/>
      <c r="M29" s="132"/>
      <c r="N29" s="132"/>
      <c r="O29" s="130"/>
      <c r="P29" s="125"/>
    </row>
    <row r="30" spans="1:19" s="1" customFormat="1" ht="53.25" customHeight="1">
      <c r="A30" s="888"/>
      <c r="B30" s="910"/>
      <c r="C30" s="416"/>
      <c r="D30" s="332" t="str">
        <f>+'Anexo 1 Matriz SINA Inf Gestión'!A24</f>
        <v xml:space="preserve">Ha. revegetalizadas naturalmente para la protección de cuencas abastecedoras </v>
      </c>
      <c r="E30" s="303" t="str">
        <f>+'Anexo 1 Matriz SINA Inf Gestión'!B24</f>
        <v xml:space="preserve">Hectáreas </v>
      </c>
      <c r="F30" s="304">
        <f>+'Anexo 1 Matriz SINA Inf Gestión'!C24</f>
        <v>500</v>
      </c>
      <c r="G30" s="304">
        <f>+'Anexo 1 Matriz SINA Inf Gestión'!E24</f>
        <v>0</v>
      </c>
      <c r="H30" s="341">
        <f>+'Anexo 1 Matriz SINA Inf Gestión'!L24</f>
        <v>703407316.10000002</v>
      </c>
      <c r="I30" s="341">
        <f>+'Anexo 1 Matriz SINA Inf Gestión'!M24</f>
        <v>33702927.811999999</v>
      </c>
      <c r="J30" s="70">
        <f t="shared" si="1"/>
        <v>669704388.28799999</v>
      </c>
      <c r="K30" s="357"/>
      <c r="L30" s="357"/>
      <c r="M30" s="132"/>
      <c r="N30" s="132"/>
      <c r="O30" s="130"/>
      <c r="P30" s="125"/>
    </row>
    <row r="31" spans="1:19" s="1" customFormat="1" ht="53.25" customHeight="1">
      <c r="A31" s="888"/>
      <c r="B31" s="910"/>
      <c r="C31" s="416"/>
      <c r="D31" s="332" t="str">
        <f>+'Anexo 1 Matriz SINA Inf Gestión'!A25</f>
        <v>Porcentaje de áreas revegetalizadas naturalmente para la protección de cuencas abastecedoras con mantenimiento.</v>
      </c>
      <c r="E31" s="303" t="str">
        <f>+'Anexo 1 Matriz SINA Inf Gestión'!B25</f>
        <v>%</v>
      </c>
      <c r="F31" s="304">
        <f>+'Anexo 1 Matriz SINA Inf Gestión'!C25</f>
        <v>100</v>
      </c>
      <c r="G31" s="304">
        <f>+'Anexo 1 Matriz SINA Inf Gestión'!E25</f>
        <v>0</v>
      </c>
      <c r="H31" s="341">
        <f>+'Anexo 1 Matriz SINA Inf Gestión'!L25</f>
        <v>398051099</v>
      </c>
      <c r="I31" s="341">
        <f>+'Anexo 1 Matriz SINA Inf Gestión'!M25</f>
        <v>0</v>
      </c>
      <c r="J31" s="70">
        <f t="shared" si="1"/>
        <v>398051099</v>
      </c>
      <c r="K31" s="357"/>
      <c r="L31" s="357"/>
      <c r="M31" s="132"/>
      <c r="N31" s="132"/>
      <c r="O31" s="130"/>
      <c r="P31" s="125"/>
    </row>
    <row r="32" spans="1:19" s="1" customFormat="1" ht="53.25" customHeight="1">
      <c r="A32" s="888"/>
      <c r="B32" s="910"/>
      <c r="C32" s="752"/>
      <c r="D32" s="332" t="str">
        <f>+'Anexo 1 Matriz SINA Inf Gestión'!A26</f>
        <v>Ha. adquiridas y administradas para la restauración  y conservación de áreas estratégicas en cuencas hidrográficas abastecedoras de acueductos municipales y/o veredales</v>
      </c>
      <c r="E32" s="303" t="str">
        <f>+'Anexo 1 Matriz SINA Inf Gestión'!B26</f>
        <v xml:space="preserve">Hectáreas </v>
      </c>
      <c r="F32" s="304">
        <f>+'Anexo 1 Matriz SINA Inf Gestión'!C26</f>
        <v>340</v>
      </c>
      <c r="G32" s="304">
        <f>+'Anexo 1 Matriz SINA Inf Gestión'!E26</f>
        <v>0</v>
      </c>
      <c r="H32" s="341">
        <f>+'Anexo 1 Matriz SINA Inf Gestión'!L26</f>
        <v>385530542</v>
      </c>
      <c r="I32" s="341">
        <f>+'Anexo 1 Matriz SINA Inf Gestión'!M26</f>
        <v>11033124</v>
      </c>
      <c r="J32" s="70"/>
      <c r="K32" s="357"/>
      <c r="L32" s="357"/>
      <c r="M32" s="132"/>
      <c r="N32" s="132"/>
      <c r="O32" s="130"/>
      <c r="P32" s="125"/>
    </row>
    <row r="33" spans="1:19" s="1" customFormat="1" ht="78.75" customHeight="1">
      <c r="A33" s="888"/>
      <c r="B33" s="910"/>
      <c r="C33" s="416"/>
      <c r="D33" s="332" t="str">
        <f>+'Anexo 1 Matriz SINA Inf Gestión'!A27</f>
        <v>No. De convenios  para cofinanciar la construcción  y seguimiento a proyectos de saneamiento ambiental hídrico como: interceptores, emisarios finales,  sistemas de tratamiento de aguas residuales domésticas y/o estudios y diseños asociados a estas obras.</v>
      </c>
      <c r="E33" s="303" t="str">
        <f>+'Anexo 1 Matriz SINA Inf Gestión'!B27</f>
        <v>Und</v>
      </c>
      <c r="F33" s="304">
        <f>+'Anexo 1 Matriz SINA Inf Gestión'!C27</f>
        <v>1</v>
      </c>
      <c r="G33" s="304">
        <f>+'Anexo 1 Matriz SINA Inf Gestión'!E27</f>
        <v>0</v>
      </c>
      <c r="H33" s="341">
        <f>+'Anexo 1 Matriz SINA Inf Gestión'!L27</f>
        <v>3576963272</v>
      </c>
      <c r="I33" s="341">
        <f>+'Anexo 1 Matriz SINA Inf Gestión'!M27</f>
        <v>0</v>
      </c>
      <c r="J33" s="70">
        <f t="shared" si="1"/>
        <v>3576963272</v>
      </c>
      <c r="K33" s="357"/>
      <c r="L33" s="357"/>
      <c r="M33" s="132"/>
      <c r="N33" s="132"/>
      <c r="O33" s="130"/>
      <c r="P33" s="125"/>
    </row>
    <row r="34" spans="1:19" s="1" customFormat="1" ht="24" customHeight="1">
      <c r="A34" s="888"/>
      <c r="B34" s="910"/>
      <c r="C34" s="417"/>
      <c r="D34" s="904" t="s">
        <v>319</v>
      </c>
      <c r="E34" s="904"/>
      <c r="F34" s="904"/>
      <c r="G34" s="904"/>
      <c r="H34" s="364">
        <f>SUM(H25:H33)</f>
        <v>10244390613.299999</v>
      </c>
      <c r="I34" s="343">
        <v>0</v>
      </c>
      <c r="J34" s="864">
        <f>+H34-I35</f>
        <v>9968671081.6679993</v>
      </c>
      <c r="K34" s="357"/>
      <c r="L34" s="357"/>
      <c r="M34" s="132"/>
      <c r="N34" s="132"/>
      <c r="O34" s="130"/>
      <c r="P34" s="125"/>
    </row>
    <row r="35" spans="1:19" s="1" customFormat="1" ht="18" customHeight="1">
      <c r="A35" s="888"/>
      <c r="B35" s="910"/>
      <c r="C35" s="417"/>
      <c r="D35" s="904" t="s">
        <v>320</v>
      </c>
      <c r="E35" s="904"/>
      <c r="F35" s="904"/>
      <c r="G35" s="904"/>
      <c r="H35" s="904"/>
      <c r="I35" s="475">
        <f>SUM(I25:I34)</f>
        <v>275719531.63199997</v>
      </c>
      <c r="J35" s="906"/>
      <c r="K35" s="357"/>
      <c r="L35" s="357"/>
      <c r="M35" s="132"/>
      <c r="N35" s="132"/>
      <c r="O35" s="130"/>
      <c r="P35" s="125"/>
    </row>
    <row r="36" spans="1:19" s="1" customFormat="1" ht="15">
      <c r="A36" s="888"/>
      <c r="B36" s="910"/>
      <c r="C36" s="417"/>
      <c r="D36" s="904" t="s">
        <v>321</v>
      </c>
      <c r="E36" s="904"/>
      <c r="F36" s="904"/>
      <c r="G36" s="904"/>
      <c r="H36" s="904"/>
      <c r="I36" s="385">
        <f>+'Anexo 1 Matriz SINA Inf Gestión'!N18/100</f>
        <v>2.6914195488996796E-2</v>
      </c>
      <c r="J36" s="906"/>
      <c r="K36" s="357"/>
      <c r="L36" s="357"/>
      <c r="M36" s="132"/>
      <c r="N36" s="132"/>
      <c r="O36" s="130"/>
      <c r="P36" s="125"/>
    </row>
    <row r="37" spans="1:19" s="1" customFormat="1" ht="18" customHeight="1">
      <c r="A37" s="888"/>
      <c r="B37" s="910"/>
      <c r="C37" s="417"/>
      <c r="D37" s="892" t="s">
        <v>479</v>
      </c>
      <c r="E37" s="893"/>
      <c r="F37" s="893"/>
      <c r="G37" s="893"/>
      <c r="H37" s="894"/>
      <c r="I37" s="385">
        <f>+'Anexo 1 Matriz SINA Inf Gestión'!E18/100</f>
        <v>4.6666666666666669E-2</v>
      </c>
      <c r="J37" s="906"/>
      <c r="K37" s="357"/>
      <c r="L37" s="357"/>
      <c r="M37" s="132"/>
      <c r="N37" s="132"/>
      <c r="O37" s="130"/>
      <c r="P37" s="125"/>
    </row>
    <row r="38" spans="1:19" s="1" customFormat="1" ht="17.25" customHeight="1">
      <c r="A38" s="905" t="s">
        <v>305</v>
      </c>
      <c r="B38" s="865" t="s">
        <v>306</v>
      </c>
      <c r="C38" s="419"/>
      <c r="D38" s="869" t="s">
        <v>488</v>
      </c>
      <c r="E38" s="866" t="s">
        <v>95</v>
      </c>
      <c r="F38" s="866" t="s">
        <v>308</v>
      </c>
      <c r="G38" s="866"/>
      <c r="H38" s="895" t="s">
        <v>309</v>
      </c>
      <c r="I38" s="895"/>
      <c r="J38" s="896"/>
      <c r="K38" s="357"/>
      <c r="L38" s="357"/>
      <c r="M38" s="129"/>
      <c r="N38" s="129"/>
      <c r="O38" s="130"/>
      <c r="P38" s="125"/>
    </row>
    <row r="39" spans="1:19" s="1" customFormat="1" ht="51.75" customHeight="1" thickBot="1">
      <c r="A39" s="905"/>
      <c r="B39" s="865"/>
      <c r="C39" s="419"/>
      <c r="D39" s="870"/>
      <c r="E39" s="866"/>
      <c r="F39" s="361" t="s">
        <v>310</v>
      </c>
      <c r="G39" s="464" t="s">
        <v>617</v>
      </c>
      <c r="H39" s="362" t="s">
        <v>312</v>
      </c>
      <c r="I39" s="420" t="s">
        <v>313</v>
      </c>
      <c r="J39" s="421" t="s">
        <v>314</v>
      </c>
      <c r="K39" s="357"/>
      <c r="L39" s="357"/>
      <c r="M39" s="129"/>
      <c r="N39" s="129"/>
      <c r="O39" s="130"/>
      <c r="P39" s="125"/>
    </row>
    <row r="40" spans="1:19" s="1" customFormat="1" ht="57.75" customHeight="1">
      <c r="A40" s="887" t="s">
        <v>440</v>
      </c>
      <c r="B40" s="910" t="str">
        <f>+'Anexo 1 Matriz SINA Inf Gestión'!A29</f>
        <v>Proyecto No. 2.1  Desarrollo sectorial sostenible</v>
      </c>
      <c r="C40" s="416"/>
      <c r="D40" s="302" t="str">
        <f>+'Anexo 1 Matriz SINA Inf Gestión'!A30</f>
        <v>Porcentaje de sectores con acompañamiento para la reconversión hacia sistemas sostenibles de producción (IM 18)</v>
      </c>
      <c r="E40" s="304" t="str">
        <f>+'Anexo 1 Matriz SINA Inf Gestión'!B30</f>
        <v>%</v>
      </c>
      <c r="F40" s="304">
        <f>+'Anexo 1 Matriz SINA Inf Gestión'!C30</f>
        <v>100</v>
      </c>
      <c r="G40" s="304">
        <f>+'Anexo 1 Matriz SINA Inf Gestión'!D30</f>
        <v>45</v>
      </c>
      <c r="H40" s="363">
        <f>+'Anexo 1 Matriz SINA Inf Gestión'!L30</f>
        <v>72999300</v>
      </c>
      <c r="I40" s="363">
        <f>+'Anexo 1 Matriz SINA Inf Gestión'!M30</f>
        <v>29995410</v>
      </c>
      <c r="J40" s="70">
        <v>0</v>
      </c>
      <c r="K40" s="357"/>
      <c r="L40" s="357"/>
      <c r="M40" s="133">
        <v>75206</v>
      </c>
      <c r="N40" s="129">
        <v>340671</v>
      </c>
      <c r="O40" s="130"/>
      <c r="P40" s="125"/>
      <c r="Q40" s="1">
        <v>0</v>
      </c>
      <c r="S40" s="591"/>
    </row>
    <row r="41" spans="1:19" s="1" customFormat="1" ht="59.25" customHeight="1">
      <c r="A41" s="888"/>
      <c r="B41" s="910"/>
      <c r="C41" s="416"/>
      <c r="D41" s="314" t="str">
        <f>+'Anexo 1 Matriz SINA Inf Gestión'!A31</f>
        <v>Identificación, promoción y aplicación de energías alternativas y/o utilización de sistemas ecoeficientes de combustión en sectores productivos y/o para uso doméstico</v>
      </c>
      <c r="E41" s="304" t="str">
        <f>+'Anexo 1 Matriz SINA Inf Gestión'!B31</f>
        <v>%</v>
      </c>
      <c r="F41" s="304">
        <f>+'Anexo 1 Matriz SINA Inf Gestión'!C31</f>
        <v>25</v>
      </c>
      <c r="G41" s="304">
        <f>+'Anexo 1 Matriz SINA Inf Gestión'!D31</f>
        <v>8</v>
      </c>
      <c r="H41" s="363">
        <f>+'Anexo 1 Matriz SINA Inf Gestión'!L31</f>
        <v>111130751</v>
      </c>
      <c r="I41" s="363">
        <f>+'Anexo 1 Matriz SINA Inf Gestión'!M31</f>
        <v>30120000</v>
      </c>
      <c r="J41" s="70">
        <v>0</v>
      </c>
      <c r="K41" s="357"/>
      <c r="L41" s="357"/>
      <c r="M41" s="133"/>
      <c r="N41" s="129"/>
      <c r="O41" s="130"/>
      <c r="P41" s="125"/>
      <c r="Q41" s="437">
        <v>0</v>
      </c>
      <c r="S41" s="592"/>
    </row>
    <row r="42" spans="1:19" s="1" customFormat="1" ht="47.25" customHeight="1">
      <c r="A42" s="888"/>
      <c r="B42" s="910"/>
      <c r="C42" s="416"/>
      <c r="D42" s="314" t="str">
        <f>+'Anexo 1 Matriz SINA Inf Gestión'!A32</f>
        <v>Apoyo a la  Gestión, Operación, Administración y Promoción del Proyecto</v>
      </c>
      <c r="E42" s="304" t="str">
        <f>+'Anexo 1 Matriz SINA Inf Gestión'!B32</f>
        <v>Global</v>
      </c>
      <c r="F42" s="304">
        <f>+'Anexo 1 Matriz SINA Inf Gestión'!C32</f>
        <v>1</v>
      </c>
      <c r="G42" s="304">
        <f>+'Anexo 1 Matriz SINA Inf Gestión'!D32</f>
        <v>1</v>
      </c>
      <c r="H42" s="363">
        <f>+'Anexo 1 Matriz SINA Inf Gestión'!L32</f>
        <v>19398096</v>
      </c>
      <c r="I42" s="363">
        <f>+'Anexo 1 Matriz SINA Inf Gestión'!M32</f>
        <v>19398096</v>
      </c>
      <c r="J42" s="70"/>
      <c r="K42" s="357"/>
      <c r="L42" s="357"/>
      <c r="M42" s="133"/>
      <c r="N42" s="129"/>
      <c r="O42" s="130"/>
      <c r="P42" s="125"/>
    </row>
    <row r="43" spans="1:19" s="1" customFormat="1" ht="24" customHeight="1">
      <c r="A43" s="888"/>
      <c r="B43" s="910"/>
      <c r="C43" s="417"/>
      <c r="D43" s="859" t="s">
        <v>319</v>
      </c>
      <c r="E43" s="859"/>
      <c r="F43" s="859"/>
      <c r="G43" s="859"/>
      <c r="H43" s="364">
        <f>SUM(H40:H42)</f>
        <v>203528147</v>
      </c>
      <c r="I43" s="305"/>
      <c r="J43" s="864">
        <f>+H43-I44</f>
        <v>124014641</v>
      </c>
      <c r="K43" s="131"/>
      <c r="L43" s="357"/>
      <c r="M43" s="129"/>
      <c r="N43" s="129"/>
      <c r="O43" s="130"/>
      <c r="P43" s="125"/>
    </row>
    <row r="44" spans="1:19" s="1" customFormat="1" ht="16.5" customHeight="1">
      <c r="A44" s="888"/>
      <c r="B44" s="910"/>
      <c r="C44" s="417"/>
      <c r="D44" s="859" t="s">
        <v>320</v>
      </c>
      <c r="E44" s="859"/>
      <c r="F44" s="859"/>
      <c r="G44" s="859"/>
      <c r="H44" s="859"/>
      <c r="I44" s="364">
        <f>SUM(I40:I43)</f>
        <v>79513506</v>
      </c>
      <c r="J44" s="864"/>
      <c r="K44" s="131"/>
      <c r="L44" s="357"/>
      <c r="M44" s="129"/>
      <c r="N44" s="129"/>
      <c r="O44" s="130"/>
      <c r="P44" s="125"/>
    </row>
    <row r="45" spans="1:19" s="1" customFormat="1" ht="16.5" customHeight="1">
      <c r="A45" s="888"/>
      <c r="B45" s="910"/>
      <c r="C45" s="286"/>
      <c r="D45" s="860" t="s">
        <v>321</v>
      </c>
      <c r="E45" s="904"/>
      <c r="F45" s="904"/>
      <c r="G45" s="904"/>
      <c r="H45" s="904"/>
      <c r="I45" s="340">
        <f>+'Anexo 1 Matriz SINA Inf Gestión'!N29/100</f>
        <v>0.39067572309789661</v>
      </c>
      <c r="J45" s="864"/>
      <c r="K45" s="131"/>
      <c r="L45" s="357"/>
      <c r="M45" s="129"/>
      <c r="N45" s="129"/>
      <c r="O45" s="130"/>
      <c r="P45" s="125"/>
    </row>
    <row r="46" spans="1:19" s="1" customFormat="1" ht="16.5" customHeight="1">
      <c r="A46" s="888"/>
      <c r="B46" s="910"/>
      <c r="C46" s="286"/>
      <c r="D46" s="861" t="s">
        <v>479</v>
      </c>
      <c r="E46" s="862"/>
      <c r="F46" s="862"/>
      <c r="G46" s="862"/>
      <c r="H46" s="863"/>
      <c r="I46" s="408">
        <f>+'Anexo 1 Matriz SINA Inf Gestión'!E29/100</f>
        <v>0.59</v>
      </c>
      <c r="J46" s="864"/>
      <c r="K46" s="131"/>
      <c r="L46" s="357"/>
      <c r="M46" s="129"/>
      <c r="N46" s="129"/>
      <c r="O46" s="130"/>
      <c r="P46" s="125"/>
    </row>
    <row r="47" spans="1:19" s="1" customFormat="1" ht="33.75" customHeight="1">
      <c r="A47" s="888"/>
      <c r="B47" s="865" t="s">
        <v>306</v>
      </c>
      <c r="C47" s="419"/>
      <c r="D47" s="869" t="s">
        <v>488</v>
      </c>
      <c r="E47" s="866" t="s">
        <v>95</v>
      </c>
      <c r="F47" s="866" t="s">
        <v>308</v>
      </c>
      <c r="G47" s="866"/>
      <c r="H47" s="895" t="s">
        <v>246</v>
      </c>
      <c r="I47" s="895"/>
      <c r="J47" s="896"/>
      <c r="K47" s="357"/>
      <c r="L47" s="357"/>
      <c r="M47" s="129"/>
      <c r="N47" s="129"/>
      <c r="O47" s="130"/>
      <c r="P47" s="125"/>
      <c r="S47" s="357">
        <f>+H43+H51</f>
        <v>334519644</v>
      </c>
    </row>
    <row r="48" spans="1:19" s="1" customFormat="1" ht="48.75" customHeight="1" thickBot="1">
      <c r="A48" s="888"/>
      <c r="B48" s="865"/>
      <c r="C48" s="419"/>
      <c r="D48" s="870"/>
      <c r="E48" s="866"/>
      <c r="F48" s="361" t="s">
        <v>310</v>
      </c>
      <c r="G48" s="464" t="s">
        <v>617</v>
      </c>
      <c r="H48" s="362" t="s">
        <v>312</v>
      </c>
      <c r="I48" s="420" t="s">
        <v>313</v>
      </c>
      <c r="J48" s="421" t="s">
        <v>314</v>
      </c>
      <c r="K48" s="357"/>
      <c r="L48" s="357"/>
      <c r="M48" s="129"/>
      <c r="N48" s="129"/>
      <c r="O48" s="130"/>
      <c r="P48" s="125"/>
    </row>
    <row r="49" spans="1:20" s="1" customFormat="1" ht="34.5" customHeight="1">
      <c r="A49" s="888"/>
      <c r="B49" s="851" t="str">
        <f>+'Anexo 1 Matriz SINA Inf Gestión'!A33</f>
        <v xml:space="preserve">Proyecto No. 2.2 Negocios verdes </v>
      </c>
      <c r="C49" s="415"/>
      <c r="D49" s="335" t="str">
        <f>+'Anexo 1 Matriz SINA Inf Gestión'!A34</f>
        <v>Implementación del Programa Regional de Negocios Verdes por la autoridad ambiental (IM 20)</v>
      </c>
      <c r="E49" s="304" t="s">
        <v>1</v>
      </c>
      <c r="F49" s="367">
        <v>100</v>
      </c>
      <c r="G49" s="471">
        <f>+'Anexo 1 Matriz SINA Inf Gestión'!D34</f>
        <v>65</v>
      </c>
      <c r="H49" s="368">
        <f>+'Anexo 1 Matriz SINA Inf Gestión'!L34</f>
        <v>111593401</v>
      </c>
      <c r="I49" s="368">
        <f>+'Anexo 1 Matriz SINA Inf Gestión'!M34</f>
        <v>110640800</v>
      </c>
      <c r="J49" s="70">
        <f t="shared" ref="J49:J50" si="2">+H49-I49</f>
        <v>952601</v>
      </c>
      <c r="K49" s="357"/>
      <c r="L49" s="357"/>
      <c r="M49" s="129"/>
      <c r="N49" s="129"/>
      <c r="O49" s="130"/>
      <c r="P49" s="125"/>
    </row>
    <row r="50" spans="1:20" s="1" customFormat="1" ht="32.25" customHeight="1">
      <c r="A50" s="888"/>
      <c r="B50" s="851"/>
      <c r="C50" s="415"/>
      <c r="D50" s="332" t="str">
        <f>+'Anexo 1 Matriz SINA Inf Gestión'!A35</f>
        <v>Apoyo a la  Gestión, Operación, Administración y Promoción del Proyecto</v>
      </c>
      <c r="E50" s="304" t="s">
        <v>433</v>
      </c>
      <c r="F50" s="367">
        <v>99948</v>
      </c>
      <c r="G50" s="470">
        <f>+'Anexo 1 Matriz SINA Inf Gestión'!D35</f>
        <v>0.4</v>
      </c>
      <c r="H50" s="368">
        <f>+'Anexo 1 Matriz SINA Inf Gestión'!L35</f>
        <v>19398096</v>
      </c>
      <c r="I50" s="368">
        <f>+'Anexo 1 Matriz SINA Inf Gestión'!M35</f>
        <v>19398096</v>
      </c>
      <c r="J50" s="70">
        <f t="shared" si="2"/>
        <v>0</v>
      </c>
      <c r="K50" s="357"/>
      <c r="L50" s="357"/>
      <c r="M50" s="129"/>
      <c r="N50" s="129"/>
      <c r="O50" s="130"/>
      <c r="P50" s="125"/>
      <c r="T50" s="429"/>
    </row>
    <row r="51" spans="1:20" s="1" customFormat="1" ht="20.25" customHeight="1">
      <c r="A51" s="888"/>
      <c r="B51" s="851"/>
      <c r="C51" s="417"/>
      <c r="D51" s="859" t="s">
        <v>319</v>
      </c>
      <c r="E51" s="859"/>
      <c r="F51" s="859"/>
      <c r="G51" s="859"/>
      <c r="H51" s="364">
        <f>SUM(H49:H50)</f>
        <v>130991497</v>
      </c>
      <c r="I51" s="370"/>
      <c r="J51" s="864">
        <f>+H51-I52</f>
        <v>952601</v>
      </c>
      <c r="K51" s="357"/>
      <c r="L51" s="357"/>
      <c r="M51" s="129"/>
      <c r="N51" s="129"/>
      <c r="O51" s="130"/>
      <c r="P51" s="125"/>
    </row>
    <row r="52" spans="1:20" s="1" customFormat="1" ht="20.25" customHeight="1">
      <c r="A52" s="888"/>
      <c r="B52" s="910"/>
      <c r="C52" s="417"/>
      <c r="D52" s="859" t="s">
        <v>320</v>
      </c>
      <c r="E52" s="859"/>
      <c r="F52" s="859"/>
      <c r="G52" s="859"/>
      <c r="H52" s="859"/>
      <c r="I52" s="371">
        <f>SUM(I49:I51)</f>
        <v>130038896</v>
      </c>
      <c r="J52" s="864"/>
      <c r="K52" s="357"/>
      <c r="L52" s="357"/>
      <c r="M52" s="129"/>
      <c r="N52" s="129"/>
      <c r="O52" s="130"/>
      <c r="P52" s="125"/>
    </row>
    <row r="53" spans="1:20" s="1" customFormat="1" ht="20.25" customHeight="1">
      <c r="A53" s="888"/>
      <c r="B53" s="874"/>
      <c r="C53" s="286"/>
      <c r="D53" s="860" t="s">
        <v>321</v>
      </c>
      <c r="E53" s="860"/>
      <c r="F53" s="860"/>
      <c r="G53" s="860"/>
      <c r="H53" s="860"/>
      <c r="I53" s="340">
        <f>+'Anexo 1 Matriz SINA Inf Gestión'!N33/100</f>
        <v>0.99272776461208012</v>
      </c>
      <c r="J53" s="864"/>
      <c r="K53" s="357"/>
      <c r="L53" s="357"/>
      <c r="M53" s="129"/>
      <c r="N53" s="129"/>
      <c r="O53" s="130"/>
      <c r="P53" s="125"/>
    </row>
    <row r="54" spans="1:20" s="1" customFormat="1" ht="20.25" customHeight="1">
      <c r="A54" s="888"/>
      <c r="B54" s="874"/>
      <c r="C54" s="286"/>
      <c r="D54" s="861" t="s">
        <v>479</v>
      </c>
      <c r="E54" s="862"/>
      <c r="F54" s="862"/>
      <c r="G54" s="862"/>
      <c r="H54" s="863"/>
      <c r="I54" s="536">
        <f>+'Anexo 1 Matriz SINA Inf Gestión'!E33/100</f>
        <v>0.52500000000000002</v>
      </c>
      <c r="J54" s="864"/>
      <c r="K54" s="357"/>
      <c r="L54" s="357"/>
      <c r="M54" s="129"/>
      <c r="N54" s="129"/>
      <c r="O54" s="130"/>
      <c r="P54" s="125"/>
    </row>
    <row r="55" spans="1:20" s="1" customFormat="1" ht="16.5" customHeight="1">
      <c r="A55" s="905" t="s">
        <v>305</v>
      </c>
      <c r="B55" s="865" t="s">
        <v>306</v>
      </c>
      <c r="C55" s="419"/>
      <c r="D55" s="869" t="s">
        <v>488</v>
      </c>
      <c r="E55" s="866" t="s">
        <v>95</v>
      </c>
      <c r="F55" s="866" t="s">
        <v>308</v>
      </c>
      <c r="G55" s="866"/>
      <c r="H55" s="895" t="s">
        <v>309</v>
      </c>
      <c r="I55" s="895"/>
      <c r="J55" s="896"/>
      <c r="K55" s="357"/>
      <c r="L55" s="357"/>
      <c r="M55" s="129"/>
      <c r="N55" s="129"/>
      <c r="O55" s="130"/>
      <c r="P55" s="125"/>
    </row>
    <row r="56" spans="1:20" s="1" customFormat="1" ht="44.25" customHeight="1" thickBot="1">
      <c r="A56" s="905"/>
      <c r="B56" s="865"/>
      <c r="C56" s="427"/>
      <c r="D56" s="870"/>
      <c r="E56" s="866"/>
      <c r="F56" s="361" t="s">
        <v>310</v>
      </c>
      <c r="G56" s="464" t="s">
        <v>617</v>
      </c>
      <c r="H56" s="362" t="s">
        <v>312</v>
      </c>
      <c r="I56" s="420" t="s">
        <v>313</v>
      </c>
      <c r="J56" s="421" t="s">
        <v>314</v>
      </c>
      <c r="K56" s="357"/>
      <c r="L56" s="357"/>
      <c r="M56" s="129"/>
      <c r="N56" s="129"/>
      <c r="O56" s="130"/>
      <c r="P56" s="125"/>
    </row>
    <row r="57" spans="1:20" s="1" customFormat="1" ht="68.25" customHeight="1">
      <c r="A57" s="849" t="str">
        <f>+'Anexo 1 Matriz SINA Inf Gestión'!A36</f>
        <v>PROGRAMA 3: DESARROLLO TERRITORIAL SOSTENIBLE Y ADAPTACIÒN AL CAMBIO CLIMÀTICO</v>
      </c>
      <c r="B57" s="851" t="str">
        <f>+'Anexo 1 Matriz SINA Inf Gestión'!A37</f>
        <v>Proyecto No. 3.1 Fortalecimiento de los procesos de ordenamiento y planificaciòn territorial</v>
      </c>
      <c r="C57" s="415"/>
      <c r="D57" s="336" t="str">
        <f>+'Anexo 1 Matriz SINA Inf Gestión'!A38</f>
        <v>Porcentaje de municipios asesorados o asistidos en la inclusión del componente ambiental en los procesos de planificación y ordenamiento territorial, con énfasis en la incorporación de las determinantes ambientales para la revisión y ajuste de los POT (IM 24)</v>
      </c>
      <c r="E57" s="311" t="str">
        <f>+'Anexo 1 Matriz SINA Inf Gestión'!B38</f>
        <v>%</v>
      </c>
      <c r="F57" s="304">
        <f>+'Anexo 1 Matriz SINA Inf Gestión'!C38</f>
        <v>100</v>
      </c>
      <c r="G57" s="304">
        <f>+'Anexo 1 Matriz SINA Inf Gestión'!E38</f>
        <v>55.000000000000007</v>
      </c>
      <c r="H57" s="341">
        <f>+'Anexo 1 Matriz SINA Inf Gestión'!L38</f>
        <v>200000000.40000001</v>
      </c>
      <c r="I57" s="341">
        <f>+'Anexo 1 Matriz SINA Inf Gestión'!M38</f>
        <v>168673004</v>
      </c>
      <c r="J57" s="70">
        <f t="shared" ref="J57:J60" si="3">+H57-I57</f>
        <v>31326996.400000006</v>
      </c>
      <c r="K57" s="357"/>
      <c r="L57" s="357"/>
      <c r="M57" s="129">
        <v>175228</v>
      </c>
      <c r="N57" s="129">
        <v>45086</v>
      </c>
      <c r="O57" s="130">
        <v>334406</v>
      </c>
      <c r="P57" s="125"/>
    </row>
    <row r="58" spans="1:20" s="1" customFormat="1" ht="57" customHeight="1">
      <c r="A58" s="850"/>
      <c r="B58" s="851"/>
      <c r="C58" s="415"/>
      <c r="D58" s="336" t="str">
        <f>+'Anexo 1 Matriz SINA Inf Gestión'!A39</f>
        <v>Porcentaje de entes territoriales asesorados en la incorporación, planificación y ejecución de acciones relacionadas con cambio climático en el marco de los instrumentos de planificación territorial (IM 7)</v>
      </c>
      <c r="E58" s="311" t="str">
        <f>+'Anexo 1 Matriz SINA Inf Gestión'!B39</f>
        <v>%</v>
      </c>
      <c r="F58" s="304">
        <f>+'Anexo 1 Matriz SINA Inf Gestión'!C39</f>
        <v>100</v>
      </c>
      <c r="G58" s="304">
        <f>+'Anexo 1 Matriz SINA Inf Gestión'!E39</f>
        <v>50</v>
      </c>
      <c r="H58" s="341">
        <f>+'Anexo 1 Matriz SINA Inf Gestión'!L39</f>
        <v>50000000</v>
      </c>
      <c r="I58" s="341">
        <f>+'Anexo 1 Matriz SINA Inf Gestión'!M39</f>
        <v>0</v>
      </c>
      <c r="J58" s="70">
        <f t="shared" si="3"/>
        <v>50000000</v>
      </c>
      <c r="K58" s="357"/>
      <c r="L58" s="357"/>
      <c r="M58" s="129"/>
      <c r="N58" s="129"/>
      <c r="O58" s="130"/>
      <c r="P58" s="125"/>
      <c r="Q58" s="1">
        <v>0</v>
      </c>
      <c r="R58" s="1">
        <v>17.82</v>
      </c>
    </row>
    <row r="59" spans="1:20" s="1" customFormat="1" ht="73.5" customHeight="1">
      <c r="A59" s="850"/>
      <c r="B59" s="851"/>
      <c r="C59" s="415"/>
      <c r="D59" s="336" t="str">
        <f>+'Anexo 1 Matriz SINA Inf Gestión'!A40</f>
        <v>Porcentaje de ejecución de acciones en gestión ambiental urbana (IM 19)</v>
      </c>
      <c r="E59" s="311" t="str">
        <f>+'Anexo 1 Matriz SINA Inf Gestión'!B40</f>
        <v>%</v>
      </c>
      <c r="F59" s="304">
        <f>+'Anexo 1 Matriz SINA Inf Gestión'!C40</f>
        <v>100</v>
      </c>
      <c r="G59" s="304">
        <f>+'Anexo 1 Matriz SINA Inf Gestión'!E40</f>
        <v>10</v>
      </c>
      <c r="H59" s="341">
        <f>+'Anexo 1 Matriz SINA Inf Gestión'!L40</f>
        <v>500177624</v>
      </c>
      <c r="I59" s="341">
        <f>+'Anexo 1 Matriz SINA Inf Gestión'!M40</f>
        <v>149989597</v>
      </c>
      <c r="J59" s="70">
        <f t="shared" si="3"/>
        <v>350188027</v>
      </c>
      <c r="K59" s="357"/>
      <c r="L59" s="357"/>
      <c r="M59" s="129"/>
      <c r="N59" s="129"/>
      <c r="O59" s="130"/>
      <c r="P59" s="125"/>
      <c r="Q59" s="1">
        <v>25</v>
      </c>
      <c r="R59" s="1">
        <v>6.75</v>
      </c>
    </row>
    <row r="60" spans="1:20" s="1" customFormat="1" ht="33.75" customHeight="1">
      <c r="A60" s="850"/>
      <c r="B60" s="851"/>
      <c r="C60" s="415"/>
      <c r="D60" s="373" t="str">
        <f>+'Anexo 1 Matriz SINA Inf Gestión'!A41</f>
        <v>Apoyo a la Gestión, Operación, Administración y Promoción del Proyecto</v>
      </c>
      <c r="E60" s="311" t="str">
        <f>+'Anexo 1 Matriz SINA Inf Gestión'!B41</f>
        <v>Pacto*</v>
      </c>
      <c r="F60" s="304">
        <f>+'Anexo 1 Matriz SINA Inf Gestión'!C41</f>
        <v>1</v>
      </c>
      <c r="G60" s="304">
        <f>+'Anexo 1 Matriz SINA Inf Gestión'!E41</f>
        <v>0</v>
      </c>
      <c r="H60" s="341">
        <f>+'Anexo 1 Matriz SINA Inf Gestión'!L41</f>
        <v>35000000</v>
      </c>
      <c r="I60" s="341">
        <f>+'Anexo 1 Matriz SINA Inf Gestión'!M41</f>
        <v>16974037</v>
      </c>
      <c r="J60" s="70">
        <f t="shared" si="3"/>
        <v>18025963</v>
      </c>
      <c r="K60" s="357"/>
      <c r="L60" s="357"/>
      <c r="M60" s="129"/>
      <c r="N60" s="129"/>
      <c r="O60" s="130"/>
      <c r="P60" s="125"/>
    </row>
    <row r="61" spans="1:20" s="1" customFormat="1" ht="15">
      <c r="A61" s="850"/>
      <c r="B61" s="867"/>
      <c r="C61" s="374"/>
      <c r="D61" s="858" t="s">
        <v>319</v>
      </c>
      <c r="E61" s="859"/>
      <c r="F61" s="859"/>
      <c r="G61" s="859"/>
      <c r="H61" s="364">
        <f>SUM(H57:H60)</f>
        <v>785177624.39999998</v>
      </c>
      <c r="I61" s="305"/>
      <c r="J61" s="864">
        <f>+H61-I62</f>
        <v>449540986.39999998</v>
      </c>
      <c r="K61" s="134"/>
      <c r="L61" s="357"/>
      <c r="M61" s="129">
        <v>630821</v>
      </c>
      <c r="N61" s="129"/>
      <c r="O61" s="130"/>
      <c r="P61" s="125"/>
    </row>
    <row r="62" spans="1:20" s="1" customFormat="1" ht="15">
      <c r="A62" s="850"/>
      <c r="B62" s="867"/>
      <c r="C62" s="423"/>
      <c r="D62" s="859" t="s">
        <v>320</v>
      </c>
      <c r="E62" s="859"/>
      <c r="F62" s="859"/>
      <c r="G62" s="859"/>
      <c r="H62" s="859"/>
      <c r="I62" s="364">
        <f>SUM(I57:I61)</f>
        <v>335636638</v>
      </c>
      <c r="J62" s="864"/>
      <c r="K62" s="131"/>
      <c r="L62" s="357"/>
      <c r="M62" s="129">
        <v>4107244</v>
      </c>
      <c r="N62" s="129"/>
      <c r="O62" s="130"/>
      <c r="P62" s="125"/>
    </row>
    <row r="63" spans="1:20" s="1" customFormat="1" ht="15">
      <c r="A63" s="850"/>
      <c r="B63" s="868"/>
      <c r="C63" s="424"/>
      <c r="D63" s="860" t="s">
        <v>321</v>
      </c>
      <c r="E63" s="860"/>
      <c r="F63" s="860"/>
      <c r="G63" s="860"/>
      <c r="H63" s="860"/>
      <c r="I63" s="529">
        <f>+'Anexo 1 Matriz SINA Inf Gestión'!N37/100</f>
        <v>0.42746587214132536</v>
      </c>
      <c r="J63" s="864"/>
      <c r="K63" s="131"/>
      <c r="L63" s="357"/>
      <c r="M63" s="129"/>
      <c r="N63" s="129"/>
      <c r="O63" s="130"/>
      <c r="P63" s="125"/>
    </row>
    <row r="64" spans="1:20" s="1" customFormat="1" ht="15">
      <c r="A64" s="850"/>
      <c r="B64" s="868"/>
      <c r="C64" s="424"/>
      <c r="D64" s="861" t="s">
        <v>479</v>
      </c>
      <c r="E64" s="862"/>
      <c r="F64" s="862"/>
      <c r="G64" s="862"/>
      <c r="H64" s="863"/>
      <c r="I64" s="408">
        <f>+'Anexo 1 Matriz SINA Inf Gestión'!E37/100</f>
        <v>0.28749999999999998</v>
      </c>
      <c r="J64" s="864"/>
      <c r="K64" s="131"/>
      <c r="L64" s="357"/>
      <c r="M64" s="129"/>
      <c r="N64" s="129"/>
      <c r="O64" s="130"/>
      <c r="P64" s="125"/>
    </row>
    <row r="65" spans="1:18" s="1" customFormat="1" ht="23.25" customHeight="1">
      <c r="A65" s="850"/>
      <c r="B65" s="865" t="s">
        <v>306</v>
      </c>
      <c r="C65" s="419"/>
      <c r="D65" s="869" t="s">
        <v>488</v>
      </c>
      <c r="E65" s="866" t="s">
        <v>95</v>
      </c>
      <c r="F65" s="866" t="s">
        <v>308</v>
      </c>
      <c r="G65" s="866"/>
      <c r="H65" s="895" t="s">
        <v>309</v>
      </c>
      <c r="I65" s="895"/>
      <c r="J65" s="896"/>
      <c r="K65" s="357"/>
      <c r="L65" s="357"/>
      <c r="M65" s="135"/>
      <c r="N65" s="132"/>
      <c r="O65" s="136"/>
      <c r="P65" s="125"/>
    </row>
    <row r="66" spans="1:18" s="1" customFormat="1" ht="53.25" customHeight="1" thickBot="1">
      <c r="A66" s="850"/>
      <c r="B66" s="865"/>
      <c r="C66" s="427"/>
      <c r="D66" s="870"/>
      <c r="E66" s="866"/>
      <c r="F66" s="361" t="s">
        <v>310</v>
      </c>
      <c r="G66" s="464" t="s">
        <v>617</v>
      </c>
      <c r="H66" s="362" t="s">
        <v>312</v>
      </c>
      <c r="I66" s="420" t="s">
        <v>313</v>
      </c>
      <c r="J66" s="421" t="s">
        <v>314</v>
      </c>
      <c r="K66" s="357"/>
      <c r="L66" s="357"/>
      <c r="M66" s="135"/>
      <c r="N66" s="132"/>
      <c r="O66" s="136"/>
      <c r="P66" s="125"/>
    </row>
    <row r="67" spans="1:18" s="1" customFormat="1" ht="50.25" customHeight="1">
      <c r="A67" s="850"/>
      <c r="B67" s="910" t="str">
        <f>+'Anexo 1 Matriz SINA Inf Gestión'!A42</f>
        <v>Proyecto No. 3.2  Gestiòn en conocimiento y reducciòn del riesgo de desastres</v>
      </c>
      <c r="C67" s="417"/>
      <c r="D67" s="375" t="str">
        <f>+'Anexo 1 Matriz SINA Inf Gestión'!A43</f>
        <v>CONOCIMIENTO DEL RIESGO DE DESASTRES GESTIONADO</v>
      </c>
      <c r="E67" s="311" t="str">
        <f>+'Anexo 1 Matriz SINA Inf Gestión'!B43</f>
        <v>%</v>
      </c>
      <c r="F67" s="304">
        <f>+'Anexo 1 Matriz SINA Inf Gestión'!C43</f>
        <v>100</v>
      </c>
      <c r="G67" s="304">
        <f>+'Anexo 1 Matriz SINA Inf Gestión'!E43</f>
        <v>56.000000000000007</v>
      </c>
      <c r="H67" s="341">
        <f>+'Anexo 1 Matriz SINA Inf Gestión'!L43</f>
        <v>1498230496</v>
      </c>
      <c r="I67" s="341">
        <f>+'Anexo 1 Matriz SINA Inf Gestión'!M43</f>
        <v>253795259.59999999</v>
      </c>
      <c r="J67" s="70">
        <f>+H67-I67</f>
        <v>1244435236.4000001</v>
      </c>
      <c r="K67" s="357"/>
      <c r="L67" s="357"/>
      <c r="M67" s="135"/>
      <c r="N67" s="132"/>
      <c r="O67" s="136"/>
      <c r="P67" s="125"/>
      <c r="Q67" s="1">
        <v>0</v>
      </c>
    </row>
    <row r="68" spans="1:18" s="1" customFormat="1" ht="44.25" customHeight="1">
      <c r="A68" s="850"/>
      <c r="B68" s="910"/>
      <c r="C68" s="417"/>
      <c r="D68" s="375" t="str">
        <f>+'Anexo 1 Matriz SINA Inf Gestión'!A44</f>
        <v>REDUCCIÓN DEL RIESGO DE DESASTRES GESTIONADO</v>
      </c>
      <c r="E68" s="311" t="str">
        <f>+'Anexo 1 Matriz SINA Inf Gestión'!B44</f>
        <v>%</v>
      </c>
      <c r="F68" s="304">
        <f>+'Anexo 1 Matriz SINA Inf Gestión'!C44</f>
        <v>100</v>
      </c>
      <c r="G68" s="304">
        <f>+'Anexo 1 Matriz SINA Inf Gestión'!E44</f>
        <v>50</v>
      </c>
      <c r="H68" s="341">
        <f>+'Anexo 1 Matriz SINA Inf Gestión'!L44</f>
        <v>105825098</v>
      </c>
      <c r="I68" s="341">
        <f>+'Anexo 1 Matriz SINA Inf Gestión'!M44</f>
        <v>0</v>
      </c>
      <c r="J68" s="70">
        <f>+H68-I68</f>
        <v>105825098</v>
      </c>
      <c r="K68" s="357"/>
      <c r="L68" s="357"/>
      <c r="M68" s="135"/>
      <c r="N68" s="132"/>
      <c r="O68" s="136"/>
      <c r="P68" s="300"/>
      <c r="Q68" s="1">
        <v>50</v>
      </c>
      <c r="R68" s="1">
        <v>10</v>
      </c>
    </row>
    <row r="69" spans="1:18" s="1" customFormat="1" ht="15">
      <c r="A69" s="850"/>
      <c r="B69" s="867"/>
      <c r="C69" s="423"/>
      <c r="D69" s="858" t="s">
        <v>319</v>
      </c>
      <c r="E69" s="859"/>
      <c r="F69" s="859"/>
      <c r="G69" s="859"/>
      <c r="H69" s="364">
        <f>SUM(H67:H68)</f>
        <v>1604055594</v>
      </c>
      <c r="I69" s="462"/>
      <c r="J69" s="864">
        <f>+H69-I70</f>
        <v>1350260334.4000001</v>
      </c>
      <c r="K69" s="357"/>
      <c r="L69" s="357"/>
      <c r="M69" s="135"/>
      <c r="N69" s="132"/>
      <c r="O69" s="136"/>
      <c r="P69" s="125"/>
    </row>
    <row r="70" spans="1:18" s="1" customFormat="1" ht="15">
      <c r="A70" s="850"/>
      <c r="B70" s="867"/>
      <c r="C70" s="423"/>
      <c r="D70" s="859" t="s">
        <v>320</v>
      </c>
      <c r="E70" s="859"/>
      <c r="F70" s="859"/>
      <c r="G70" s="859"/>
      <c r="H70" s="859"/>
      <c r="I70" s="364">
        <f>SUM(I67:I69)</f>
        <v>253795259.59999999</v>
      </c>
      <c r="J70" s="864"/>
      <c r="K70" s="357"/>
      <c r="L70" s="357"/>
      <c r="M70" s="135"/>
      <c r="N70" s="132"/>
      <c r="O70" s="136"/>
      <c r="P70" s="125"/>
    </row>
    <row r="71" spans="1:18" s="1" customFormat="1" ht="15">
      <c r="A71" s="850"/>
      <c r="B71" s="867"/>
      <c r="C71" s="423"/>
      <c r="D71" s="860" t="s">
        <v>321</v>
      </c>
      <c r="E71" s="860"/>
      <c r="F71" s="860"/>
      <c r="G71" s="860"/>
      <c r="H71" s="860"/>
      <c r="I71" s="436">
        <f>+'Anexo 1 Matriz SINA Inf Gestión'!N42/100</f>
        <v>0.15822098719603356</v>
      </c>
      <c r="J71" s="864"/>
      <c r="K71" s="357"/>
      <c r="L71" s="357"/>
      <c r="M71" s="135"/>
      <c r="N71" s="132"/>
      <c r="O71" s="136"/>
      <c r="P71" s="125"/>
    </row>
    <row r="72" spans="1:18" s="1" customFormat="1" ht="15">
      <c r="A72" s="850"/>
      <c r="B72" s="867"/>
      <c r="C72" s="423"/>
      <c r="D72" s="861" t="s">
        <v>479</v>
      </c>
      <c r="E72" s="862"/>
      <c r="F72" s="862"/>
      <c r="G72" s="862"/>
      <c r="H72" s="863"/>
      <c r="I72" s="408">
        <f>+'Anexo 1 Matriz SINA Inf Gestión'!E42/100</f>
        <v>0.53</v>
      </c>
      <c r="J72" s="864"/>
      <c r="K72" s="357"/>
      <c r="L72" s="357"/>
      <c r="M72" s="135"/>
      <c r="N72" s="132"/>
      <c r="O72" s="136"/>
      <c r="P72" s="125"/>
    </row>
    <row r="73" spans="1:18" s="522" customFormat="1" ht="15">
      <c r="A73" s="850"/>
      <c r="B73" s="865" t="s">
        <v>306</v>
      </c>
      <c r="C73" s="753"/>
      <c r="D73" s="869" t="s">
        <v>488</v>
      </c>
      <c r="E73" s="866" t="s">
        <v>95</v>
      </c>
      <c r="F73" s="866" t="s">
        <v>308</v>
      </c>
      <c r="G73" s="866"/>
      <c r="H73" s="895" t="s">
        <v>309</v>
      </c>
      <c r="I73" s="895"/>
      <c r="J73" s="896"/>
      <c r="K73" s="761"/>
      <c r="L73" s="761"/>
      <c r="M73" s="762"/>
      <c r="N73" s="763"/>
      <c r="O73" s="763"/>
      <c r="P73" s="762"/>
    </row>
    <row r="74" spans="1:18" s="522" customFormat="1" ht="38.25" customHeight="1" thickBot="1">
      <c r="A74" s="850"/>
      <c r="B74" s="865"/>
      <c r="C74" s="756"/>
      <c r="D74" s="870"/>
      <c r="E74" s="866"/>
      <c r="F74" s="361" t="s">
        <v>310</v>
      </c>
      <c r="G74" s="464" t="s">
        <v>617</v>
      </c>
      <c r="H74" s="362" t="s">
        <v>312</v>
      </c>
      <c r="I74" s="754" t="s">
        <v>313</v>
      </c>
      <c r="J74" s="755" t="s">
        <v>314</v>
      </c>
      <c r="K74" s="761"/>
      <c r="L74" s="761"/>
      <c r="M74" s="762"/>
      <c r="N74" s="763"/>
      <c r="O74" s="763"/>
      <c r="P74" s="762"/>
    </row>
    <row r="75" spans="1:18" s="522" customFormat="1" ht="30">
      <c r="A75" s="850"/>
      <c r="B75" s="856" t="str">
        <f>+'Anexo 1 Matriz SINA Inf Gestión'!A45</f>
        <v>Proyecto No. 3.3 Gestiòn ambiental con comunidades ètnicas</v>
      </c>
      <c r="C75" s="764"/>
      <c r="D75" s="766" t="str">
        <f>+'Anexo 1 Matriz SINA Inf Gestión'!A46</f>
        <v>Comunidades Indígenas apoyadas en temas de competencia de la Corporación</v>
      </c>
      <c r="E75" s="311" t="str">
        <f>+'Anexo 1 Matriz SINA Inf Gestión'!B46</f>
        <v xml:space="preserve">Und </v>
      </c>
      <c r="F75" s="304">
        <f>+'Anexo 1 Matriz SINA Inf Gestión'!C46</f>
        <v>5</v>
      </c>
      <c r="G75" s="304">
        <v>1</v>
      </c>
      <c r="H75" s="341">
        <f>+'Anexo 1 Matriz SINA Inf Gestión'!L46</f>
        <v>200000000</v>
      </c>
      <c r="I75" s="341">
        <f>+'Anexo 1 Matriz SINA Inf Gestión'!M46</f>
        <v>0</v>
      </c>
      <c r="J75" s="70">
        <f>+H75-I75</f>
        <v>200000000</v>
      </c>
      <c r="K75" s="761"/>
      <c r="L75" s="761"/>
      <c r="M75" s="762"/>
      <c r="N75" s="763"/>
      <c r="O75" s="763"/>
      <c r="P75" s="762"/>
    </row>
    <row r="76" spans="1:18" s="522" customFormat="1" ht="15">
      <c r="A76" s="850"/>
      <c r="B76" s="857"/>
      <c r="C76" s="764"/>
      <c r="D76" s="858" t="s">
        <v>319</v>
      </c>
      <c r="E76" s="859"/>
      <c r="F76" s="859"/>
      <c r="G76" s="859"/>
      <c r="H76" s="364">
        <f>SUM(H74:H75)</f>
        <v>200000000</v>
      </c>
      <c r="I76" s="765"/>
      <c r="J76" s="864">
        <f>+H76-I77</f>
        <v>200000000</v>
      </c>
      <c r="K76" s="761"/>
      <c r="L76" s="761"/>
      <c r="M76" s="762"/>
      <c r="N76" s="763"/>
      <c r="O76" s="763"/>
      <c r="P76" s="762"/>
    </row>
    <row r="77" spans="1:18" s="522" customFormat="1" ht="15">
      <c r="A77" s="850"/>
      <c r="B77" s="857"/>
      <c r="C77" s="764"/>
      <c r="D77" s="859" t="s">
        <v>320</v>
      </c>
      <c r="E77" s="859"/>
      <c r="F77" s="859"/>
      <c r="G77" s="859"/>
      <c r="H77" s="859"/>
      <c r="I77" s="364">
        <f>SUM(I74:I76)</f>
        <v>0</v>
      </c>
      <c r="J77" s="864"/>
      <c r="K77" s="761"/>
      <c r="L77" s="761"/>
      <c r="M77" s="762"/>
      <c r="N77" s="763"/>
      <c r="O77" s="763"/>
      <c r="P77" s="762"/>
    </row>
    <row r="78" spans="1:18" s="522" customFormat="1" ht="15">
      <c r="A78" s="850"/>
      <c r="B78" s="857"/>
      <c r="C78" s="764"/>
      <c r="D78" s="860" t="s">
        <v>321</v>
      </c>
      <c r="E78" s="860"/>
      <c r="F78" s="860"/>
      <c r="G78" s="860"/>
      <c r="H78" s="860"/>
      <c r="I78" s="773">
        <v>0</v>
      </c>
      <c r="J78" s="864"/>
      <c r="K78" s="761"/>
      <c r="L78" s="761"/>
      <c r="M78" s="762"/>
      <c r="N78" s="763"/>
      <c r="O78" s="763"/>
      <c r="P78" s="762"/>
    </row>
    <row r="79" spans="1:18" s="522" customFormat="1" ht="15">
      <c r="A79" s="850"/>
      <c r="B79" s="857"/>
      <c r="C79" s="764"/>
      <c r="D79" s="861" t="s">
        <v>479</v>
      </c>
      <c r="E79" s="862"/>
      <c r="F79" s="862"/>
      <c r="G79" s="862"/>
      <c r="H79" s="863"/>
      <c r="I79" s="408">
        <f>+'Anexo 1 Matriz SINA Inf Gestión'!E45/100</f>
        <v>0.2</v>
      </c>
      <c r="J79" s="864"/>
      <c r="K79" s="761"/>
      <c r="L79" s="761"/>
      <c r="M79" s="762"/>
      <c r="N79" s="763"/>
      <c r="O79" s="763"/>
      <c r="P79" s="762"/>
    </row>
    <row r="80" spans="1:18" s="1" customFormat="1" ht="19.5" customHeight="1">
      <c r="A80" s="905" t="s">
        <v>305</v>
      </c>
      <c r="B80" s="865" t="s">
        <v>306</v>
      </c>
      <c r="C80" s="419"/>
      <c r="D80" s="869" t="s">
        <v>488</v>
      </c>
      <c r="E80" s="866" t="s">
        <v>95</v>
      </c>
      <c r="F80" s="866" t="s">
        <v>308</v>
      </c>
      <c r="G80" s="866"/>
      <c r="H80" s="895" t="s">
        <v>309</v>
      </c>
      <c r="I80" s="895"/>
      <c r="J80" s="896"/>
      <c r="K80" s="357"/>
      <c r="L80" s="357"/>
      <c r="M80" s="129"/>
      <c r="N80" s="129"/>
      <c r="O80" s="130"/>
      <c r="P80" s="125"/>
    </row>
    <row r="81" spans="1:16" s="1" customFormat="1" ht="38.25" customHeight="1" thickBot="1">
      <c r="A81" s="905"/>
      <c r="B81" s="865"/>
      <c r="C81" s="427"/>
      <c r="D81" s="870"/>
      <c r="E81" s="866"/>
      <c r="F81" s="361" t="s">
        <v>310</v>
      </c>
      <c r="G81" s="464" t="s">
        <v>617</v>
      </c>
      <c r="H81" s="377" t="s">
        <v>312</v>
      </c>
      <c r="I81" s="361" t="s">
        <v>313</v>
      </c>
      <c r="J81" s="378" t="s">
        <v>314</v>
      </c>
      <c r="K81" s="357"/>
      <c r="L81" s="357"/>
      <c r="M81" s="129"/>
      <c r="N81" s="129"/>
      <c r="O81" s="130"/>
      <c r="P81" s="125"/>
    </row>
    <row r="82" spans="1:16" s="1" customFormat="1" ht="68.25" customHeight="1">
      <c r="A82" s="887" t="str">
        <f>+'Anexo 1 Matriz SINA Inf Gestión'!A47</f>
        <v>PROGRAMA 4:  INSTITUCIÒN AMBIENTAL MODERNA Y GENERACIÒN DE CAPACIDADES</v>
      </c>
      <c r="B82" s="874" t="str">
        <f>+'Anexo 1 Matriz SINA Inf Gestión'!A48</f>
        <v>Proyecto No. 4.1  Autoridad,reglamentaciòn y regulaciòn ambiental</v>
      </c>
      <c r="C82" s="415"/>
      <c r="D82" s="336" t="str">
        <f>+'Anexo 1 Matriz SINA Inf Gestión'!A49</f>
        <v>Porcentaje de Programas de Uso Eficiente y Ahorro del Agua (PUEAA) con seguimiento (IM 5)</v>
      </c>
      <c r="E82" s="311" t="str">
        <f>+'Anexo 1 Matriz SINA Inf Gestión'!B49</f>
        <v>%</v>
      </c>
      <c r="F82" s="311">
        <f>+'Anexo 1 Matriz SINA Inf Gestión'!C49</f>
        <v>100</v>
      </c>
      <c r="G82" s="304">
        <f>+'Anexo 1 Matriz SINA Inf Gestión'!E49</f>
        <v>81</v>
      </c>
      <c r="H82" s="341">
        <f>+'Anexo 1 Matriz SINA Inf Gestión'!L49</f>
        <v>26400000</v>
      </c>
      <c r="I82" s="341">
        <f>+'Anexo 1 Matriz SINA Inf Gestión'!M49</f>
        <v>17288700</v>
      </c>
      <c r="J82" s="70">
        <f t="shared" ref="J82:J104" si="4">+H82-I82</f>
        <v>9111300</v>
      </c>
      <c r="K82" s="357"/>
      <c r="L82" s="357"/>
      <c r="M82" s="137">
        <v>951912</v>
      </c>
      <c r="N82" s="129">
        <v>69813</v>
      </c>
      <c r="O82" s="130">
        <v>412670</v>
      </c>
      <c r="P82" s="300"/>
    </row>
    <row r="83" spans="1:16" s="1" customFormat="1" ht="60.75" customHeight="1">
      <c r="A83" s="888"/>
      <c r="B83" s="875"/>
      <c r="C83" s="415"/>
      <c r="D83" s="336" t="str">
        <f>+'Anexo 1 Matriz SINA Inf Gestión'!A50</f>
        <v>Porcentaje de Planes de Gestión Integral de Residuos Sólidos (PGIRS) con seguimiento a metas de aprovechamiento (IM 17)</v>
      </c>
      <c r="E83" s="311" t="str">
        <f>+'Anexo 1 Matriz SINA Inf Gestión'!B50</f>
        <v>%</v>
      </c>
      <c r="F83" s="311">
        <f>+'Anexo 1 Matriz SINA Inf Gestión'!C50</f>
        <v>100</v>
      </c>
      <c r="G83" s="304">
        <f>+'Anexo 1 Matriz SINA Inf Gestión'!E50</f>
        <v>100</v>
      </c>
      <c r="H83" s="341">
        <f>+'Anexo 1 Matriz SINA Inf Gestión'!L50</f>
        <v>26400000</v>
      </c>
      <c r="I83" s="341">
        <f>+'Anexo 1 Matriz SINA Inf Gestión'!M50</f>
        <v>26400000</v>
      </c>
      <c r="J83" s="70">
        <f t="shared" si="4"/>
        <v>0</v>
      </c>
      <c r="K83" s="357"/>
      <c r="L83" s="357"/>
      <c r="M83" s="137"/>
      <c r="N83" s="129"/>
      <c r="O83" s="130"/>
      <c r="P83" s="125"/>
    </row>
    <row r="84" spans="1:16" s="1" customFormat="1" ht="48" customHeight="1">
      <c r="A84" s="888"/>
      <c r="B84" s="875"/>
      <c r="C84" s="415"/>
      <c r="D84" s="336" t="str">
        <f>+'Anexo 1 Matriz SINA Inf Gestión'!A51</f>
        <v>Porcentaje de Planes de Saneamiento y Manejo de Vertimientos –PSMV- con seguimiento (IM 3)</v>
      </c>
      <c r="E84" s="311" t="str">
        <f>+'Anexo 1 Matriz SINA Inf Gestión'!B51</f>
        <v>%</v>
      </c>
      <c r="F84" s="311">
        <f>+'Anexo 1 Matriz SINA Inf Gestión'!C51</f>
        <v>100</v>
      </c>
      <c r="G84" s="304">
        <f>+'Anexo 1 Matriz SINA Inf Gestión'!E51</f>
        <v>72</v>
      </c>
      <c r="H84" s="341">
        <f>+'Anexo 1 Matriz SINA Inf Gestión'!L51</f>
        <v>26400000</v>
      </c>
      <c r="I84" s="341">
        <f>+'Anexo 1 Matriz SINA Inf Gestión'!M51</f>
        <v>15632099.999999998</v>
      </c>
      <c r="J84" s="70">
        <f t="shared" si="4"/>
        <v>10767900.000000002</v>
      </c>
      <c r="K84" s="357"/>
      <c r="L84" s="357"/>
      <c r="M84" s="137"/>
      <c r="N84" s="129"/>
      <c r="O84" s="130"/>
      <c r="P84" s="125"/>
    </row>
    <row r="85" spans="1:16" s="1" customFormat="1" ht="48.75" customHeight="1">
      <c r="A85" s="888"/>
      <c r="B85" s="875"/>
      <c r="C85" s="415"/>
      <c r="D85" s="375" t="str">
        <f>+'Anexo 1 Matriz SINA Inf Gestión'!A52</f>
        <v xml:space="preserve">Porcentaje de asistencia técnica, seguimiento y control a generadores de residuos o desechos peligrosos – RESPEL y especiales </v>
      </c>
      <c r="E85" s="311" t="str">
        <f>+'Anexo 1 Matriz SINA Inf Gestión'!B52</f>
        <v>%</v>
      </c>
      <c r="F85" s="311">
        <f>+'Anexo 1 Matriz SINA Inf Gestión'!C52</f>
        <v>100</v>
      </c>
      <c r="G85" s="304">
        <f>+'Anexo 1 Matriz SINA Inf Gestión'!E52</f>
        <v>31</v>
      </c>
      <c r="H85" s="341">
        <f>+'Anexo 1 Matriz SINA Inf Gestión'!L52</f>
        <v>71278795.464000002</v>
      </c>
      <c r="I85" s="341">
        <f>+'Anexo 1 Matriz SINA Inf Gestión'!M52</f>
        <v>44192000</v>
      </c>
      <c r="J85" s="70">
        <f>+H85-I85</f>
        <v>27086795.464000002</v>
      </c>
      <c r="K85" s="357"/>
      <c r="L85" s="357"/>
      <c r="M85" s="137"/>
      <c r="N85" s="129"/>
      <c r="O85" s="130"/>
      <c r="P85" s="125"/>
    </row>
    <row r="86" spans="1:16" s="1" customFormat="1" ht="47.25" customHeight="1">
      <c r="A86" s="888"/>
      <c r="B86" s="875"/>
      <c r="C86" s="415"/>
      <c r="D86" s="336" t="str">
        <f>+'Anexo 1 Matriz SINA Inf Gestión'!A53</f>
        <v>Porcentaje de autorizaciones ambientales con seguimiento (IM 22)</v>
      </c>
      <c r="E86" s="311" t="str">
        <f>+'Anexo 1 Matriz SINA Inf Gestión'!B53</f>
        <v>%</v>
      </c>
      <c r="F86" s="311">
        <f>+'Anexo 1 Matriz SINA Inf Gestión'!C53</f>
        <v>70</v>
      </c>
      <c r="G86" s="304">
        <f>+'Anexo 1 Matriz SINA Inf Gestión'!E53</f>
        <v>6.8571428571428577</v>
      </c>
      <c r="H86" s="341">
        <f>+'Anexo 1 Matriz SINA Inf Gestión'!L53</f>
        <v>469581872.77999997</v>
      </c>
      <c r="I86" s="341">
        <f>+'Anexo 1 Matriz SINA Inf Gestión'!M53</f>
        <v>440900091.67633337</v>
      </c>
      <c r="J86" s="70">
        <f t="shared" si="4"/>
        <v>28681781.103666604</v>
      </c>
      <c r="K86" s="357"/>
      <c r="L86" s="357"/>
      <c r="M86" s="137"/>
      <c r="N86" s="129"/>
      <c r="O86" s="130"/>
      <c r="P86" s="125"/>
    </row>
    <row r="87" spans="1:16" s="1" customFormat="1" ht="56.25" customHeight="1">
      <c r="A87" s="888"/>
      <c r="B87" s="875"/>
      <c r="C87" s="415"/>
      <c r="D87" s="336" t="str">
        <f>+'Anexo 1 Matriz SINA Inf Gestión'!A54</f>
        <v>Tiempo promedio de trámite para la resolución de autorizaciones ambientales otorgadas por la Corporación. (IM 21)</v>
      </c>
      <c r="E87" s="311" t="str">
        <f>+'Anexo 1 Matriz SINA Inf Gestión'!B54</f>
        <v>Dias</v>
      </c>
      <c r="F87" s="311">
        <f>+'Anexo 1 Matriz SINA Inf Gestión'!C54</f>
        <v>60</v>
      </c>
      <c r="G87" s="304">
        <f>+'Anexo 1 Matriz SINA Inf Gestión'!E54</f>
        <v>100</v>
      </c>
      <c r="H87" s="341">
        <f>+'Anexo 1 Matriz SINA Inf Gestión'!L54</f>
        <v>0</v>
      </c>
      <c r="I87" s="341">
        <f>+'Anexo 1 Matriz SINA Inf Gestión'!M54</f>
        <v>0</v>
      </c>
      <c r="J87" s="70">
        <f>+H87-I87</f>
        <v>0</v>
      </c>
      <c r="K87" s="357"/>
      <c r="L87" s="357"/>
      <c r="M87" s="137"/>
      <c r="N87" s="129"/>
      <c r="O87" s="130"/>
      <c r="P87" s="300"/>
    </row>
    <row r="88" spans="1:16" s="1" customFormat="1" ht="57.75" customHeight="1">
      <c r="A88" s="888"/>
      <c r="B88" s="875"/>
      <c r="C88" s="415"/>
      <c r="D88" s="804" t="str">
        <f>+'Anexo 1 Matriz SINA Inf Gestión'!A55</f>
        <v>Porcentaje de solicitudes de licencias y permisos ambientales resueltos.</v>
      </c>
      <c r="E88" s="311" t="s">
        <v>1</v>
      </c>
      <c r="F88" s="311">
        <f>+'Anexo 1 Matriz SINA Inf Gestión'!C55</f>
        <v>70</v>
      </c>
      <c r="G88" s="304">
        <f>+'Anexo 1 Matriz SINA Inf Gestión'!E55</f>
        <v>64.285714285714292</v>
      </c>
      <c r="H88" s="341">
        <f>+'Anexo 1 Matriz SINA Inf Gestión'!L55</f>
        <v>72216869.335999995</v>
      </c>
      <c r="I88" s="341">
        <f>+'Anexo 1 Matriz SINA Inf Gestión'!M55</f>
        <v>27029970.399999999</v>
      </c>
      <c r="J88" s="70">
        <f t="shared" si="4"/>
        <v>45186898.935999997</v>
      </c>
      <c r="K88" s="357"/>
      <c r="L88" s="357"/>
      <c r="M88" s="137"/>
      <c r="N88" s="129"/>
      <c r="O88" s="130"/>
      <c r="P88" s="125"/>
    </row>
    <row r="89" spans="1:16" s="1" customFormat="1" ht="53.25" customHeight="1">
      <c r="A89" s="888"/>
      <c r="B89" s="875"/>
      <c r="C89" s="415"/>
      <c r="D89" s="336" t="str">
        <f>+'Anexo 1 Matriz SINA Inf Gestión'!A56</f>
        <v>Porcentaje de procesos sancionatorios resueltos (IM 23)</v>
      </c>
      <c r="E89" s="311" t="str">
        <f>+'Anexo 1 Matriz SINA Inf Gestión'!B56</f>
        <v>%</v>
      </c>
      <c r="F89" s="311">
        <f>+'Anexo 1 Matriz SINA Inf Gestión'!C56</f>
        <v>20</v>
      </c>
      <c r="G89" s="304">
        <f>+'Anexo 1 Matriz SINA Inf Gestión'!E56</f>
        <v>49.000000000000007</v>
      </c>
      <c r="H89" s="341">
        <f>+'Anexo 1 Matriz SINA Inf Gestión'!L56</f>
        <v>222367667.19999999</v>
      </c>
      <c r="I89" s="341">
        <f>+'Anexo 1 Matriz SINA Inf Gestión'!M56</f>
        <v>200234976.30000001</v>
      </c>
      <c r="J89" s="70">
        <f t="shared" si="4"/>
        <v>22132690.899999976</v>
      </c>
      <c r="K89" s="357"/>
      <c r="L89" s="357"/>
      <c r="M89" s="137">
        <v>561108</v>
      </c>
      <c r="N89" s="129">
        <v>210274</v>
      </c>
      <c r="O89" s="130"/>
      <c r="P89" s="125"/>
    </row>
    <row r="90" spans="1:16" s="1" customFormat="1" ht="55.5" customHeight="1">
      <c r="A90" s="888"/>
      <c r="B90" s="875"/>
      <c r="C90" s="415"/>
      <c r="D90" s="375" t="str">
        <f>+'Anexo 1 Matriz SINA Inf Gestión'!A57</f>
        <v>No. De Estrategias de control implementadas para extracción  ilegal de los recursos naturales. RED DE CONTROL AMBIENTAL RECAM</v>
      </c>
      <c r="E90" s="311" t="str">
        <f>+'Anexo 1 Matriz SINA Inf Gestión'!B57</f>
        <v>Und</v>
      </c>
      <c r="F90" s="311">
        <f>+'Anexo 1 Matriz SINA Inf Gestión'!C57</f>
        <v>1</v>
      </c>
      <c r="G90" s="304">
        <f>+'Anexo 1 Matriz SINA Inf Gestión'!E57</f>
        <v>50</v>
      </c>
      <c r="H90" s="341">
        <f>+'Anexo 1 Matriz SINA Inf Gestión'!L57</f>
        <v>910151839.34560001</v>
      </c>
      <c r="I90" s="341">
        <f>+'Anexo 1 Matriz SINA Inf Gestión'!M57</f>
        <v>613310511.95599997</v>
      </c>
      <c r="J90" s="70">
        <f t="shared" si="4"/>
        <v>296841327.38960004</v>
      </c>
      <c r="K90" s="357"/>
      <c r="L90" s="357"/>
      <c r="M90" s="137">
        <v>425686</v>
      </c>
      <c r="N90" s="129">
        <v>63158</v>
      </c>
      <c r="O90" s="130"/>
      <c r="P90" s="125"/>
    </row>
    <row r="91" spans="1:16" s="1" customFormat="1" ht="42.75">
      <c r="A91" s="888"/>
      <c r="B91" s="875"/>
      <c r="C91" s="415"/>
      <c r="D91" s="375" t="str">
        <f>+'Anexo 1 Matriz SINA Inf Gestión'!A58</f>
        <v>Estrategias de control a la deforestacion y conservacion y uso sostenible de los bosques en el departamento del Huila implementada</v>
      </c>
      <c r="E91" s="311" t="str">
        <f>+'Anexo 1 Matriz SINA Inf Gestión'!B58</f>
        <v>Und</v>
      </c>
      <c r="F91" s="311">
        <f>+'Anexo 1 Matriz SINA Inf Gestión'!C58</f>
        <v>1</v>
      </c>
      <c r="G91" s="304">
        <f>+'Anexo 1 Matriz SINA Inf Gestión'!E58</f>
        <v>50</v>
      </c>
      <c r="H91" s="341">
        <f>+'Anexo 1 Matriz SINA Inf Gestión'!L58</f>
        <v>27108000</v>
      </c>
      <c r="I91" s="341">
        <f>+'Anexo 1 Matriz SINA Inf Gestión'!M58</f>
        <v>27108000</v>
      </c>
      <c r="J91" s="70">
        <f t="shared" si="4"/>
        <v>0</v>
      </c>
      <c r="K91" s="357"/>
      <c r="L91" s="357"/>
      <c r="M91" s="137"/>
      <c r="N91" s="129"/>
      <c r="O91" s="130"/>
      <c r="P91" s="125"/>
    </row>
    <row r="92" spans="1:16" s="1" customFormat="1" ht="60" customHeight="1">
      <c r="A92" s="888"/>
      <c r="B92" s="875"/>
      <c r="C92" s="415"/>
      <c r="D92" s="375" t="str">
        <f>+'Anexo 1 Matriz SINA Inf Gestión'!A59</f>
        <v>Estrategia para la preservación, conservación, rehabilitación y/o reintroducción, control y seguimiento a la fauna silvestre formulada e implementada</v>
      </c>
      <c r="E92" s="311" t="str">
        <f>+'Anexo 1 Matriz SINA Inf Gestión'!B59</f>
        <v>Und</v>
      </c>
      <c r="F92" s="311">
        <f>+'Anexo 1 Matriz SINA Inf Gestión'!C59</f>
        <v>1</v>
      </c>
      <c r="G92" s="304">
        <f>+'Anexo 1 Matriz SINA Inf Gestión'!E59</f>
        <v>50</v>
      </c>
      <c r="H92" s="341">
        <f>+'Anexo 1 Matriz SINA Inf Gestión'!L59</f>
        <v>278951467</v>
      </c>
      <c r="I92" s="341">
        <f>+'Anexo 1 Matriz SINA Inf Gestión'!M59</f>
        <v>188302445</v>
      </c>
      <c r="J92" s="70">
        <f t="shared" si="4"/>
        <v>90649022</v>
      </c>
      <c r="K92" s="357"/>
      <c r="L92" s="357"/>
      <c r="M92" s="137"/>
      <c r="N92" s="129"/>
      <c r="O92" s="130"/>
      <c r="P92" s="125"/>
    </row>
    <row r="93" spans="1:16" s="1" customFormat="1" ht="54" customHeight="1">
      <c r="A93" s="888"/>
      <c r="B93" s="875"/>
      <c r="C93" s="415"/>
      <c r="D93" s="375" t="str">
        <f>+'Anexo 1 Matriz SINA Inf Gestión'!A60</f>
        <v>Fuentes móviles de emisiones atmosféricas (via publica y empresas transportadoras - Laboratorio de fuentes moviles) con seguimiento, monitoreo y control</v>
      </c>
      <c r="E93" s="311" t="str">
        <f>+'Anexo 1 Matriz SINA Inf Gestión'!B60</f>
        <v>Und</v>
      </c>
      <c r="F93" s="311">
        <f>+'Anexo 1 Matriz SINA Inf Gestión'!C60</f>
        <v>60</v>
      </c>
      <c r="G93" s="304">
        <f>+'Anexo 1 Matriz SINA Inf Gestión'!E60</f>
        <v>48.333333333333336</v>
      </c>
      <c r="H93" s="341">
        <f>+'Anexo 1 Matriz SINA Inf Gestión'!L60</f>
        <v>20538687</v>
      </c>
      <c r="I93" s="341">
        <f>+'Anexo 1 Matriz SINA Inf Gestión'!M60</f>
        <v>20538686.436000001</v>
      </c>
      <c r="J93" s="70">
        <f t="shared" si="4"/>
        <v>0.56399999931454659</v>
      </c>
      <c r="K93" s="357"/>
      <c r="L93" s="357"/>
      <c r="M93" s="137"/>
      <c r="N93" s="129"/>
      <c r="O93" s="130"/>
      <c r="P93" s="125"/>
    </row>
    <row r="94" spans="1:16" s="1" customFormat="1" ht="28.5" customHeight="1">
      <c r="A94" s="888"/>
      <c r="B94" s="875"/>
      <c r="C94" s="415"/>
      <c r="D94" s="375" t="str">
        <f>+'Anexo 1 Matriz SINA Inf Gestión'!A61</f>
        <v>Red de vigilancia y monitoreo de la calidad del aire implementada</v>
      </c>
      <c r="E94" s="311" t="str">
        <f>+'Anexo 1 Matriz SINA Inf Gestión'!B61</f>
        <v>Und</v>
      </c>
      <c r="F94" s="311">
        <f>+'Anexo 1 Matriz SINA Inf Gestión'!C61</f>
        <v>1</v>
      </c>
      <c r="G94" s="304">
        <f>+'Anexo 1 Matriz SINA Inf Gestión'!E61</f>
        <v>50</v>
      </c>
      <c r="H94" s="341">
        <f>+'Anexo 1 Matriz SINA Inf Gestión'!L61</f>
        <v>16522687</v>
      </c>
      <c r="I94" s="341">
        <f>+'Anexo 1 Matriz SINA Inf Gestión'!M61</f>
        <v>16522686.436000001</v>
      </c>
      <c r="J94" s="70">
        <f t="shared" si="4"/>
        <v>0.56399999931454659</v>
      </c>
      <c r="K94" s="357"/>
      <c r="L94" s="357"/>
      <c r="M94" s="137"/>
      <c r="N94" s="129"/>
      <c r="O94" s="130"/>
      <c r="P94" s="125"/>
    </row>
    <row r="95" spans="1:16" s="1" customFormat="1" ht="24.75" customHeight="1">
      <c r="A95" s="888"/>
      <c r="B95" s="875"/>
      <c r="C95" s="415"/>
      <c r="D95" s="375" t="str">
        <f>+'Anexo 1 Matriz SINA Inf Gestión'!A62</f>
        <v>Mapas de ruido y planes de descontaminación actualizados</v>
      </c>
      <c r="E95" s="311" t="str">
        <f>+'Anexo 1 Matriz SINA Inf Gestión'!B62</f>
        <v>Und</v>
      </c>
      <c r="F95" s="311" t="str">
        <f>+'Anexo 1 Matriz SINA Inf Gestión'!C62</f>
        <v>N/A</v>
      </c>
      <c r="G95" s="304" t="str">
        <f>+'Anexo 1 Matriz SINA Inf Gestión'!E62</f>
        <v>N/A</v>
      </c>
      <c r="H95" s="341">
        <f>+'Anexo 1 Matriz SINA Inf Gestión'!L62</f>
        <v>0</v>
      </c>
      <c r="I95" s="341">
        <f>+'Anexo 1 Matriz SINA Inf Gestión'!M62</f>
        <v>0</v>
      </c>
      <c r="J95" s="70">
        <f t="shared" si="4"/>
        <v>0</v>
      </c>
      <c r="K95" s="357"/>
      <c r="L95" s="357"/>
      <c r="M95" s="137"/>
      <c r="N95" s="129"/>
      <c r="O95" s="130"/>
      <c r="P95" s="125"/>
    </row>
    <row r="96" spans="1:16" s="1" customFormat="1" ht="28.5">
      <c r="A96" s="888"/>
      <c r="B96" s="875"/>
      <c r="C96" s="415"/>
      <c r="D96" s="375" t="str">
        <f>+'Anexo 1 Matriz SINA Inf Gestión'!A63</f>
        <v>Generadores y gestores de Residuos de Construcción y Demolición - RCD con seguimiento</v>
      </c>
      <c r="E96" s="311" t="str">
        <f>+'Anexo 1 Matriz SINA Inf Gestión'!B63</f>
        <v>%</v>
      </c>
      <c r="F96" s="311">
        <f>+'Anexo 1 Matriz SINA Inf Gestión'!C63</f>
        <v>100</v>
      </c>
      <c r="G96" s="304">
        <f>+'Anexo 1 Matriz SINA Inf Gestión'!E63</f>
        <v>0</v>
      </c>
      <c r="H96" s="341">
        <f>+'Anexo 1 Matriz SINA Inf Gestión'!L63</f>
        <v>70000000</v>
      </c>
      <c r="I96" s="341">
        <f>+'Anexo 1 Matriz SINA Inf Gestión'!M63</f>
        <v>53796010.833000004</v>
      </c>
      <c r="J96" s="70">
        <f t="shared" si="4"/>
        <v>16203989.166999996</v>
      </c>
      <c r="K96" s="357"/>
      <c r="L96" s="357"/>
      <c r="M96" s="137"/>
      <c r="N96" s="129"/>
      <c r="O96" s="130"/>
      <c r="P96" s="300"/>
    </row>
    <row r="97" spans="1:16" s="1" customFormat="1" ht="28.5">
      <c r="A97" s="888"/>
      <c r="B97" s="875"/>
      <c r="C97" s="751"/>
      <c r="D97" s="375" t="str">
        <f>+'Anexo 1 Matriz SINA Inf Gestión'!A64</f>
        <v>Empresas obligadas a conformar el Departamento de Gestión Ambiental con seguimiento</v>
      </c>
      <c r="E97" s="311" t="str">
        <f>+'Anexo 1 Matriz SINA Inf Gestión'!B64</f>
        <v>%</v>
      </c>
      <c r="F97" s="311">
        <f>+'Anexo 1 Matriz SINA Inf Gestión'!C64</f>
        <v>100</v>
      </c>
      <c r="G97" s="770">
        <f>+'Anexo 1 Matriz SINA Inf Gestión'!E64/100</f>
        <v>0.03</v>
      </c>
      <c r="H97" s="341">
        <f>+'Anexo 1 Matriz SINA Inf Gestión'!L64</f>
        <v>12000000</v>
      </c>
      <c r="I97" s="341">
        <f>+'Anexo 1 Matriz SINA Inf Gestión'!M64</f>
        <v>0</v>
      </c>
      <c r="J97" s="70">
        <f t="shared" si="4"/>
        <v>12000000</v>
      </c>
      <c r="K97" s="357"/>
      <c r="L97" s="357"/>
      <c r="M97" s="137"/>
      <c r="N97" s="129"/>
      <c r="O97" s="130"/>
      <c r="P97" s="300"/>
    </row>
    <row r="98" spans="1:16" s="1" customFormat="1" ht="42.75">
      <c r="A98" s="888"/>
      <c r="B98" s="875"/>
      <c r="C98" s="751"/>
      <c r="D98" s="375" t="str">
        <f>+'Anexo 1 Matriz SINA Inf Gestión'!A65</f>
        <v>Porcentaje de Optimización y seguimiento de los aplicativos en línea de trámites ambientales (CITA, RUIA, SUNL, LOFL, SILAMC - VITAL).</v>
      </c>
      <c r="E98" s="311" t="str">
        <f>+'Anexo 1 Matriz SINA Inf Gestión'!B65</f>
        <v>%</v>
      </c>
      <c r="F98" s="311">
        <f>+'Anexo 1 Matriz SINA Inf Gestión'!C65</f>
        <v>100</v>
      </c>
      <c r="G98" s="304">
        <f>+'Anexo 1 Matriz SINA Inf Gestión'!E65</f>
        <v>50</v>
      </c>
      <c r="H98" s="341">
        <f>+'Anexo 1 Matriz SINA Inf Gestión'!L65</f>
        <v>191281761</v>
      </c>
      <c r="I98" s="341">
        <f>+'Anexo 1 Matriz SINA Inf Gestión'!M65</f>
        <v>148060967</v>
      </c>
      <c r="J98" s="70">
        <f t="shared" si="4"/>
        <v>43220794</v>
      </c>
      <c r="K98" s="357"/>
      <c r="L98" s="357"/>
      <c r="M98" s="137"/>
      <c r="N98" s="129"/>
      <c r="O98" s="130"/>
      <c r="P98" s="300"/>
    </row>
    <row r="99" spans="1:16" s="1" customFormat="1" ht="28.5">
      <c r="A99" s="888"/>
      <c r="B99" s="875"/>
      <c r="C99" s="751"/>
      <c r="D99" s="375" t="str">
        <f>+'Anexo 1 Matriz SINA Inf Gestión'!A66</f>
        <v>Porcentaje de actualización y reporte de la información en el SIAC (IM 26)</v>
      </c>
      <c r="E99" s="311" t="str">
        <f>+'Anexo 1 Matriz SINA Inf Gestión'!B66</f>
        <v>%</v>
      </c>
      <c r="F99" s="325">
        <f>+'Anexo 1 Matriz SINA Inf Gestión'!C66</f>
        <v>9000</v>
      </c>
      <c r="G99" s="304">
        <f>+'Anexo 1 Matriz SINA Inf Gestión'!E66</f>
        <v>72.222222222222214</v>
      </c>
      <c r="H99" s="341">
        <f>+'Anexo 1 Matriz SINA Inf Gestión'!L66</f>
        <v>36477830</v>
      </c>
      <c r="I99" s="341">
        <f>+'Anexo 1 Matriz SINA Inf Gestión'!M66</f>
        <v>36477830</v>
      </c>
      <c r="J99" s="70">
        <f t="shared" si="4"/>
        <v>0</v>
      </c>
      <c r="K99" s="357"/>
      <c r="L99" s="357"/>
      <c r="M99" s="137"/>
      <c r="N99" s="129"/>
      <c r="O99" s="130"/>
      <c r="P99" s="300"/>
    </row>
    <row r="100" spans="1:16" s="1" customFormat="1" ht="28.5">
      <c r="A100" s="888"/>
      <c r="B100" s="875"/>
      <c r="C100" s="751"/>
      <c r="D100" s="375" t="str">
        <f>+'Anexo 1 Matriz SINA Inf Gestión'!A67</f>
        <v>Porcentaje de cuerpos de agua con reglamentación por uso de las aguas (IM 4)</v>
      </c>
      <c r="E100" s="311" t="str">
        <f>+'Anexo 1 Matriz SINA Inf Gestión'!B67</f>
        <v>%</v>
      </c>
      <c r="F100" s="311">
        <f>+'Anexo 1 Matriz SINA Inf Gestión'!C67</f>
        <v>20</v>
      </c>
      <c r="G100" s="304">
        <f>+'Anexo 1 Matriz SINA Inf Gestión'!E67</f>
        <v>0</v>
      </c>
      <c r="H100" s="341">
        <f>+'Anexo 1 Matriz SINA Inf Gestión'!L67</f>
        <v>199288633</v>
      </c>
      <c r="I100" s="341">
        <f>+'Anexo 1 Matriz SINA Inf Gestión'!M67</f>
        <v>0</v>
      </c>
      <c r="J100" s="70">
        <f t="shared" si="4"/>
        <v>199288633</v>
      </c>
      <c r="K100" s="357"/>
      <c r="L100" s="357"/>
      <c r="M100" s="137"/>
      <c r="N100" s="129"/>
      <c r="O100" s="130"/>
      <c r="P100" s="300"/>
    </row>
    <row r="101" spans="1:16" s="1" customFormat="1" ht="28.5">
      <c r="A101" s="888"/>
      <c r="B101" s="875"/>
      <c r="C101" s="751"/>
      <c r="D101" s="375" t="str">
        <f>+'Anexo 1 Matriz SINA Inf Gestión'!A68</f>
        <v>Porcentaje de cuerpos de agua con plan de ordenamiento del recurso hídrico (PORH) adoptados (IM 2)</v>
      </c>
      <c r="E101" s="311" t="str">
        <f>+'Anexo 1 Matriz SINA Inf Gestión'!B68</f>
        <v>%</v>
      </c>
      <c r="F101" s="311">
        <f>+'Anexo 1 Matriz SINA Inf Gestión'!C68</f>
        <v>20</v>
      </c>
      <c r="G101" s="304">
        <f>+'Anexo 1 Matriz SINA Inf Gestión'!E68</f>
        <v>0</v>
      </c>
      <c r="H101" s="341">
        <f>+'Anexo 1 Matriz SINA Inf Gestión'!L68</f>
        <v>324995200</v>
      </c>
      <c r="I101" s="341">
        <f>+'Anexo 1 Matriz SINA Inf Gestión'!M68</f>
        <v>0</v>
      </c>
      <c r="J101" s="70">
        <f t="shared" si="4"/>
        <v>324995200</v>
      </c>
      <c r="K101" s="357"/>
      <c r="L101" s="357"/>
      <c r="M101" s="137"/>
      <c r="N101" s="129"/>
      <c r="O101" s="130"/>
      <c r="P101" s="300"/>
    </row>
    <row r="102" spans="1:16" s="1" customFormat="1" ht="28.5">
      <c r="A102" s="888"/>
      <c r="B102" s="875"/>
      <c r="C102" s="751"/>
      <c r="D102" s="375" t="str">
        <f>+'Anexo 1 Matriz SINA Inf Gestión'!A69</f>
        <v>Implementación del Programa Institucional Regional de monitoreo del agua - PIRMA en aguas superficial y subterráneas</v>
      </c>
      <c r="E102" s="311" t="str">
        <f>+'Anexo 1 Matriz SINA Inf Gestión'!B69</f>
        <v>Und</v>
      </c>
      <c r="F102" s="311">
        <f>+'Anexo 1 Matriz SINA Inf Gestión'!C69</f>
        <v>1</v>
      </c>
      <c r="G102" s="770">
        <f>+'Anexo 1 Matriz SINA Inf Gestión'!E69/100</f>
        <v>0.2</v>
      </c>
      <c r="H102" s="341">
        <f>+'Anexo 1 Matriz SINA Inf Gestión'!L69</f>
        <v>1576566831</v>
      </c>
      <c r="I102" s="341">
        <f>+'Anexo 1 Matriz SINA Inf Gestión'!M69</f>
        <v>959159678.05866623</v>
      </c>
      <c r="J102" s="70">
        <f t="shared" si="4"/>
        <v>617407152.94133377</v>
      </c>
      <c r="K102" s="357"/>
      <c r="L102" s="357"/>
      <c r="M102" s="137"/>
      <c r="N102" s="129"/>
      <c r="O102" s="130"/>
      <c r="P102" s="300"/>
    </row>
    <row r="103" spans="1:16" s="1" customFormat="1" ht="28.5">
      <c r="A103" s="888"/>
      <c r="B103" s="875"/>
      <c r="C103" s="751"/>
      <c r="D103" s="375" t="str">
        <f>+'Anexo 1 Matriz SINA Inf Gestión'!A70</f>
        <v>Estudios Ambientales del recurso hídrico Evaluación Regional del Agua - ERA elaborados</v>
      </c>
      <c r="E103" s="311">
        <f>+'Anexo 1 Matriz SINA Inf Gestión'!B70</f>
        <v>0</v>
      </c>
      <c r="F103" s="311" t="str">
        <f>+'Anexo 1 Matriz SINA Inf Gestión'!C70</f>
        <v>N/A</v>
      </c>
      <c r="G103" s="304" t="str">
        <f>+'Anexo 1 Matriz SINA Inf Gestión'!E70</f>
        <v>N/A</v>
      </c>
      <c r="H103" s="341">
        <f>+'Anexo 1 Matriz SINA Inf Gestión'!L70</f>
        <v>0</v>
      </c>
      <c r="I103" s="341">
        <f>+'Anexo 1 Matriz SINA Inf Gestión'!M70</f>
        <v>0</v>
      </c>
      <c r="J103" s="70">
        <f t="shared" si="4"/>
        <v>0</v>
      </c>
      <c r="K103" s="357"/>
      <c r="L103" s="357"/>
      <c r="M103" s="137"/>
      <c r="N103" s="129"/>
      <c r="O103" s="130"/>
      <c r="P103" s="300"/>
    </row>
    <row r="104" spans="1:16" s="1" customFormat="1" ht="28.5">
      <c r="A104" s="888"/>
      <c r="B104" s="875"/>
      <c r="C104" s="751"/>
      <c r="D104" s="375" t="str">
        <f>+'Anexo 1 Matriz SINA Inf Gestión'!A71</f>
        <v>Gestión, Operación, Administración y Promoción del Proyecto apoyados</v>
      </c>
      <c r="E104" s="311" t="str">
        <f>+'Anexo 1 Matriz SINA Inf Gestión'!B71</f>
        <v>Global</v>
      </c>
      <c r="F104" s="311">
        <f>+'Anexo 1 Matriz SINA Inf Gestión'!C71</f>
        <v>1</v>
      </c>
      <c r="G104" s="304" t="str">
        <f>+'Anexo 1 Matriz SINA Inf Gestión'!E71</f>
        <v>N/A</v>
      </c>
      <c r="H104" s="341">
        <f>+'Anexo 1 Matriz SINA Inf Gestión'!L71</f>
        <v>31217546</v>
      </c>
      <c r="I104" s="341">
        <f>+'Anexo 1 Matriz SINA Inf Gestión'!M71</f>
        <v>21217546</v>
      </c>
      <c r="J104" s="70">
        <f t="shared" si="4"/>
        <v>10000000</v>
      </c>
      <c r="K104" s="357"/>
      <c r="L104" s="357"/>
      <c r="M104" s="137"/>
      <c r="N104" s="129"/>
      <c r="O104" s="130"/>
      <c r="P104" s="300"/>
    </row>
    <row r="105" spans="1:16" s="1" customFormat="1" ht="15">
      <c r="A105" s="888"/>
      <c r="B105" s="875"/>
      <c r="C105" s="417"/>
      <c r="D105" s="892" t="s">
        <v>319</v>
      </c>
      <c r="E105" s="893"/>
      <c r="F105" s="893"/>
      <c r="G105" s="894"/>
      <c r="H105" s="364">
        <f>SUM(H82:H104)</f>
        <v>4609745686.1255999</v>
      </c>
      <c r="J105" s="864">
        <f>+H105-I106</f>
        <v>1753573486.0296001</v>
      </c>
      <c r="K105" s="131">
        <v>29</v>
      </c>
      <c r="L105" s="357"/>
      <c r="M105" s="137"/>
      <c r="N105" s="129"/>
      <c r="O105" s="130"/>
      <c r="P105" s="125"/>
    </row>
    <row r="106" spans="1:16" s="1" customFormat="1" ht="18" customHeight="1">
      <c r="A106" s="888"/>
      <c r="B106" s="875"/>
      <c r="C106" s="417"/>
      <c r="D106" s="892" t="s">
        <v>320</v>
      </c>
      <c r="E106" s="893"/>
      <c r="F106" s="893"/>
      <c r="G106" s="893"/>
      <c r="H106" s="894"/>
      <c r="I106" s="364">
        <f>SUM(I82:I105)</f>
        <v>2856172200.0959997</v>
      </c>
      <c r="J106" s="864"/>
      <c r="K106" s="357"/>
      <c r="L106" s="357"/>
      <c r="M106" s="132">
        <v>1938706</v>
      </c>
      <c r="N106" s="132">
        <v>343245</v>
      </c>
      <c r="O106" s="136">
        <v>412670</v>
      </c>
      <c r="P106" s="125"/>
    </row>
    <row r="107" spans="1:16" s="1" customFormat="1" ht="18" customHeight="1">
      <c r="A107" s="888"/>
      <c r="B107" s="875"/>
      <c r="C107" s="286"/>
      <c r="D107" s="892" t="s">
        <v>321</v>
      </c>
      <c r="E107" s="893"/>
      <c r="F107" s="893"/>
      <c r="G107" s="893"/>
      <c r="H107" s="894"/>
      <c r="I107" s="340">
        <f>+'Anexo 1 Matriz SINA Inf Gestión'!N48/100</f>
        <v>0.61959431052617486</v>
      </c>
      <c r="J107" s="864"/>
      <c r="K107" s="357"/>
      <c r="L107" s="357"/>
      <c r="M107" s="132"/>
      <c r="N107" s="132"/>
      <c r="O107" s="136"/>
      <c r="P107" s="125"/>
    </row>
    <row r="108" spans="1:16" s="1" customFormat="1" ht="18" customHeight="1">
      <c r="A108" s="888"/>
      <c r="B108" s="875"/>
      <c r="C108" s="286"/>
      <c r="D108" s="892" t="s">
        <v>479</v>
      </c>
      <c r="E108" s="893"/>
      <c r="F108" s="893"/>
      <c r="G108" s="893"/>
      <c r="H108" s="894"/>
      <c r="I108" s="408">
        <f>+'Anexo 1 Matriz SINA Inf Gestión'!E48/100</f>
        <v>0.44884920634920633</v>
      </c>
      <c r="J108" s="864"/>
      <c r="K108" s="357"/>
      <c r="L108" s="357"/>
      <c r="M108" s="132"/>
      <c r="N108" s="132"/>
      <c r="O108" s="136"/>
      <c r="P108" s="125"/>
    </row>
    <row r="109" spans="1:16" s="1" customFormat="1" ht="19.5" customHeight="1">
      <c r="A109" s="888"/>
      <c r="B109" s="890" t="s">
        <v>306</v>
      </c>
      <c r="C109" s="427"/>
      <c r="D109" s="869" t="s">
        <v>488</v>
      </c>
      <c r="E109" s="866" t="s">
        <v>95</v>
      </c>
      <c r="F109" s="866" t="s">
        <v>308</v>
      </c>
      <c r="G109" s="866"/>
      <c r="H109" s="895" t="s">
        <v>309</v>
      </c>
      <c r="I109" s="895"/>
      <c r="J109" s="896"/>
      <c r="K109" s="357"/>
      <c r="L109" s="357"/>
      <c r="M109" s="129"/>
      <c r="N109" s="129"/>
      <c r="O109" s="130"/>
      <c r="P109" s="125"/>
    </row>
    <row r="110" spans="1:16" s="1" customFormat="1" ht="50.25" customHeight="1" thickBot="1">
      <c r="A110" s="888"/>
      <c r="B110" s="891"/>
      <c r="C110" s="428"/>
      <c r="D110" s="870"/>
      <c r="E110" s="866"/>
      <c r="F110" s="361" t="s">
        <v>310</v>
      </c>
      <c r="G110" s="464" t="s">
        <v>617</v>
      </c>
      <c r="H110" s="362" t="s">
        <v>312</v>
      </c>
      <c r="I110" s="420" t="s">
        <v>313</v>
      </c>
      <c r="J110" s="421" t="s">
        <v>314</v>
      </c>
      <c r="K110" s="357"/>
      <c r="L110" s="357"/>
      <c r="M110" s="129"/>
      <c r="N110" s="129"/>
      <c r="O110" s="130"/>
      <c r="P110" s="125"/>
    </row>
    <row r="111" spans="1:16" s="1" customFormat="1" ht="85.5" customHeight="1">
      <c r="A111" s="888"/>
      <c r="B111" s="874" t="str">
        <f>+'Anexo 1 Matriz SINA Inf Gestión'!A72</f>
        <v>Proyecto No. 4.2 Fortalecimiento institucional para la gestiòn ambiental</v>
      </c>
      <c r="C111" s="417"/>
      <c r="D111" s="767" t="str">
        <f>+'Anexo 1 Matriz SINA Inf Gestión'!A73</f>
        <v>Porcentaje de Consolidación y fortalecimiento del Modelo Integrado de Planeación y Gestión - MIPG</v>
      </c>
      <c r="E111" s="311" t="str">
        <f>+'Anexo 1 Matriz SINA Inf Gestión'!B73</f>
        <v>%</v>
      </c>
      <c r="F111" s="304">
        <f>+'Anexo 1 Matriz SINA Inf Gestión'!C73</f>
        <v>25</v>
      </c>
      <c r="G111" s="779">
        <f>+'Anexo 1 Matriz SINA Inf Gestión'!D73</f>
        <v>15</v>
      </c>
      <c r="H111" s="341">
        <f>+'Anexo 1 Matriz SINA Inf Gestión'!L73</f>
        <v>308297197</v>
      </c>
      <c r="I111" s="341">
        <f>+'Anexo 1 Matriz SINA Inf Gestión'!M73</f>
        <v>222088257.71200001</v>
      </c>
      <c r="J111" s="70">
        <f>+H111-I111</f>
        <v>86208939.287999988</v>
      </c>
      <c r="K111" s="357"/>
      <c r="L111" s="357"/>
      <c r="M111" s="129"/>
      <c r="N111" s="129"/>
      <c r="O111" s="130"/>
      <c r="P111" s="300"/>
    </row>
    <row r="112" spans="1:16" s="1" customFormat="1" ht="85.5" customHeight="1">
      <c r="A112" s="888"/>
      <c r="B112" s="875"/>
      <c r="C112" s="757"/>
      <c r="D112" s="767" t="str">
        <f>+'Anexo 1 Matriz SINA Inf Gestión'!A74</f>
        <v>Porcentaje de la Política de servicio al ciudadano implementada</v>
      </c>
      <c r="E112" s="311" t="str">
        <f>+'Anexo 1 Matriz SINA Inf Gestión'!B74</f>
        <v>%</v>
      </c>
      <c r="F112" s="778">
        <f>+'Anexo 1 Matriz SINA Inf Gestión'!C74</f>
        <v>5</v>
      </c>
      <c r="G112" s="780">
        <f>+'Anexo 1 Matriz SINA Inf Gestión'!D74</f>
        <v>1.5</v>
      </c>
      <c r="H112" s="341">
        <v>18465568</v>
      </c>
      <c r="I112" s="341">
        <f>+'Anexo 1 Matriz SINA Inf Gestión'!M74</f>
        <v>4689924.96</v>
      </c>
      <c r="J112" s="70">
        <f t="shared" ref="J112:J116" si="5">+H112-I112</f>
        <v>13775643.039999999</v>
      </c>
      <c r="K112" s="357"/>
      <c r="L112" s="357"/>
      <c r="M112" s="129"/>
      <c r="N112" s="129"/>
      <c r="O112" s="130"/>
      <c r="P112" s="300"/>
    </row>
    <row r="113" spans="1:16" s="1" customFormat="1" ht="85.5" customHeight="1">
      <c r="A113" s="888"/>
      <c r="B113" s="875"/>
      <c r="C113" s="757"/>
      <c r="D113" s="767" t="str">
        <f>+'Anexo 1 Matriz SINA Inf Gestión'!A75</f>
        <v>Porcentaje de actualización e implementación del Plan Estratégico Tecnológico de la CAM para el período 2020-2023</v>
      </c>
      <c r="E113" s="311" t="str">
        <f>+'Anexo 1 Matriz SINA Inf Gestión'!B75</f>
        <v>%</v>
      </c>
      <c r="F113" s="779">
        <v>25</v>
      </c>
      <c r="G113" s="780">
        <f>+'Anexo 1 Matriz SINA Inf Gestión'!D75</f>
        <v>12.5</v>
      </c>
      <c r="H113" s="341">
        <f>+'Anexo 1 Matriz SINA Inf Gestión'!L75</f>
        <v>465430798</v>
      </c>
      <c r="I113" s="341">
        <f>+'Anexo 1 Matriz SINA Inf Gestión'!M75</f>
        <v>205857360</v>
      </c>
      <c r="J113" s="70">
        <f t="shared" si="5"/>
        <v>259573438</v>
      </c>
      <c r="K113" s="357"/>
      <c r="L113" s="357"/>
      <c r="M113" s="129"/>
      <c r="N113" s="129"/>
      <c r="O113" s="130"/>
      <c r="P113" s="300"/>
    </row>
    <row r="114" spans="1:16" s="1" customFormat="1" ht="85.5" customHeight="1">
      <c r="A114" s="888"/>
      <c r="B114" s="875"/>
      <c r="C114" s="757"/>
      <c r="D114" s="767" t="str">
        <f>+'Anexo 1 Matriz SINA Inf Gestión'!A76</f>
        <v xml:space="preserve">Porcentaje de actualización e Implementacion del programa de gestión documental  </v>
      </c>
      <c r="E114" s="311" t="str">
        <f>+'Anexo 1 Matriz SINA Inf Gestión'!B76</f>
        <v>%</v>
      </c>
      <c r="F114" s="779">
        <f>+'Anexo 1 Matriz SINA Inf Gestión'!C76</f>
        <v>20</v>
      </c>
      <c r="G114" s="779">
        <f>+'Anexo 1 Matriz SINA Inf Gestión'!D76</f>
        <v>2</v>
      </c>
      <c r="H114" s="341">
        <f>+'Anexo 1 Matriz SINA Inf Gestión'!L76</f>
        <v>67000000</v>
      </c>
      <c r="I114" s="341">
        <f>+'Anexo 1 Matriz SINA Inf Gestión'!M76</f>
        <v>0</v>
      </c>
      <c r="J114" s="70">
        <f t="shared" si="5"/>
        <v>67000000</v>
      </c>
      <c r="K114" s="357"/>
      <c r="L114" s="357"/>
      <c r="M114" s="129"/>
      <c r="N114" s="129"/>
      <c r="O114" s="130"/>
      <c r="P114" s="300"/>
    </row>
    <row r="115" spans="1:16" s="1" customFormat="1" ht="81" customHeight="1">
      <c r="A115" s="888"/>
      <c r="B115" s="875"/>
      <c r="C115" s="417"/>
      <c r="D115" s="767" t="str">
        <f>+'Anexo 1 Matriz SINA Inf Gestión'!A77</f>
        <v>Porcentaje de sedes Diseñadas y/o construidas y/o adecuadas, como ejemplo de sostenibilidad ambiental y armonía con el ambiente</v>
      </c>
      <c r="E115" s="311" t="str">
        <f>+'Anexo 1 Matriz SINA Inf Gestión'!B77</f>
        <v>Global</v>
      </c>
      <c r="F115" s="304">
        <f>+'Anexo 1 Matriz SINA Inf Gestión'!C77</f>
        <v>1</v>
      </c>
      <c r="G115" s="770">
        <v>0.1</v>
      </c>
      <c r="H115" s="341">
        <f>+'Anexo 1 Matriz SINA Inf Gestión'!L77</f>
        <v>14016000</v>
      </c>
      <c r="I115" s="341">
        <f>+'Anexo 1 Matriz SINA Inf Gestión'!M77</f>
        <v>0</v>
      </c>
      <c r="J115" s="70">
        <f t="shared" si="5"/>
        <v>14016000</v>
      </c>
      <c r="K115" s="357"/>
      <c r="L115" s="357"/>
      <c r="M115" s="129"/>
      <c r="N115" s="129"/>
      <c r="O115" s="130"/>
      <c r="P115" s="125"/>
    </row>
    <row r="116" spans="1:16" s="1" customFormat="1" ht="106.5" customHeight="1">
      <c r="A116" s="888"/>
      <c r="B116" s="875"/>
      <c r="C116" s="501"/>
      <c r="D116" s="767" t="str">
        <f>+'Anexo 1 Matriz SINA Inf Gestión'!A78</f>
        <v>Apoyo a la Gestión, Operación, Administración y Promoción del Proyecto</v>
      </c>
      <c r="E116" s="311" t="str">
        <f>+'Anexo 1 Matriz SINA Inf Gestión'!B78</f>
        <v>Global</v>
      </c>
      <c r="F116" s="304">
        <f>+'Anexo 1 Matriz SINA Inf Gestión'!C78</f>
        <v>1</v>
      </c>
      <c r="G116" s="404">
        <v>0.5</v>
      </c>
      <c r="H116" s="341">
        <f>+'Anexo 1 Matriz SINA Inf Gestión'!L78</f>
        <v>4564290</v>
      </c>
      <c r="I116" s="341">
        <f>+'Anexo 1 Matriz SINA Inf Gestión'!M78</f>
        <v>2556290</v>
      </c>
      <c r="J116" s="70">
        <f t="shared" si="5"/>
        <v>2008000</v>
      </c>
      <c r="K116" s="357"/>
      <c r="L116" s="357"/>
      <c r="M116" s="519"/>
      <c r="N116" s="519"/>
      <c r="O116" s="519"/>
      <c r="P116" s="520"/>
    </row>
    <row r="117" spans="1:16" s="1" customFormat="1" ht="18" customHeight="1">
      <c r="A117" s="888"/>
      <c r="B117" s="875"/>
      <c r="C117" s="423"/>
      <c r="D117" s="892" t="s">
        <v>319</v>
      </c>
      <c r="E117" s="893"/>
      <c r="F117" s="893"/>
      <c r="G117" s="894"/>
      <c r="H117" s="364">
        <f>SUM(H111:H116)</f>
        <v>877773853</v>
      </c>
      <c r="J117" s="864">
        <f>+H117-I118</f>
        <v>442582020.32799995</v>
      </c>
      <c r="K117" s="357"/>
      <c r="L117" s="357"/>
      <c r="M117" s="129"/>
      <c r="N117" s="129"/>
      <c r="O117" s="130"/>
      <c r="P117" s="125"/>
    </row>
    <row r="118" spans="1:16" s="1" customFormat="1" ht="18" customHeight="1">
      <c r="A118" s="888"/>
      <c r="B118" s="875"/>
      <c r="C118" s="423"/>
      <c r="D118" s="892" t="s">
        <v>320</v>
      </c>
      <c r="E118" s="893"/>
      <c r="F118" s="893"/>
      <c r="G118" s="893"/>
      <c r="H118" s="894"/>
      <c r="I118" s="381">
        <f>SUM(I111:I117)</f>
        <v>435191832.67200005</v>
      </c>
      <c r="J118" s="864"/>
      <c r="K118" s="357"/>
      <c r="L118" s="357"/>
      <c r="M118" s="129"/>
      <c r="N118" s="129"/>
      <c r="O118" s="130"/>
      <c r="P118" s="125"/>
    </row>
    <row r="119" spans="1:16" s="1" customFormat="1" ht="18" customHeight="1">
      <c r="A119" s="888"/>
      <c r="B119" s="875"/>
      <c r="C119" s="423"/>
      <c r="D119" s="892" t="s">
        <v>321</v>
      </c>
      <c r="E119" s="893"/>
      <c r="F119" s="893"/>
      <c r="G119" s="893"/>
      <c r="H119" s="894"/>
      <c r="I119" s="536">
        <f>+'Anexo 1 Matriz SINA Inf Gestión'!N72/100</f>
        <v>0.49579038061412845</v>
      </c>
      <c r="J119" s="864"/>
      <c r="K119" s="357"/>
      <c r="L119" s="357"/>
      <c r="M119" s="129"/>
      <c r="N119" s="129"/>
      <c r="O119" s="130"/>
      <c r="P119" s="125"/>
    </row>
    <row r="120" spans="1:16" s="1" customFormat="1" ht="18" customHeight="1">
      <c r="A120" s="888"/>
      <c r="B120" s="875"/>
      <c r="C120" s="423"/>
      <c r="D120" s="892" t="s">
        <v>479</v>
      </c>
      <c r="E120" s="893"/>
      <c r="F120" s="893"/>
      <c r="G120" s="893"/>
      <c r="H120" s="894"/>
      <c r="I120" s="408">
        <f>+'Anexo 1 Matriz SINA Inf Gestión'!E72/100</f>
        <v>0.35</v>
      </c>
      <c r="J120" s="864"/>
      <c r="K120" s="357"/>
      <c r="L120" s="357"/>
      <c r="M120" s="129"/>
      <c r="N120" s="129"/>
      <c r="O120" s="130"/>
      <c r="P120" s="125"/>
    </row>
    <row r="121" spans="1:16" s="1" customFormat="1" ht="16.5" customHeight="1">
      <c r="A121" s="888"/>
      <c r="B121" s="865" t="s">
        <v>306</v>
      </c>
      <c r="C121" s="419"/>
      <c r="D121" s="869" t="s">
        <v>307</v>
      </c>
      <c r="E121" s="866" t="s">
        <v>95</v>
      </c>
      <c r="F121" s="866" t="s">
        <v>308</v>
      </c>
      <c r="G121" s="866"/>
      <c r="H121" s="895" t="s">
        <v>309</v>
      </c>
      <c r="I121" s="895"/>
      <c r="J121" s="896"/>
      <c r="K121" s="357"/>
      <c r="L121" s="357"/>
      <c r="M121" s="129"/>
      <c r="N121" s="129"/>
      <c r="O121" s="130"/>
      <c r="P121" s="125"/>
    </row>
    <row r="122" spans="1:16" s="1" customFormat="1" ht="42.75" customHeight="1" thickBot="1">
      <c r="A122" s="888"/>
      <c r="B122" s="865"/>
      <c r="C122" s="419"/>
      <c r="D122" s="870"/>
      <c r="E122" s="866"/>
      <c r="F122" s="361" t="s">
        <v>310</v>
      </c>
      <c r="G122" s="464" t="s">
        <v>617</v>
      </c>
      <c r="H122" s="362" t="s">
        <v>312</v>
      </c>
      <c r="I122" s="420" t="s">
        <v>313</v>
      </c>
      <c r="J122" s="421" t="s">
        <v>314</v>
      </c>
      <c r="K122" s="357"/>
      <c r="L122" s="357"/>
      <c r="M122" s="129"/>
      <c r="N122" s="129"/>
      <c r="O122" s="130"/>
      <c r="P122" s="125"/>
    </row>
    <row r="123" spans="1:16" s="1" customFormat="1" ht="40.5" customHeight="1">
      <c r="A123" s="888"/>
      <c r="B123" s="874" t="str">
        <f>+'Anexo 1 Matriz SINA Inf Gestión'!A79</f>
        <v xml:space="preserve">Proyecto No. 4.3 Educaciòn y cultura ambiental </v>
      </c>
      <c r="C123" s="286"/>
      <c r="D123" s="369" t="str">
        <f>+'Anexo 1 Matriz SINA Inf Gestión'!A80</f>
        <v>Ejecución de acciones en Educación Ambiental (IM 27)</v>
      </c>
      <c r="E123" s="311" t="str">
        <f>+'Anexo 1 Matriz SINA Inf Gestión'!B80</f>
        <v>%</v>
      </c>
      <c r="F123" s="304">
        <f>+'Anexo 1 Matriz SINA Inf Gestión'!C80</f>
        <v>100</v>
      </c>
      <c r="G123" s="304">
        <f>+'Anexo 1 Matriz SINA Inf Gestión'!E80</f>
        <v>50</v>
      </c>
      <c r="H123" s="341">
        <f>+'Anexo 1 Matriz SINA Inf Gestión'!L80</f>
        <v>688091492</v>
      </c>
      <c r="I123" s="341">
        <f>+'Anexo 1 Matriz SINA Inf Gestión'!M80</f>
        <v>221809560</v>
      </c>
      <c r="J123" s="70">
        <f>+H123-I123</f>
        <v>466281932</v>
      </c>
      <c r="K123" s="357"/>
      <c r="L123" s="357"/>
      <c r="M123" s="129"/>
      <c r="N123" s="129"/>
      <c r="O123" s="130"/>
      <c r="P123" s="125"/>
    </row>
    <row r="124" spans="1:16" s="1" customFormat="1" ht="38.25" customHeight="1">
      <c r="A124" s="888"/>
      <c r="B124" s="875"/>
      <c r="C124" s="417"/>
      <c r="D124" s="369" t="str">
        <f>+'Anexo 1 Matriz SINA Inf Gestión'!A81</f>
        <v>Apoyo a la Gestión, Operación, Administración y Promoción del Proyecto</v>
      </c>
      <c r="E124" s="311" t="str">
        <f>+'Anexo 1 Matriz SINA Inf Gestión'!B81</f>
        <v>Global</v>
      </c>
      <c r="F124" s="304">
        <f>+'Anexo 1 Matriz SINA Inf Gestión'!C81</f>
        <v>1</v>
      </c>
      <c r="G124" s="304">
        <v>1</v>
      </c>
      <c r="H124" s="341">
        <f>+'Anexo 1 Matriz SINA Inf Gestión'!L81</f>
        <v>25562900</v>
      </c>
      <c r="I124" s="341">
        <f>+'Anexo 1 Matriz SINA Inf Gestión'!M81</f>
        <v>25562900</v>
      </c>
      <c r="J124" s="70">
        <f>+H124-I124</f>
        <v>0</v>
      </c>
      <c r="K124" s="357"/>
      <c r="L124" s="357"/>
      <c r="M124" s="129"/>
      <c r="N124" s="129"/>
      <c r="O124" s="130"/>
      <c r="P124" s="125"/>
    </row>
    <row r="125" spans="1:16" s="1" customFormat="1" ht="15">
      <c r="A125" s="888"/>
      <c r="B125" s="875"/>
      <c r="C125" s="423"/>
      <c r="D125" s="861" t="s">
        <v>319</v>
      </c>
      <c r="E125" s="862"/>
      <c r="F125" s="862"/>
      <c r="G125" s="863"/>
      <c r="H125" s="381">
        <f>SUM(H123:H124)</f>
        <v>713654392</v>
      </c>
      <c r="I125" s="384"/>
      <c r="J125" s="864">
        <f>+H125-I126</f>
        <v>466281932</v>
      </c>
      <c r="K125" s="357"/>
      <c r="L125" s="357"/>
      <c r="M125" s="129"/>
      <c r="N125" s="129"/>
      <c r="O125" s="130"/>
      <c r="P125" s="125"/>
    </row>
    <row r="126" spans="1:16" s="1" customFormat="1" ht="18" customHeight="1">
      <c r="A126" s="888"/>
      <c r="B126" s="875"/>
      <c r="C126" s="423"/>
      <c r="D126" s="861" t="s">
        <v>320</v>
      </c>
      <c r="E126" s="862"/>
      <c r="F126" s="862"/>
      <c r="G126" s="862"/>
      <c r="H126" s="863"/>
      <c r="I126" s="364">
        <f>SUM(I123:I125)</f>
        <v>247372460</v>
      </c>
      <c r="J126" s="864"/>
      <c r="K126" s="357"/>
      <c r="L126" s="357"/>
      <c r="M126" s="129"/>
      <c r="N126" s="129"/>
      <c r="O126" s="130"/>
      <c r="P126" s="125"/>
    </row>
    <row r="127" spans="1:16" s="1" customFormat="1" ht="18" customHeight="1">
      <c r="A127" s="888"/>
      <c r="B127" s="875"/>
      <c r="C127" s="423"/>
      <c r="D127" s="892" t="s">
        <v>321</v>
      </c>
      <c r="E127" s="893"/>
      <c r="F127" s="893"/>
      <c r="G127" s="893"/>
      <c r="H127" s="894"/>
      <c r="I127" s="536">
        <f>+'Anexo 1 Matriz SINA Inf Gestión'!N79/100</f>
        <v>0.3466278114070655</v>
      </c>
      <c r="J127" s="864"/>
      <c r="K127" s="357"/>
      <c r="L127" s="357"/>
      <c r="M127" s="129"/>
      <c r="N127" s="129"/>
      <c r="O127" s="130"/>
      <c r="P127" s="125"/>
    </row>
    <row r="128" spans="1:16" s="1" customFormat="1" ht="18" customHeight="1" thickBot="1">
      <c r="A128" s="889"/>
      <c r="B128" s="875"/>
      <c r="C128" s="423"/>
      <c r="D128" s="861" t="s">
        <v>479</v>
      </c>
      <c r="E128" s="862"/>
      <c r="F128" s="862"/>
      <c r="G128" s="862"/>
      <c r="H128" s="863"/>
      <c r="I128" s="408">
        <f>+'Anexo 1 Matriz SINA Inf Gestión'!E79/100</f>
        <v>0.75</v>
      </c>
      <c r="J128" s="864"/>
      <c r="K128" s="357"/>
      <c r="L128" s="357"/>
      <c r="M128" s="129"/>
      <c r="N128" s="129"/>
      <c r="O128" s="130"/>
      <c r="P128" s="125"/>
    </row>
    <row r="129" spans="1:19" ht="18" customHeight="1" thickBot="1">
      <c r="A129" s="879" t="s">
        <v>501</v>
      </c>
      <c r="B129" s="880"/>
      <c r="C129" s="880"/>
      <c r="D129" s="880"/>
      <c r="E129" s="880"/>
      <c r="F129" s="880"/>
      <c r="G129" s="880"/>
      <c r="H129" s="881"/>
      <c r="I129" s="530">
        <f>+'Anexo 1 Matriz SINA Inf Gestión'!L82</f>
        <v>23359601712.5896</v>
      </c>
      <c r="J129" s="884">
        <f>+I129-I130</f>
        <v>18415154233.5896</v>
      </c>
      <c r="S129" s="600"/>
    </row>
    <row r="130" spans="1:19" ht="18" customHeight="1" thickBot="1">
      <c r="A130" s="882" t="s">
        <v>502</v>
      </c>
      <c r="B130" s="883"/>
      <c r="C130" s="883"/>
      <c r="D130" s="883"/>
      <c r="E130" s="883"/>
      <c r="F130" s="883"/>
      <c r="G130" s="883"/>
      <c r="H130" s="883"/>
      <c r="I130" s="538">
        <f>+'Anexo 1 Matriz SINA Inf Gestión'!M82</f>
        <v>4944447479</v>
      </c>
      <c r="J130" s="885"/>
    </row>
    <row r="131" spans="1:19" ht="18" customHeight="1" thickBot="1">
      <c r="A131" s="876" t="s">
        <v>503</v>
      </c>
      <c r="B131" s="877"/>
      <c r="C131" s="877"/>
      <c r="D131" s="877"/>
      <c r="E131" s="877"/>
      <c r="F131" s="877"/>
      <c r="G131" s="877"/>
      <c r="H131" s="878"/>
      <c r="I131" s="782">
        <f>+'Anexo 1 Matriz SINA Inf Gestión'!N82/100</f>
        <v>0.21166660030574075</v>
      </c>
      <c r="J131" s="885"/>
      <c r="S131" s="590"/>
    </row>
    <row r="132" spans="1:19" ht="18" customHeight="1" thickBot="1">
      <c r="A132" s="871" t="s">
        <v>480</v>
      </c>
      <c r="B132" s="872"/>
      <c r="C132" s="872"/>
      <c r="D132" s="872"/>
      <c r="E132" s="872"/>
      <c r="F132" s="872"/>
      <c r="G132" s="872"/>
      <c r="H132" s="873"/>
      <c r="I132" s="539">
        <f>+'Anexo 1 Matriz SINA Inf Gestión'!E82/100</f>
        <v>0.38032076719576724</v>
      </c>
      <c r="J132" s="886"/>
    </row>
    <row r="133" spans="1:19" s="1" customFormat="1">
      <c r="A133" s="522"/>
      <c r="B133" s="523"/>
      <c r="C133" s="523"/>
      <c r="D133" s="522"/>
      <c r="E133" s="522"/>
      <c r="F133" s="523"/>
      <c r="G133" s="524"/>
      <c r="H133" s="525"/>
      <c r="I133" s="525"/>
      <c r="J133" s="525"/>
      <c r="K133" s="357"/>
      <c r="L133" s="357"/>
      <c r="M133" s="519"/>
      <c r="N133" s="519"/>
      <c r="O133" s="519"/>
      <c r="P133" s="519"/>
    </row>
    <row r="134" spans="1:19" s="1" customFormat="1">
      <c r="A134" s="522"/>
      <c r="B134" s="523"/>
      <c r="C134" s="523"/>
      <c r="D134" s="522"/>
      <c r="E134" s="522"/>
      <c r="F134" s="523"/>
      <c r="G134" s="524"/>
      <c r="H134" s="525"/>
      <c r="I134" s="525"/>
      <c r="J134" s="525"/>
      <c r="K134" s="357"/>
      <c r="L134" s="357"/>
      <c r="M134" s="519"/>
      <c r="N134" s="519"/>
      <c r="O134" s="519"/>
      <c r="P134" s="519"/>
    </row>
    <row r="135" spans="1:19" s="1" customFormat="1" ht="25.5">
      <c r="A135" s="522"/>
      <c r="B135" s="523"/>
      <c r="C135" s="523"/>
      <c r="D135" s="522"/>
      <c r="E135" s="522"/>
      <c r="F135" s="523"/>
      <c r="G135" s="524"/>
      <c r="H135" s="525"/>
      <c r="I135" s="774"/>
      <c r="J135" s="525"/>
      <c r="K135" s="357"/>
      <c r="L135" s="357"/>
      <c r="M135" s="519"/>
      <c r="N135" s="519"/>
      <c r="O135" s="519"/>
      <c r="P135" s="519"/>
    </row>
    <row r="136" spans="1:19" s="1" customFormat="1">
      <c r="A136" s="522"/>
      <c r="B136" s="523"/>
      <c r="C136" s="523"/>
      <c r="D136" s="522"/>
      <c r="E136" s="522"/>
      <c r="F136" s="523"/>
      <c r="G136" s="524"/>
      <c r="H136" s="525"/>
      <c r="I136" s="351"/>
      <c r="J136" s="525"/>
      <c r="K136" s="357">
        <v>22411801755</v>
      </c>
      <c r="L136" s="357"/>
      <c r="M136" s="519"/>
      <c r="N136" s="519"/>
      <c r="O136" s="519"/>
      <c r="P136" s="519"/>
    </row>
    <row r="137" spans="1:19" s="1" customFormat="1">
      <c r="A137" s="522"/>
      <c r="B137" s="523"/>
      <c r="C137" s="523"/>
      <c r="D137" s="522"/>
      <c r="E137" s="522"/>
      <c r="F137" s="523"/>
      <c r="G137" s="524"/>
      <c r="H137" s="525"/>
      <c r="I137" s="588"/>
      <c r="J137" s="525"/>
      <c r="K137" s="357"/>
      <c r="L137" s="357"/>
      <c r="M137" s="519"/>
      <c r="N137" s="519"/>
      <c r="O137" s="519"/>
      <c r="P137" s="519"/>
    </row>
    <row r="138" spans="1:19" s="1" customFormat="1">
      <c r="A138" s="522"/>
      <c r="B138" s="523"/>
      <c r="C138" s="523"/>
      <c r="D138" s="522"/>
      <c r="E138" s="522"/>
      <c r="F138" s="523"/>
      <c r="G138" s="524"/>
      <c r="H138" s="525"/>
      <c r="I138" s="543"/>
      <c r="J138" s="525"/>
      <c r="K138" s="357"/>
      <c r="L138" s="357"/>
      <c r="M138" s="519"/>
      <c r="N138" s="519"/>
      <c r="O138" s="519"/>
      <c r="P138" s="519"/>
    </row>
    <row r="139" spans="1:19" s="1" customFormat="1">
      <c r="A139" s="522"/>
      <c r="B139" s="523"/>
      <c r="C139" s="523"/>
      <c r="D139" s="522"/>
      <c r="E139" s="522"/>
      <c r="F139" s="523"/>
      <c r="G139" s="524"/>
      <c r="H139" s="525"/>
      <c r="I139" s="588"/>
      <c r="J139" s="525"/>
      <c r="K139" s="357"/>
      <c r="L139" s="357"/>
      <c r="M139" s="519"/>
      <c r="N139" s="519"/>
      <c r="O139" s="519"/>
      <c r="P139" s="519"/>
    </row>
    <row r="140" spans="1:19" s="1" customFormat="1">
      <c r="A140" s="522"/>
      <c r="B140" s="523"/>
      <c r="C140" s="523"/>
      <c r="D140" s="522"/>
      <c r="E140" s="522"/>
      <c r="F140" s="523"/>
      <c r="G140" s="524"/>
      <c r="H140" s="525"/>
      <c r="I140" s="525"/>
      <c r="J140" s="525"/>
      <c r="K140" s="357"/>
      <c r="L140" s="357"/>
      <c r="M140" s="519"/>
      <c r="N140" s="519"/>
      <c r="O140" s="519"/>
      <c r="P140" s="519"/>
    </row>
    <row r="141" spans="1:19" s="1" customFormat="1">
      <c r="A141" s="522"/>
      <c r="B141" s="523"/>
      <c r="C141" s="523"/>
      <c r="D141" s="522"/>
      <c r="E141" s="522"/>
      <c r="F141" s="523"/>
      <c r="G141" s="524"/>
      <c r="H141" s="525"/>
      <c r="I141" s="525"/>
      <c r="J141" s="525"/>
      <c r="K141" s="357"/>
      <c r="L141" s="357"/>
      <c r="M141" s="519"/>
      <c r="N141" s="519"/>
      <c r="O141" s="519"/>
      <c r="P141" s="519"/>
    </row>
    <row r="142" spans="1:19" s="1" customFormat="1">
      <c r="A142" s="522"/>
      <c r="B142" s="523"/>
      <c r="C142" s="523"/>
      <c r="D142" s="522"/>
      <c r="E142" s="522"/>
      <c r="F142" s="523"/>
      <c r="G142" s="524"/>
      <c r="H142" s="525"/>
      <c r="I142" s="525"/>
      <c r="J142" s="525"/>
      <c r="K142" s="357"/>
      <c r="L142" s="357"/>
      <c r="M142" s="519"/>
      <c r="N142" s="519"/>
      <c r="O142" s="519"/>
      <c r="P142" s="519"/>
    </row>
    <row r="143" spans="1:19" s="1" customFormat="1">
      <c r="A143" s="522"/>
      <c r="B143" s="523"/>
      <c r="C143" s="523"/>
      <c r="D143" s="522"/>
      <c r="E143" s="522"/>
      <c r="F143" s="523"/>
      <c r="G143" s="524"/>
      <c r="H143" s="525"/>
      <c r="I143" s="525"/>
      <c r="J143" s="525"/>
      <c r="K143" s="357"/>
      <c r="L143" s="357"/>
      <c r="M143" s="519"/>
      <c r="N143" s="519"/>
      <c r="O143" s="519"/>
      <c r="P143" s="519"/>
    </row>
    <row r="144" spans="1:19" s="1" customFormat="1">
      <c r="A144" s="522"/>
      <c r="B144" s="523"/>
      <c r="C144" s="523"/>
      <c r="D144" s="522"/>
      <c r="E144" s="522"/>
      <c r="F144" s="523"/>
      <c r="G144" s="524"/>
      <c r="H144" s="525"/>
      <c r="I144" s="525"/>
      <c r="J144" s="525"/>
      <c r="K144" s="357"/>
      <c r="L144" s="357"/>
      <c r="M144" s="519"/>
      <c r="N144" s="519"/>
      <c r="O144" s="519"/>
      <c r="P144" s="519"/>
    </row>
    <row r="145" spans="1:16" s="1" customFormat="1">
      <c r="A145" s="522"/>
      <c r="B145" s="523"/>
      <c r="C145" s="523"/>
      <c r="D145" s="522"/>
      <c r="E145" s="522"/>
      <c r="F145" s="523"/>
      <c r="G145" s="524"/>
      <c r="H145" s="525"/>
      <c r="I145" s="525"/>
      <c r="J145" s="525"/>
      <c r="K145" s="357"/>
      <c r="L145" s="357"/>
      <c r="M145" s="519"/>
      <c r="N145" s="519"/>
      <c r="O145" s="519"/>
      <c r="P145" s="519"/>
    </row>
    <row r="146" spans="1:16" s="1" customFormat="1">
      <c r="A146" s="522"/>
      <c r="B146" s="523"/>
      <c r="C146" s="523"/>
      <c r="D146" s="522"/>
      <c r="E146" s="522"/>
      <c r="F146" s="523"/>
      <c r="G146" s="524"/>
      <c r="H146" s="525"/>
      <c r="I146" s="525"/>
      <c r="J146" s="525"/>
      <c r="K146" s="357"/>
      <c r="L146" s="357"/>
      <c r="M146" s="519"/>
      <c r="N146" s="519"/>
      <c r="O146" s="519"/>
      <c r="P146" s="519"/>
    </row>
    <row r="147" spans="1:16" s="1" customFormat="1">
      <c r="A147" s="522"/>
      <c r="B147" s="523"/>
      <c r="C147" s="523"/>
      <c r="D147" s="522"/>
      <c r="E147" s="522"/>
      <c r="F147" s="523"/>
      <c r="G147" s="524"/>
      <c r="H147" s="525"/>
      <c r="I147" s="525"/>
      <c r="J147" s="525"/>
      <c r="K147" s="357"/>
      <c r="L147" s="357"/>
      <c r="M147" s="519"/>
      <c r="N147" s="519"/>
      <c r="O147" s="519"/>
      <c r="P147" s="519"/>
    </row>
    <row r="148" spans="1:16" s="1" customFormat="1">
      <c r="A148" s="522"/>
      <c r="B148" s="523"/>
      <c r="C148" s="523"/>
      <c r="D148" s="522"/>
      <c r="E148" s="522"/>
      <c r="F148" s="523"/>
      <c r="G148" s="524"/>
      <c r="H148" s="525"/>
      <c r="I148" s="525"/>
      <c r="J148" s="525"/>
      <c r="K148" s="357"/>
      <c r="L148" s="357"/>
      <c r="M148" s="519"/>
      <c r="N148" s="519"/>
      <c r="O148" s="519"/>
      <c r="P148" s="519"/>
    </row>
    <row r="149" spans="1:16" s="1" customFormat="1">
      <c r="A149" s="522"/>
      <c r="B149" s="523"/>
      <c r="C149" s="523"/>
      <c r="D149" s="522"/>
      <c r="E149" s="522"/>
      <c r="F149" s="523"/>
      <c r="G149" s="524"/>
      <c r="H149" s="525"/>
      <c r="I149" s="525"/>
      <c r="J149" s="525"/>
      <c r="K149" s="357"/>
      <c r="L149" s="357"/>
      <c r="M149" s="519"/>
      <c r="N149" s="519"/>
      <c r="O149" s="519"/>
      <c r="P149" s="519"/>
    </row>
    <row r="150" spans="1:16" s="1" customFormat="1">
      <c r="A150" s="522"/>
      <c r="B150" s="523"/>
      <c r="C150" s="523"/>
      <c r="D150" s="522"/>
      <c r="E150" s="522"/>
      <c r="F150" s="523"/>
      <c r="G150" s="524"/>
      <c r="H150" s="525"/>
      <c r="I150" s="525"/>
      <c r="J150" s="525"/>
      <c r="K150" s="357"/>
      <c r="L150" s="357"/>
      <c r="M150" s="519"/>
      <c r="N150" s="519"/>
      <c r="O150" s="519"/>
      <c r="P150" s="519"/>
    </row>
    <row r="151" spans="1:16" s="1" customFormat="1">
      <c r="A151" s="522"/>
      <c r="B151" s="523"/>
      <c r="C151" s="523"/>
      <c r="D151" s="522"/>
      <c r="E151" s="522"/>
      <c r="F151" s="523"/>
      <c r="G151" s="524"/>
      <c r="H151" s="525"/>
      <c r="I151" s="525"/>
      <c r="J151" s="525"/>
      <c r="K151" s="357"/>
      <c r="L151" s="357"/>
      <c r="M151" s="519"/>
      <c r="N151" s="519"/>
      <c r="O151" s="519"/>
      <c r="P151" s="519"/>
    </row>
    <row r="152" spans="1:16" s="1" customFormat="1">
      <c r="A152" s="522"/>
      <c r="B152" s="523"/>
      <c r="C152" s="523"/>
      <c r="D152" s="522"/>
      <c r="E152" s="522"/>
      <c r="F152" s="523"/>
      <c r="G152" s="524"/>
      <c r="H152" s="525"/>
      <c r="I152" s="525"/>
      <c r="J152" s="525"/>
      <c r="K152" s="357"/>
      <c r="L152" s="357"/>
      <c r="M152" s="519"/>
      <c r="N152" s="519"/>
      <c r="O152" s="519"/>
      <c r="P152" s="519"/>
    </row>
    <row r="153" spans="1:16" s="1" customFormat="1">
      <c r="A153" s="522"/>
      <c r="B153" s="523"/>
      <c r="C153" s="523"/>
      <c r="D153" s="522"/>
      <c r="E153" s="522"/>
      <c r="F153" s="523"/>
      <c r="G153" s="524"/>
      <c r="H153" s="525"/>
      <c r="I153" s="525"/>
      <c r="J153" s="525"/>
      <c r="K153" s="357"/>
      <c r="L153" s="357"/>
      <c r="M153" s="519"/>
      <c r="N153" s="519"/>
      <c r="O153" s="519"/>
      <c r="P153" s="519"/>
    </row>
    <row r="154" spans="1:16" s="1" customFormat="1">
      <c r="A154" s="522"/>
      <c r="B154" s="523"/>
      <c r="C154" s="523"/>
      <c r="D154" s="522"/>
      <c r="E154" s="522"/>
      <c r="F154" s="523"/>
      <c r="G154" s="524"/>
      <c r="H154" s="525"/>
      <c r="I154" s="525"/>
      <c r="J154" s="525"/>
      <c r="K154" s="357"/>
      <c r="L154" s="357"/>
      <c r="M154" s="519"/>
      <c r="N154" s="519"/>
      <c r="O154" s="519"/>
      <c r="P154" s="519"/>
    </row>
    <row r="155" spans="1:16" s="1" customFormat="1">
      <c r="A155" s="522"/>
      <c r="B155" s="523"/>
      <c r="C155" s="523"/>
      <c r="D155" s="522"/>
      <c r="E155" s="522"/>
      <c r="F155" s="523"/>
      <c r="G155" s="524"/>
      <c r="H155" s="525"/>
      <c r="I155" s="525"/>
      <c r="J155" s="525"/>
      <c r="K155" s="357"/>
      <c r="L155" s="357"/>
      <c r="M155" s="519"/>
      <c r="N155" s="519"/>
      <c r="O155" s="519"/>
      <c r="P155" s="519"/>
    </row>
    <row r="156" spans="1:16" s="1" customFormat="1">
      <c r="A156" s="522"/>
      <c r="B156" s="523"/>
      <c r="C156" s="523"/>
      <c r="D156" s="522"/>
      <c r="E156" s="522"/>
      <c r="F156" s="523"/>
      <c r="G156" s="524"/>
      <c r="H156" s="525"/>
      <c r="I156" s="525"/>
      <c r="J156" s="525"/>
      <c r="K156" s="357"/>
      <c r="L156" s="357"/>
      <c r="M156" s="519"/>
      <c r="N156" s="519"/>
      <c r="O156" s="519"/>
      <c r="P156" s="519"/>
    </row>
    <row r="157" spans="1:16" s="1" customFormat="1">
      <c r="A157" s="522"/>
      <c r="B157" s="523"/>
      <c r="C157" s="523"/>
      <c r="D157" s="522"/>
      <c r="E157" s="522"/>
      <c r="F157" s="523"/>
      <c r="G157" s="524"/>
      <c r="H157" s="525"/>
      <c r="I157" s="525"/>
      <c r="J157" s="525"/>
      <c r="K157" s="357"/>
      <c r="L157" s="357"/>
      <c r="M157" s="519"/>
      <c r="N157" s="519"/>
      <c r="O157" s="519"/>
      <c r="P157" s="519"/>
    </row>
    <row r="158" spans="1:16" s="1" customFormat="1">
      <c r="A158" s="522"/>
      <c r="B158" s="523"/>
      <c r="C158" s="523"/>
      <c r="D158" s="522"/>
      <c r="E158" s="522"/>
      <c r="F158" s="523"/>
      <c r="G158" s="524"/>
      <c r="H158" s="525"/>
      <c r="I158" s="525"/>
      <c r="J158" s="525"/>
      <c r="K158" s="357"/>
      <c r="L158" s="357"/>
      <c r="M158" s="519"/>
      <c r="N158" s="519"/>
      <c r="O158" s="519"/>
      <c r="P158" s="519"/>
    </row>
    <row r="159" spans="1:16" s="1" customFormat="1">
      <c r="A159" s="522"/>
      <c r="B159" s="523"/>
      <c r="C159" s="523"/>
      <c r="D159" s="522"/>
      <c r="E159" s="522"/>
      <c r="F159" s="523"/>
      <c r="G159" s="524"/>
      <c r="H159" s="525"/>
      <c r="I159" s="525"/>
      <c r="J159" s="525"/>
      <c r="K159" s="357"/>
      <c r="L159" s="357"/>
      <c r="M159" s="519"/>
      <c r="N159" s="519"/>
      <c r="O159" s="519"/>
      <c r="P159" s="519"/>
    </row>
    <row r="160" spans="1:16" s="1" customFormat="1">
      <c r="A160" s="522"/>
      <c r="B160" s="523"/>
      <c r="C160" s="523"/>
      <c r="D160" s="522"/>
      <c r="E160" s="522"/>
      <c r="F160" s="523"/>
      <c r="G160" s="524"/>
      <c r="H160" s="525"/>
      <c r="I160" s="525"/>
      <c r="J160" s="525"/>
      <c r="K160" s="357"/>
      <c r="L160" s="357"/>
      <c r="M160" s="519"/>
      <c r="N160" s="519"/>
      <c r="O160" s="519"/>
      <c r="P160" s="519"/>
    </row>
    <row r="161" spans="1:16" s="1" customFormat="1">
      <c r="A161" s="522"/>
      <c r="B161" s="523"/>
      <c r="C161" s="523"/>
      <c r="D161" s="522"/>
      <c r="E161" s="522"/>
      <c r="F161" s="523"/>
      <c r="G161" s="524"/>
      <c r="H161" s="525"/>
      <c r="I161" s="525"/>
      <c r="J161" s="525"/>
      <c r="K161" s="357"/>
      <c r="L161" s="357"/>
      <c r="M161" s="519"/>
      <c r="N161" s="519"/>
      <c r="O161" s="519"/>
      <c r="P161" s="519"/>
    </row>
    <row r="162" spans="1:16" s="1" customFormat="1">
      <c r="A162" s="522"/>
      <c r="B162" s="523"/>
      <c r="C162" s="523"/>
      <c r="D162" s="522"/>
      <c r="E162" s="522"/>
      <c r="F162" s="523"/>
      <c r="G162" s="524"/>
      <c r="H162" s="525"/>
      <c r="I162" s="525"/>
      <c r="J162" s="525"/>
      <c r="K162" s="357"/>
      <c r="L162" s="357"/>
      <c r="M162" s="519"/>
      <c r="N162" s="519"/>
      <c r="O162" s="519"/>
      <c r="P162" s="519"/>
    </row>
    <row r="163" spans="1:16" s="1" customFormat="1">
      <c r="B163" s="353"/>
      <c r="C163" s="353"/>
      <c r="F163" s="353"/>
      <c r="G163" s="521"/>
      <c r="H163" s="143"/>
      <c r="I163" s="143"/>
      <c r="J163" s="143"/>
      <c r="K163" s="357"/>
      <c r="L163" s="357"/>
      <c r="M163" s="519"/>
      <c r="N163" s="519"/>
      <c r="O163" s="519"/>
      <c r="P163" s="519"/>
    </row>
    <row r="164" spans="1:16" s="1" customFormat="1">
      <c r="B164" s="353"/>
      <c r="C164" s="353"/>
      <c r="F164" s="353"/>
      <c r="G164" s="521"/>
      <c r="H164" s="143"/>
      <c r="I164" s="143"/>
      <c r="J164" s="143"/>
      <c r="K164" s="357"/>
      <c r="L164" s="357"/>
      <c r="M164" s="519"/>
      <c r="N164" s="519"/>
      <c r="O164" s="519"/>
      <c r="P164" s="519"/>
    </row>
    <row r="165" spans="1:16" s="1" customFormat="1">
      <c r="B165" s="353"/>
      <c r="C165" s="353"/>
      <c r="F165" s="353"/>
      <c r="G165" s="521"/>
      <c r="H165" s="143"/>
      <c r="I165" s="143"/>
      <c r="J165" s="143"/>
      <c r="K165" s="357"/>
      <c r="L165" s="357"/>
      <c r="M165" s="519"/>
      <c r="N165" s="519"/>
      <c r="O165" s="519"/>
      <c r="P165" s="519"/>
    </row>
    <row r="166" spans="1:16" s="1" customFormat="1">
      <c r="B166" s="353"/>
      <c r="C166" s="353"/>
      <c r="F166" s="353"/>
      <c r="G166" s="521"/>
      <c r="H166" s="143"/>
      <c r="I166" s="143"/>
      <c r="J166" s="143"/>
      <c r="K166" s="357"/>
      <c r="L166" s="357"/>
      <c r="M166" s="519"/>
      <c r="N166" s="519"/>
      <c r="O166" s="519"/>
      <c r="P166" s="519"/>
    </row>
    <row r="167" spans="1:16" s="1" customFormat="1">
      <c r="B167" s="353"/>
      <c r="C167" s="353"/>
      <c r="F167" s="353"/>
      <c r="G167" s="521"/>
      <c r="H167" s="143"/>
      <c r="I167" s="143"/>
      <c r="J167" s="143"/>
      <c r="K167" s="357"/>
      <c r="L167" s="357"/>
      <c r="M167" s="519"/>
      <c r="N167" s="519"/>
      <c r="O167" s="519"/>
      <c r="P167" s="519"/>
    </row>
    <row r="168" spans="1:16" s="1" customFormat="1">
      <c r="B168" s="353"/>
      <c r="C168" s="353"/>
      <c r="F168" s="353"/>
      <c r="G168" s="521"/>
      <c r="H168" s="143"/>
      <c r="I168" s="143"/>
      <c r="J168" s="143"/>
      <c r="K168" s="357"/>
      <c r="L168" s="357"/>
      <c r="M168" s="519"/>
      <c r="N168" s="519"/>
      <c r="O168" s="519"/>
      <c r="P168" s="519"/>
    </row>
    <row r="169" spans="1:16" s="1" customFormat="1">
      <c r="B169" s="353"/>
      <c r="C169" s="353"/>
      <c r="F169" s="353"/>
      <c r="G169" s="521"/>
      <c r="H169" s="143"/>
      <c r="I169" s="143"/>
      <c r="J169" s="143"/>
      <c r="K169" s="357"/>
      <c r="L169" s="357"/>
      <c r="M169" s="519"/>
      <c r="N169" s="519"/>
      <c r="O169" s="519"/>
      <c r="P169" s="519"/>
    </row>
    <row r="170" spans="1:16" s="1" customFormat="1">
      <c r="B170" s="353"/>
      <c r="C170" s="353"/>
      <c r="F170" s="353"/>
      <c r="G170" s="521"/>
      <c r="H170" s="143"/>
      <c r="I170" s="143"/>
      <c r="J170" s="143"/>
      <c r="K170" s="357"/>
      <c r="L170" s="357"/>
      <c r="M170" s="519"/>
      <c r="N170" s="519"/>
      <c r="O170" s="519"/>
      <c r="P170" s="519"/>
    </row>
    <row r="171" spans="1:16" s="1" customFormat="1">
      <c r="B171" s="353"/>
      <c r="C171" s="353"/>
      <c r="F171" s="353"/>
      <c r="G171" s="521"/>
      <c r="H171" s="143"/>
      <c r="I171" s="143"/>
      <c r="J171" s="143"/>
      <c r="K171" s="357"/>
      <c r="L171" s="357"/>
      <c r="M171" s="519"/>
      <c r="N171" s="519"/>
      <c r="O171" s="519"/>
      <c r="P171" s="519"/>
    </row>
    <row r="172" spans="1:16" s="1" customFormat="1">
      <c r="B172" s="353"/>
      <c r="C172" s="353"/>
      <c r="F172" s="353"/>
      <c r="G172" s="521"/>
      <c r="H172" s="143"/>
      <c r="I172" s="143"/>
      <c r="J172" s="143"/>
      <c r="K172" s="357"/>
      <c r="L172" s="357"/>
      <c r="M172" s="519"/>
      <c r="N172" s="519"/>
      <c r="O172" s="519"/>
      <c r="P172" s="519"/>
    </row>
    <row r="173" spans="1:16" s="1" customFormat="1">
      <c r="B173" s="353"/>
      <c r="C173" s="353"/>
      <c r="F173" s="353"/>
      <c r="G173" s="521"/>
      <c r="H173" s="143"/>
      <c r="I173" s="143"/>
      <c r="J173" s="143"/>
      <c r="K173" s="357"/>
      <c r="L173" s="357"/>
      <c r="M173" s="519"/>
      <c r="N173" s="519"/>
      <c r="O173" s="519"/>
      <c r="P173" s="519"/>
    </row>
    <row r="174" spans="1:16" s="1" customFormat="1">
      <c r="B174" s="353"/>
      <c r="C174" s="353"/>
      <c r="F174" s="353"/>
      <c r="G174" s="521"/>
      <c r="H174" s="143"/>
      <c r="I174" s="143"/>
      <c r="J174" s="143"/>
      <c r="K174" s="357"/>
      <c r="L174" s="357"/>
      <c r="M174" s="519"/>
      <c r="N174" s="519"/>
      <c r="O174" s="519"/>
      <c r="P174" s="519"/>
    </row>
    <row r="175" spans="1:16" s="1" customFormat="1">
      <c r="B175" s="353"/>
      <c r="C175" s="353"/>
      <c r="F175" s="353"/>
      <c r="G175" s="521"/>
      <c r="H175" s="143"/>
      <c r="I175" s="143"/>
      <c r="J175" s="143"/>
      <c r="K175" s="357"/>
      <c r="L175" s="357"/>
      <c r="M175" s="519"/>
      <c r="N175" s="519"/>
      <c r="O175" s="519"/>
      <c r="P175" s="519"/>
    </row>
    <row r="176" spans="1:16" s="1" customFormat="1">
      <c r="B176" s="353"/>
      <c r="C176" s="353"/>
      <c r="F176" s="353"/>
      <c r="G176" s="521"/>
      <c r="H176" s="143"/>
      <c r="I176" s="143"/>
      <c r="J176" s="143"/>
      <c r="K176" s="357"/>
      <c r="L176" s="357"/>
      <c r="M176" s="519"/>
      <c r="N176" s="519"/>
      <c r="O176" s="519"/>
      <c r="P176" s="519"/>
    </row>
    <row r="177" spans="2:16" s="1" customFormat="1">
      <c r="B177" s="353"/>
      <c r="C177" s="353"/>
      <c r="F177" s="353"/>
      <c r="G177" s="521"/>
      <c r="H177" s="143"/>
      <c r="I177" s="143"/>
      <c r="J177" s="143"/>
      <c r="K177" s="357"/>
      <c r="L177" s="357"/>
      <c r="M177" s="519"/>
      <c r="N177" s="519"/>
      <c r="O177" s="519"/>
      <c r="P177" s="519"/>
    </row>
    <row r="178" spans="2:16" s="1" customFormat="1">
      <c r="B178" s="353"/>
      <c r="C178" s="353"/>
      <c r="F178" s="353"/>
      <c r="G178" s="521"/>
      <c r="H178" s="143"/>
      <c r="I178" s="143"/>
      <c r="J178" s="143"/>
      <c r="K178" s="357"/>
      <c r="L178" s="357"/>
      <c r="M178" s="519"/>
      <c r="N178" s="519"/>
      <c r="O178" s="519"/>
      <c r="P178" s="519"/>
    </row>
    <row r="179" spans="2:16" s="1" customFormat="1">
      <c r="B179" s="353"/>
      <c r="C179" s="353"/>
      <c r="F179" s="353"/>
      <c r="G179" s="521"/>
      <c r="H179" s="143"/>
      <c r="I179" s="143"/>
      <c r="J179" s="143"/>
      <c r="K179" s="357"/>
      <c r="L179" s="357"/>
      <c r="M179" s="519"/>
      <c r="N179" s="519"/>
      <c r="O179" s="519"/>
      <c r="P179" s="519"/>
    </row>
    <row r="180" spans="2:16" s="1" customFormat="1">
      <c r="B180" s="353"/>
      <c r="C180" s="353"/>
      <c r="F180" s="353"/>
      <c r="G180" s="521"/>
      <c r="H180" s="143"/>
      <c r="I180" s="143"/>
      <c r="J180" s="143"/>
      <c r="K180" s="357"/>
      <c r="L180" s="357"/>
      <c r="M180" s="519"/>
      <c r="N180" s="519"/>
      <c r="O180" s="519"/>
      <c r="P180" s="519"/>
    </row>
    <row r="181" spans="2:16" s="1" customFormat="1">
      <c r="B181" s="353"/>
      <c r="C181" s="353"/>
      <c r="F181" s="353"/>
      <c r="G181" s="521"/>
      <c r="H181" s="143"/>
      <c r="I181" s="143"/>
      <c r="J181" s="143"/>
      <c r="K181" s="357"/>
      <c r="L181" s="357"/>
      <c r="M181" s="519"/>
      <c r="N181" s="519"/>
      <c r="O181" s="519"/>
      <c r="P181" s="519"/>
    </row>
    <row r="182" spans="2:16" s="1" customFormat="1">
      <c r="B182" s="353"/>
      <c r="C182" s="353"/>
      <c r="F182" s="353"/>
      <c r="G182" s="521"/>
      <c r="H182" s="143"/>
      <c r="I182" s="143"/>
      <c r="J182" s="143"/>
      <c r="K182" s="357"/>
      <c r="L182" s="357"/>
      <c r="M182" s="519"/>
      <c r="N182" s="519"/>
      <c r="O182" s="519"/>
      <c r="P182" s="519"/>
    </row>
    <row r="183" spans="2:16" s="1" customFormat="1">
      <c r="B183" s="353"/>
      <c r="C183" s="353"/>
      <c r="F183" s="353"/>
      <c r="G183" s="521"/>
      <c r="H183" s="143"/>
      <c r="I183" s="143"/>
      <c r="J183" s="143"/>
      <c r="K183" s="357"/>
      <c r="L183" s="357"/>
      <c r="M183" s="519"/>
      <c r="N183" s="519"/>
      <c r="O183" s="519"/>
      <c r="P183" s="519"/>
    </row>
    <row r="184" spans="2:16" s="1" customFormat="1">
      <c r="B184" s="353"/>
      <c r="C184" s="353"/>
      <c r="F184" s="353"/>
      <c r="G184" s="521"/>
      <c r="H184" s="143"/>
      <c r="I184" s="143"/>
      <c r="J184" s="143"/>
      <c r="K184" s="357"/>
      <c r="L184" s="357"/>
      <c r="M184" s="519"/>
      <c r="N184" s="519"/>
      <c r="O184" s="519"/>
      <c r="P184" s="519"/>
    </row>
    <row r="185" spans="2:16" s="1" customFormat="1">
      <c r="B185" s="353"/>
      <c r="C185" s="353"/>
      <c r="F185" s="353"/>
      <c r="G185" s="521"/>
      <c r="H185" s="143"/>
      <c r="I185" s="143"/>
      <c r="J185" s="143"/>
      <c r="K185" s="357"/>
      <c r="L185" s="357"/>
      <c r="M185" s="519"/>
      <c r="N185" s="519"/>
      <c r="O185" s="519"/>
      <c r="P185" s="519"/>
    </row>
    <row r="186" spans="2:16" s="1" customFormat="1">
      <c r="B186" s="353"/>
      <c r="C186" s="353"/>
      <c r="F186" s="353"/>
      <c r="G186" s="521"/>
      <c r="H186" s="143"/>
      <c r="I186" s="143"/>
      <c r="J186" s="143"/>
      <c r="K186" s="357"/>
      <c r="L186" s="357"/>
      <c r="M186" s="519"/>
      <c r="N186" s="519"/>
      <c r="O186" s="519"/>
      <c r="P186" s="519"/>
    </row>
    <row r="187" spans="2:16" s="1" customFormat="1">
      <c r="B187" s="353"/>
      <c r="C187" s="353"/>
      <c r="F187" s="353"/>
      <c r="G187" s="521"/>
      <c r="H187" s="143"/>
      <c r="I187" s="143"/>
      <c r="J187" s="143"/>
      <c r="K187" s="357"/>
      <c r="L187" s="357"/>
      <c r="M187" s="519"/>
      <c r="N187" s="519"/>
      <c r="O187" s="519"/>
      <c r="P187" s="519"/>
    </row>
    <row r="188" spans="2:16" s="1" customFormat="1">
      <c r="B188" s="353"/>
      <c r="C188" s="353"/>
      <c r="F188" s="353"/>
      <c r="G188" s="521"/>
      <c r="H188" s="143"/>
      <c r="I188" s="143"/>
      <c r="J188" s="143"/>
      <c r="K188" s="357"/>
      <c r="L188" s="357"/>
      <c r="M188" s="519"/>
      <c r="N188" s="519"/>
      <c r="O188" s="519"/>
      <c r="P188" s="519"/>
    </row>
    <row r="189" spans="2:16" s="1" customFormat="1">
      <c r="B189" s="353"/>
      <c r="C189" s="353"/>
      <c r="F189" s="353"/>
      <c r="G189" s="521"/>
      <c r="H189" s="143"/>
      <c r="I189" s="143"/>
      <c r="J189" s="143"/>
      <c r="K189" s="357"/>
      <c r="L189" s="357"/>
      <c r="M189" s="519"/>
      <c r="N189" s="519"/>
      <c r="O189" s="519"/>
      <c r="P189" s="519"/>
    </row>
    <row r="190" spans="2:16" s="1" customFormat="1">
      <c r="B190" s="353"/>
      <c r="C190" s="353"/>
      <c r="F190" s="353"/>
      <c r="G190" s="521"/>
      <c r="H190" s="143"/>
      <c r="I190" s="143"/>
      <c r="J190" s="143"/>
      <c r="K190" s="357"/>
      <c r="L190" s="357"/>
      <c r="M190" s="519"/>
      <c r="N190" s="519"/>
      <c r="O190" s="519"/>
      <c r="P190" s="519"/>
    </row>
    <row r="191" spans="2:16" s="1" customFormat="1">
      <c r="B191" s="353"/>
      <c r="C191" s="353"/>
      <c r="F191" s="353"/>
      <c r="G191" s="521"/>
      <c r="H191" s="143"/>
      <c r="I191" s="143"/>
      <c r="J191" s="143"/>
      <c r="K191" s="357"/>
      <c r="L191" s="357"/>
      <c r="M191" s="519"/>
      <c r="N191" s="519"/>
      <c r="O191" s="519"/>
      <c r="P191" s="519"/>
    </row>
    <row r="192" spans="2:16" s="1" customFormat="1">
      <c r="B192" s="353"/>
      <c r="C192" s="353"/>
      <c r="F192" s="353"/>
      <c r="G192" s="521"/>
      <c r="H192" s="143"/>
      <c r="I192" s="143"/>
      <c r="J192" s="143"/>
      <c r="K192" s="357"/>
      <c r="L192" s="357"/>
      <c r="M192" s="519"/>
      <c r="N192" s="519"/>
      <c r="O192" s="519"/>
      <c r="P192" s="519"/>
    </row>
    <row r="193" spans="2:16" s="1" customFormat="1">
      <c r="B193" s="353"/>
      <c r="C193" s="353"/>
      <c r="F193" s="353"/>
      <c r="G193" s="521"/>
      <c r="H193" s="143"/>
      <c r="I193" s="143"/>
      <c r="J193" s="143"/>
      <c r="K193" s="357"/>
      <c r="L193" s="357"/>
      <c r="M193" s="519"/>
      <c r="N193" s="519"/>
      <c r="O193" s="519"/>
      <c r="P193" s="519"/>
    </row>
    <row r="194" spans="2:16" s="1" customFormat="1">
      <c r="B194" s="353"/>
      <c r="C194" s="353"/>
      <c r="F194" s="353"/>
      <c r="G194" s="521"/>
      <c r="H194" s="143"/>
      <c r="I194" s="143"/>
      <c r="J194" s="143"/>
      <c r="K194" s="357"/>
      <c r="L194" s="357"/>
      <c r="M194" s="519"/>
      <c r="N194" s="519"/>
      <c r="O194" s="519"/>
      <c r="P194" s="519"/>
    </row>
    <row r="195" spans="2:16" s="1" customFormat="1">
      <c r="B195" s="353"/>
      <c r="C195" s="353"/>
      <c r="F195" s="353"/>
      <c r="G195" s="521"/>
      <c r="H195" s="143"/>
      <c r="I195" s="143"/>
      <c r="J195" s="143"/>
      <c r="K195" s="357"/>
      <c r="L195" s="357"/>
      <c r="M195" s="519"/>
      <c r="N195" s="519"/>
      <c r="O195" s="519"/>
      <c r="P195" s="519"/>
    </row>
    <row r="196" spans="2:16" s="1" customFormat="1">
      <c r="B196" s="353"/>
      <c r="C196" s="353"/>
      <c r="F196" s="353"/>
      <c r="G196" s="521"/>
      <c r="H196" s="143"/>
      <c r="I196" s="143"/>
      <c r="J196" s="143"/>
      <c r="K196" s="357"/>
      <c r="L196" s="357"/>
      <c r="M196" s="519"/>
      <c r="N196" s="519"/>
      <c r="O196" s="519"/>
      <c r="P196" s="519"/>
    </row>
    <row r="197" spans="2:16" s="1" customFormat="1">
      <c r="B197" s="353"/>
      <c r="C197" s="353"/>
      <c r="F197" s="353"/>
      <c r="G197" s="521"/>
      <c r="H197" s="143"/>
      <c r="I197" s="143"/>
      <c r="J197" s="143"/>
      <c r="K197" s="357"/>
      <c r="L197" s="357"/>
      <c r="M197" s="519"/>
      <c r="N197" s="519"/>
      <c r="O197" s="519"/>
      <c r="P197" s="519"/>
    </row>
  </sheetData>
  <mergeCells count="129">
    <mergeCell ref="B40:B46"/>
    <mergeCell ref="D44:H44"/>
    <mergeCell ref="D45:H45"/>
    <mergeCell ref="A40:A54"/>
    <mergeCell ref="J43:J46"/>
    <mergeCell ref="D125:G125"/>
    <mergeCell ref="D126:H126"/>
    <mergeCell ref="D120:H120"/>
    <mergeCell ref="B111:B120"/>
    <mergeCell ref="A80:A81"/>
    <mergeCell ref="B80:B81"/>
    <mergeCell ref="D80:D81"/>
    <mergeCell ref="D108:H108"/>
    <mergeCell ref="F47:G47"/>
    <mergeCell ref="D46:H46"/>
    <mergeCell ref="A55:A56"/>
    <mergeCell ref="H55:J55"/>
    <mergeCell ref="H47:J47"/>
    <mergeCell ref="B49:B54"/>
    <mergeCell ref="D51:G51"/>
    <mergeCell ref="J51:J54"/>
    <mergeCell ref="B67:B72"/>
    <mergeCell ref="D69:G69"/>
    <mergeCell ref="J69:J72"/>
    <mergeCell ref="A1:I3"/>
    <mergeCell ref="B4:J4"/>
    <mergeCell ref="A5:B5"/>
    <mergeCell ref="D5:E5"/>
    <mergeCell ref="H5:J5"/>
    <mergeCell ref="B55:B56"/>
    <mergeCell ref="D55:D56"/>
    <mergeCell ref="E55:E56"/>
    <mergeCell ref="F55:G55"/>
    <mergeCell ref="F23:G23"/>
    <mergeCell ref="D54:H54"/>
    <mergeCell ref="D43:G43"/>
    <mergeCell ref="H23:J23"/>
    <mergeCell ref="B25:B37"/>
    <mergeCell ref="D34:G34"/>
    <mergeCell ref="J34:J37"/>
    <mergeCell ref="D7:D8"/>
    <mergeCell ref="A9:A37"/>
    <mergeCell ref="B9:B21"/>
    <mergeCell ref="D22:H22"/>
    <mergeCell ref="D23:D24"/>
    <mergeCell ref="E23:E24"/>
    <mergeCell ref="B6:J6"/>
    <mergeCell ref="E7:E8"/>
    <mergeCell ref="F7:G7"/>
    <mergeCell ref="H7:J7"/>
    <mergeCell ref="A7:A8"/>
    <mergeCell ref="B7:B8"/>
    <mergeCell ref="D35:H35"/>
    <mergeCell ref="D37:H37"/>
    <mergeCell ref="A38:A39"/>
    <mergeCell ref="B38:B39"/>
    <mergeCell ref="D38:D39"/>
    <mergeCell ref="E38:E39"/>
    <mergeCell ref="F38:G38"/>
    <mergeCell ref="D19:G19"/>
    <mergeCell ref="J19:J21"/>
    <mergeCell ref="D20:H20"/>
    <mergeCell ref="D21:H21"/>
    <mergeCell ref="B23:B24"/>
    <mergeCell ref="D36:H36"/>
    <mergeCell ref="H38:J38"/>
    <mergeCell ref="D52:H52"/>
    <mergeCell ref="D53:H53"/>
    <mergeCell ref="F65:G65"/>
    <mergeCell ref="H65:J65"/>
    <mergeCell ref="D64:H64"/>
    <mergeCell ref="D63:H63"/>
    <mergeCell ref="B47:B48"/>
    <mergeCell ref="D47:D48"/>
    <mergeCell ref="E47:E48"/>
    <mergeCell ref="J105:J108"/>
    <mergeCell ref="F109:G109"/>
    <mergeCell ref="E109:E110"/>
    <mergeCell ref="D106:H106"/>
    <mergeCell ref="D107:H107"/>
    <mergeCell ref="E80:E81"/>
    <mergeCell ref="F80:G80"/>
    <mergeCell ref="B73:B74"/>
    <mergeCell ref="D73:D74"/>
    <mergeCell ref="E73:E74"/>
    <mergeCell ref="F73:G73"/>
    <mergeCell ref="H80:J80"/>
    <mergeCell ref="H73:J73"/>
    <mergeCell ref="A132:H132"/>
    <mergeCell ref="B121:B122"/>
    <mergeCell ref="B123:B128"/>
    <mergeCell ref="A131:H131"/>
    <mergeCell ref="A129:H129"/>
    <mergeCell ref="A130:H130"/>
    <mergeCell ref="D128:H128"/>
    <mergeCell ref="J129:J132"/>
    <mergeCell ref="A82:A128"/>
    <mergeCell ref="J125:J128"/>
    <mergeCell ref="B109:B110"/>
    <mergeCell ref="B82:B108"/>
    <mergeCell ref="D127:H127"/>
    <mergeCell ref="H121:J121"/>
    <mergeCell ref="E121:E122"/>
    <mergeCell ref="F121:G121"/>
    <mergeCell ref="D121:D122"/>
    <mergeCell ref="J117:J120"/>
    <mergeCell ref="D105:G105"/>
    <mergeCell ref="D117:G117"/>
    <mergeCell ref="D118:H118"/>
    <mergeCell ref="D119:H119"/>
    <mergeCell ref="H109:J109"/>
    <mergeCell ref="D109:D110"/>
    <mergeCell ref="A57:A79"/>
    <mergeCell ref="B75:B79"/>
    <mergeCell ref="D76:G76"/>
    <mergeCell ref="D77:H77"/>
    <mergeCell ref="D78:H78"/>
    <mergeCell ref="D79:H79"/>
    <mergeCell ref="J76:J79"/>
    <mergeCell ref="D72:H72"/>
    <mergeCell ref="B65:B66"/>
    <mergeCell ref="E65:E66"/>
    <mergeCell ref="B57:B64"/>
    <mergeCell ref="D61:G61"/>
    <mergeCell ref="D65:D66"/>
    <mergeCell ref="D70:H70"/>
    <mergeCell ref="D71:H71"/>
    <mergeCell ref="J61:J64"/>
    <mergeCell ref="D62:H62"/>
  </mergeCells>
  <pageMargins left="0.19685039370078741" right="0.19685039370078741" top="0.74803149606299213" bottom="0.74803149606299213" header="0.31496062992125984" footer="0.31496062992125984"/>
  <pageSetup scale="43" fitToWidth="0" orientation="landscape" verticalDpi="597" r:id="rId1"/>
  <headerFooter alignWithMargins="0"/>
  <rowBreaks count="5" manualBreakCount="5">
    <brk id="22" max="16383" man="1"/>
    <brk id="37" max="16" man="1"/>
    <brk id="54" max="16383" man="1"/>
    <brk id="79" max="16383" man="1"/>
    <brk id="10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242"/>
  <sheetViews>
    <sheetView topLeftCell="A142" zoomScale="71" zoomScaleNormal="71" workbookViewId="0">
      <selection activeCell="E184" sqref="E184"/>
    </sheetView>
  </sheetViews>
  <sheetFormatPr baseColWidth="10" defaultRowHeight="14.25"/>
  <cols>
    <col min="1" max="1" width="22.28515625" style="352" customWidth="1"/>
    <col min="2" max="2" width="26.42578125" style="353" customWidth="1"/>
    <col min="3" max="3" width="29" style="353" hidden="1" customWidth="1"/>
    <col min="4" max="4" width="66.5703125" style="352" customWidth="1"/>
    <col min="5" max="5" width="18.42578125" style="352" customWidth="1"/>
    <col min="6" max="6" width="21" style="142" customWidth="1"/>
    <col min="7" max="7" width="17.5703125" style="572" customWidth="1"/>
    <col min="8" max="8" width="24.140625" style="143" customWidth="1"/>
    <col min="9" max="9" width="25.140625" style="144" customWidth="1"/>
    <col min="10" max="10" width="26.85546875" style="144" customWidth="1"/>
    <col min="11" max="11" width="18.42578125" style="351" hidden="1" customWidth="1"/>
    <col min="12" max="12" width="17" style="351" hidden="1" customWidth="1"/>
    <col min="13" max="14" width="14.42578125" style="129" hidden="1" customWidth="1"/>
    <col min="15" max="15" width="14.42578125" style="130" hidden="1" customWidth="1"/>
    <col min="16" max="16" width="14.42578125" style="125" hidden="1" customWidth="1"/>
    <col min="17" max="17" width="13" style="1" hidden="1" customWidth="1"/>
    <col min="18" max="18" width="27.7109375" style="1" hidden="1" customWidth="1"/>
    <col min="19" max="19" width="30" style="357" customWidth="1"/>
    <col min="20" max="20" width="29.7109375" style="580" customWidth="1"/>
    <col min="21" max="16384" width="11.42578125" style="352"/>
  </cols>
  <sheetData>
    <row r="1" spans="1:37" s="346" customFormat="1" ht="34.5" customHeight="1">
      <c r="A1" s="900" t="s">
        <v>489</v>
      </c>
      <c r="B1" s="897"/>
      <c r="C1" s="897"/>
      <c r="D1" s="897"/>
      <c r="E1" s="897"/>
      <c r="F1" s="897"/>
      <c r="G1" s="897"/>
      <c r="H1" s="897"/>
      <c r="I1" s="897"/>
      <c r="J1" s="344" t="s">
        <v>300</v>
      </c>
      <c r="K1" s="345"/>
      <c r="L1" s="345"/>
      <c r="M1" s="122"/>
      <c r="N1" s="122"/>
      <c r="O1" s="123"/>
      <c r="P1" s="124"/>
      <c r="Q1" s="386"/>
      <c r="R1" s="386"/>
      <c r="S1" s="589"/>
      <c r="T1" s="577"/>
    </row>
    <row r="2" spans="1:37" s="346" customFormat="1" ht="28.5" customHeight="1">
      <c r="A2" s="905"/>
      <c r="B2" s="866"/>
      <c r="C2" s="866"/>
      <c r="D2" s="866"/>
      <c r="E2" s="866"/>
      <c r="F2" s="866"/>
      <c r="G2" s="866"/>
      <c r="H2" s="866"/>
      <c r="I2" s="866"/>
      <c r="J2" s="347" t="s">
        <v>301</v>
      </c>
      <c r="K2" s="345"/>
      <c r="L2" s="345"/>
      <c r="M2" s="122"/>
      <c r="N2" s="122"/>
      <c r="O2" s="123"/>
      <c r="P2" s="124"/>
      <c r="Q2" s="386"/>
      <c r="R2" s="386"/>
      <c r="S2" s="589"/>
      <c r="T2" s="577"/>
    </row>
    <row r="3" spans="1:37" s="346" customFormat="1" ht="25.5" customHeight="1" thickBot="1">
      <c r="A3" s="905"/>
      <c r="B3" s="866"/>
      <c r="C3" s="866"/>
      <c r="D3" s="866"/>
      <c r="E3" s="866"/>
      <c r="F3" s="866"/>
      <c r="G3" s="866"/>
      <c r="H3" s="866"/>
      <c r="I3" s="866"/>
      <c r="J3" s="348" t="s">
        <v>302</v>
      </c>
      <c r="K3" s="345"/>
      <c r="L3" s="345"/>
      <c r="M3" s="122"/>
      <c r="N3" s="122"/>
      <c r="O3" s="123"/>
      <c r="P3" s="124"/>
      <c r="Q3" s="386"/>
      <c r="R3" s="386"/>
      <c r="S3" s="589"/>
      <c r="T3" s="577"/>
    </row>
    <row r="4" spans="1:37" s="346" customFormat="1" ht="8.25" customHeight="1">
      <c r="A4" s="349"/>
      <c r="B4" s="854"/>
      <c r="C4" s="854"/>
      <c r="D4" s="854"/>
      <c r="E4" s="854"/>
      <c r="F4" s="854"/>
      <c r="G4" s="854"/>
      <c r="H4" s="854"/>
      <c r="I4" s="854"/>
      <c r="J4" s="907"/>
      <c r="K4" s="345"/>
      <c r="L4" s="345"/>
      <c r="M4" s="122"/>
      <c r="N4" s="122"/>
      <c r="O4" s="123"/>
      <c r="P4" s="124"/>
      <c r="Q4" s="386"/>
      <c r="R4" s="386"/>
      <c r="S4" s="589"/>
      <c r="T4" s="577"/>
    </row>
    <row r="5" spans="1:37" s="346" customFormat="1" ht="39" customHeight="1">
      <c r="A5" s="905" t="s">
        <v>303</v>
      </c>
      <c r="B5" s="866"/>
      <c r="C5" s="553"/>
      <c r="D5" s="908" t="s">
        <v>505</v>
      </c>
      <c r="E5" s="909"/>
      <c r="F5" s="556"/>
      <c r="G5" s="361" t="s">
        <v>304</v>
      </c>
      <c r="H5" s="854" t="s">
        <v>509</v>
      </c>
      <c r="I5" s="854"/>
      <c r="J5" s="907"/>
      <c r="K5" s="345"/>
      <c r="L5" s="345"/>
      <c r="M5" s="122"/>
      <c r="N5" s="122"/>
      <c r="O5" s="123"/>
      <c r="P5" s="124"/>
      <c r="Q5" s="386"/>
      <c r="R5" s="386"/>
      <c r="S5" s="589"/>
      <c r="T5" s="577"/>
    </row>
    <row r="6" spans="1:37" ht="8.25" customHeight="1" thickBot="1">
      <c r="A6" s="350"/>
      <c r="B6" s="914"/>
      <c r="C6" s="914"/>
      <c r="D6" s="914"/>
      <c r="E6" s="914"/>
      <c r="F6" s="914"/>
      <c r="G6" s="914"/>
      <c r="H6" s="914"/>
      <c r="I6" s="914"/>
      <c r="J6" s="915"/>
      <c r="M6" s="122"/>
      <c r="N6" s="122"/>
      <c r="O6" s="123"/>
      <c r="T6" s="577"/>
      <c r="U6" s="346"/>
      <c r="V6" s="346"/>
      <c r="W6" s="346"/>
      <c r="X6" s="346"/>
      <c r="Y6" s="346"/>
      <c r="Z6" s="346"/>
      <c r="AA6" s="346"/>
      <c r="AB6" s="346"/>
      <c r="AC6" s="346"/>
      <c r="AD6" s="346"/>
      <c r="AE6" s="346"/>
      <c r="AF6" s="346"/>
      <c r="AG6" s="346"/>
      <c r="AH6" s="346"/>
      <c r="AI6" s="346"/>
      <c r="AJ6" s="346"/>
      <c r="AK6" s="346"/>
    </row>
    <row r="7" spans="1:37" s="353" customFormat="1" ht="15.75" customHeight="1">
      <c r="A7" s="900" t="s">
        <v>305</v>
      </c>
      <c r="B7" s="902" t="s">
        <v>306</v>
      </c>
      <c r="C7" s="560"/>
      <c r="D7" s="911" t="s">
        <v>488</v>
      </c>
      <c r="E7" s="897" t="s">
        <v>95</v>
      </c>
      <c r="F7" s="897" t="s">
        <v>308</v>
      </c>
      <c r="G7" s="897"/>
      <c r="H7" s="898" t="s">
        <v>309</v>
      </c>
      <c r="I7" s="898"/>
      <c r="J7" s="899"/>
      <c r="K7" s="2"/>
      <c r="L7" s="2"/>
      <c r="M7" s="122"/>
      <c r="N7" s="122"/>
      <c r="O7" s="123"/>
      <c r="P7" s="36"/>
      <c r="S7" s="2"/>
      <c r="T7" s="577"/>
      <c r="U7" s="346"/>
      <c r="V7" s="346"/>
      <c r="W7" s="346"/>
      <c r="X7" s="346"/>
      <c r="Y7" s="346"/>
      <c r="Z7" s="346"/>
      <c r="AA7" s="346"/>
      <c r="AB7" s="346"/>
      <c r="AC7" s="346"/>
      <c r="AD7" s="346"/>
      <c r="AE7" s="346"/>
      <c r="AF7" s="346"/>
      <c r="AG7" s="346"/>
      <c r="AH7" s="346"/>
      <c r="AI7" s="346"/>
      <c r="AJ7" s="346"/>
      <c r="AK7" s="346"/>
    </row>
    <row r="8" spans="1:37" s="1" customFormat="1" ht="45.75" customHeight="1" thickBot="1">
      <c r="A8" s="901"/>
      <c r="B8" s="903"/>
      <c r="C8" s="561"/>
      <c r="D8" s="912"/>
      <c r="E8" s="916"/>
      <c r="F8" s="354" t="s">
        <v>310</v>
      </c>
      <c r="G8" s="570" t="s">
        <v>311</v>
      </c>
      <c r="H8" s="355" t="s">
        <v>312</v>
      </c>
      <c r="I8" s="355" t="s">
        <v>313</v>
      </c>
      <c r="J8" s="356" t="s">
        <v>314</v>
      </c>
      <c r="K8" s="357"/>
      <c r="L8" s="357"/>
      <c r="M8" s="127" t="s">
        <v>315</v>
      </c>
      <c r="N8" s="127" t="s">
        <v>315</v>
      </c>
      <c r="O8" s="128" t="s">
        <v>316</v>
      </c>
      <c r="P8" s="35" t="s">
        <v>317</v>
      </c>
      <c r="S8" s="357"/>
      <c r="T8" s="577"/>
    </row>
    <row r="9" spans="1:37" s="1" customFormat="1" ht="76.5" customHeight="1">
      <c r="A9" s="888" t="s">
        <v>482</v>
      </c>
      <c r="B9" s="913" t="s">
        <v>485</v>
      </c>
      <c r="C9" s="358"/>
      <c r="D9" s="330" t="s">
        <v>354</v>
      </c>
      <c r="E9" s="432" t="s">
        <v>387</v>
      </c>
      <c r="F9" s="433">
        <f>+'MATRIZ GENERAL CONSOLIDADA'!D7</f>
        <v>30</v>
      </c>
      <c r="G9" s="433">
        <f>+'MATRIZ GENERAL CONSOLIDADA'!F7</f>
        <v>1.25</v>
      </c>
      <c r="H9" s="331">
        <f>+'MATRIZ GENERAL CONSOLIDADA'!E7</f>
        <v>400121690.48000002</v>
      </c>
      <c r="I9" s="400">
        <f>+'MATRIZ GENERAL CONSOLIDADA'!G7</f>
        <v>0</v>
      </c>
      <c r="J9" s="70">
        <f t="shared" ref="J9:J14" si="0">+H9-I9</f>
        <v>400121690.48000002</v>
      </c>
      <c r="K9" s="359"/>
      <c r="L9" s="357"/>
      <c r="M9" s="129"/>
      <c r="N9" s="129"/>
      <c r="O9" s="130"/>
      <c r="P9" s="300"/>
      <c r="S9" s="357"/>
      <c r="T9" s="578"/>
    </row>
    <row r="10" spans="1:37" s="1" customFormat="1" ht="48" customHeight="1">
      <c r="A10" s="888"/>
      <c r="B10" s="910"/>
      <c r="C10" s="550"/>
      <c r="D10" s="332" t="s">
        <v>358</v>
      </c>
      <c r="E10" s="432" t="s">
        <v>127</v>
      </c>
      <c r="F10" s="433">
        <f>+'MATRIZ GENERAL CONSOLIDADA'!D8</f>
        <v>3</v>
      </c>
      <c r="G10" s="433">
        <f>+'MATRIZ GENERAL CONSOLIDADA'!F8</f>
        <v>0.25</v>
      </c>
      <c r="H10" s="331">
        <f>+'MATRIZ GENERAL CONSOLIDADA'!E8</f>
        <v>400200000</v>
      </c>
      <c r="I10" s="400">
        <f>+'MATRIZ GENERAL CONSOLIDADA'!G8</f>
        <v>0</v>
      </c>
      <c r="J10" s="70">
        <f t="shared" si="0"/>
        <v>400200000</v>
      </c>
      <c r="K10" s="359"/>
      <c r="L10" s="357"/>
      <c r="M10" s="129"/>
      <c r="N10" s="129"/>
      <c r="O10" s="130"/>
      <c r="P10" s="300"/>
      <c r="S10" s="357"/>
      <c r="T10" s="578"/>
    </row>
    <row r="11" spans="1:37" s="1" customFormat="1" ht="52.5" customHeight="1">
      <c r="A11" s="888"/>
      <c r="B11" s="910"/>
      <c r="C11" s="550"/>
      <c r="D11" s="333" t="s">
        <v>351</v>
      </c>
      <c r="E11" s="432" t="s">
        <v>387</v>
      </c>
      <c r="F11" s="433">
        <f>+'MATRIZ GENERAL CONSOLIDADA'!D9</f>
        <v>2</v>
      </c>
      <c r="G11" s="433">
        <f>+'MATRIZ GENERAL CONSOLIDADA'!F9</f>
        <v>0</v>
      </c>
      <c r="H11" s="331">
        <f>+'MATRIZ GENERAL CONSOLIDADA'!E9</f>
        <v>574786013.86000001</v>
      </c>
      <c r="I11" s="400">
        <f>+'MATRIZ GENERAL CONSOLIDADA'!G9</f>
        <v>0</v>
      </c>
      <c r="J11" s="70">
        <f t="shared" si="0"/>
        <v>574786013.86000001</v>
      </c>
      <c r="K11" s="359">
        <v>118606003</v>
      </c>
      <c r="L11" s="357"/>
      <c r="M11" s="129">
        <v>35046</v>
      </c>
      <c r="N11" s="129">
        <v>255412</v>
      </c>
      <c r="O11" s="130">
        <v>615140</v>
      </c>
      <c r="P11" s="300"/>
      <c r="Q11" s="1">
        <v>0</v>
      </c>
      <c r="R11" s="357"/>
      <c r="S11" s="357"/>
      <c r="T11" s="578"/>
    </row>
    <row r="12" spans="1:37" s="1" customFormat="1" ht="47.25" customHeight="1">
      <c r="A12" s="888"/>
      <c r="B12" s="910"/>
      <c r="C12" s="550"/>
      <c r="D12" s="334" t="s">
        <v>351</v>
      </c>
      <c r="E12" s="432" t="s">
        <v>132</v>
      </c>
      <c r="F12" s="433">
        <f>+'MATRIZ GENERAL CONSOLIDADA'!D10</f>
        <v>3</v>
      </c>
      <c r="G12" s="433">
        <f>+'MATRIZ GENERAL CONSOLIDADA'!F10</f>
        <v>0</v>
      </c>
      <c r="H12" s="331">
        <f>+'MATRIZ GENERAL CONSOLIDADA'!E10</f>
        <v>938167976.60000002</v>
      </c>
      <c r="I12" s="400">
        <f>+'MATRIZ GENERAL CONSOLIDADA'!G10</f>
        <v>0</v>
      </c>
      <c r="J12" s="70">
        <f t="shared" si="0"/>
        <v>938167976.60000002</v>
      </c>
      <c r="K12" s="359">
        <v>304866161</v>
      </c>
      <c r="L12" s="357"/>
      <c r="M12" s="129">
        <v>79222</v>
      </c>
      <c r="N12" s="129"/>
      <c r="O12" s="130">
        <v>165962</v>
      </c>
      <c r="P12" s="300"/>
      <c r="Q12" s="1">
        <v>0</v>
      </c>
      <c r="S12" s="357" t="s">
        <v>495</v>
      </c>
      <c r="T12" s="578"/>
    </row>
    <row r="13" spans="1:37" s="1" customFormat="1" ht="66.75" customHeight="1">
      <c r="A13" s="888"/>
      <c r="B13" s="910"/>
      <c r="C13" s="550"/>
      <c r="D13" s="335" t="s">
        <v>356</v>
      </c>
      <c r="E13" s="432" t="s">
        <v>1</v>
      </c>
      <c r="F13" s="433">
        <f>+'MATRIZ GENERAL CONSOLIDADA'!D11</f>
        <v>0.5714285714285714</v>
      </c>
      <c r="G13" s="433">
        <f>+'MATRIZ GENERAL CONSOLIDADA'!F11</f>
        <v>0</v>
      </c>
      <c r="H13" s="331">
        <f>+'MATRIZ GENERAL CONSOLIDADA'!E11</f>
        <v>620708222.84000003</v>
      </c>
      <c r="I13" s="400">
        <f>+'MATRIZ GENERAL CONSOLIDADA'!G11</f>
        <v>0</v>
      </c>
      <c r="J13" s="70">
        <f t="shared" si="0"/>
        <v>620708222.84000003</v>
      </c>
      <c r="K13" s="359">
        <v>423472164</v>
      </c>
      <c r="L13" s="357"/>
      <c r="M13" s="129">
        <v>255412</v>
      </c>
      <c r="N13" s="129"/>
      <c r="O13" s="130">
        <v>489303</v>
      </c>
      <c r="P13" s="300"/>
      <c r="S13" s="357"/>
      <c r="T13" s="578"/>
    </row>
    <row r="14" spans="1:37" s="1" customFormat="1" ht="64.5" customHeight="1">
      <c r="A14" s="888"/>
      <c r="B14" s="910"/>
      <c r="C14" s="550"/>
      <c r="D14" s="332" t="s">
        <v>355</v>
      </c>
      <c r="E14" s="432" t="s">
        <v>132</v>
      </c>
      <c r="F14" s="433">
        <f>+'MATRIZ GENERAL CONSOLIDADA'!D12</f>
        <v>100</v>
      </c>
      <c r="G14" s="466">
        <f>+'MATRIZ GENERAL CONSOLIDADA'!F12</f>
        <v>5</v>
      </c>
      <c r="H14" s="331">
        <f>+'MATRIZ GENERAL CONSOLIDADA'!E12</f>
        <v>19999900</v>
      </c>
      <c r="I14" s="400">
        <f>+'MATRIZ GENERAL CONSOLIDADA'!G12</f>
        <v>0</v>
      </c>
      <c r="J14" s="70">
        <f t="shared" si="0"/>
        <v>19999900</v>
      </c>
      <c r="K14" s="360" t="s">
        <v>318</v>
      </c>
      <c r="L14" s="357"/>
      <c r="M14" s="129">
        <v>85137</v>
      </c>
      <c r="N14" s="129"/>
      <c r="O14" s="130">
        <v>341394</v>
      </c>
      <c r="P14" s="300"/>
      <c r="S14" s="357"/>
      <c r="T14" s="578"/>
    </row>
    <row r="15" spans="1:37" s="1" customFormat="1" ht="64.5" customHeight="1">
      <c r="A15" s="888"/>
      <c r="B15" s="910"/>
      <c r="C15" s="549"/>
      <c r="D15" s="567" t="s">
        <v>357</v>
      </c>
      <c r="E15" s="568" t="s">
        <v>1</v>
      </c>
      <c r="F15" s="433">
        <f>+'MATRIZ GENERAL CONSOLIDADA'!D13</f>
        <v>100</v>
      </c>
      <c r="G15" s="433">
        <f>+'MATRIZ GENERAL CONSOLIDADA'!F13</f>
        <v>20</v>
      </c>
      <c r="H15" s="331">
        <f>+'MATRIZ GENERAL CONSOLIDADA'!E13</f>
        <v>9573294256.2000008</v>
      </c>
      <c r="I15" s="400">
        <f>+'MATRIZ GENERAL CONSOLIDADA'!G13</f>
        <v>254844477</v>
      </c>
      <c r="J15" s="70"/>
      <c r="K15" s="360"/>
      <c r="L15" s="357"/>
      <c r="M15" s="129"/>
      <c r="N15" s="129"/>
      <c r="O15" s="130"/>
      <c r="P15" s="300"/>
      <c r="S15" s="357"/>
      <c r="T15" s="578"/>
    </row>
    <row r="16" spans="1:37" s="1" customFormat="1" ht="64.5" customHeight="1">
      <c r="A16" s="888"/>
      <c r="B16" s="910"/>
      <c r="C16" s="549"/>
      <c r="D16" s="573" t="s">
        <v>359</v>
      </c>
      <c r="E16" s="574" t="s">
        <v>366</v>
      </c>
      <c r="F16" s="433">
        <f>+'MATRIZ GENERAL CONSOLIDADA'!D14</f>
        <v>25</v>
      </c>
      <c r="G16" s="433">
        <f>+'MATRIZ GENERAL CONSOLIDADA'!F14</f>
        <v>5</v>
      </c>
      <c r="H16" s="331">
        <f>+'MATRIZ GENERAL CONSOLIDADA'!E14</f>
        <v>2763939367.9500003</v>
      </c>
      <c r="I16" s="400">
        <f>+'MATRIZ GENERAL CONSOLIDADA'!G14</f>
        <v>0</v>
      </c>
      <c r="J16" s="70"/>
      <c r="K16" s="360"/>
      <c r="L16" s="357"/>
      <c r="M16" s="129"/>
      <c r="N16" s="129"/>
      <c r="O16" s="130"/>
      <c r="P16" s="300"/>
      <c r="S16" s="357"/>
      <c r="T16" s="578"/>
    </row>
    <row r="17" spans="1:20" s="1" customFormat="1" ht="48" customHeight="1">
      <c r="A17" s="888"/>
      <c r="B17" s="910"/>
      <c r="C17" s="549"/>
      <c r="D17" s="312" t="s">
        <v>353</v>
      </c>
      <c r="E17" s="432" t="s">
        <v>365</v>
      </c>
      <c r="F17" s="433">
        <f>+'MATRIZ GENERAL CONSOLIDADA'!D15</f>
        <v>100</v>
      </c>
      <c r="G17" s="433">
        <f>+'MATRIZ GENERAL CONSOLIDADA'!F15</f>
        <v>5</v>
      </c>
      <c r="H17" s="331">
        <f>+'MATRIZ GENERAL CONSOLIDADA'!E15</f>
        <v>699607576.46000004</v>
      </c>
      <c r="I17" s="400">
        <f>+'MATRIZ GENERAL CONSOLIDADA'!G15</f>
        <v>28635375</v>
      </c>
      <c r="J17" s="70">
        <f>+H17-I17</f>
        <v>670972201.46000004</v>
      </c>
      <c r="K17" s="359"/>
      <c r="L17" s="357"/>
      <c r="M17" s="129"/>
      <c r="N17" s="129"/>
      <c r="O17" s="130"/>
      <c r="P17" s="300"/>
      <c r="S17" s="357"/>
      <c r="T17" s="578"/>
    </row>
    <row r="18" spans="1:20" s="1" customFormat="1" ht="48" customHeight="1">
      <c r="A18" s="888"/>
      <c r="B18" s="910"/>
      <c r="C18" s="549"/>
      <c r="D18" s="312" t="s">
        <v>508</v>
      </c>
      <c r="E18" s="432" t="s">
        <v>461</v>
      </c>
      <c r="F18" s="433">
        <f>+'MATRIZ GENERAL CONSOLIDADA'!D16</f>
        <v>1</v>
      </c>
      <c r="G18" s="433">
        <f>+'MATRIZ GENERAL CONSOLIDADA'!F16</f>
        <v>0.1</v>
      </c>
      <c r="H18" s="331">
        <f>+'MATRIZ GENERAL CONSOLIDADA'!E16</f>
        <v>223462627.48800001</v>
      </c>
      <c r="I18" s="400">
        <f>+'MATRIZ GENERAL CONSOLIDADA'!G16</f>
        <v>47527303</v>
      </c>
      <c r="J18" s="70">
        <f>+H18-I18</f>
        <v>175935324.48800001</v>
      </c>
      <c r="K18" s="359"/>
      <c r="L18" s="357"/>
      <c r="M18" s="129"/>
      <c r="N18" s="129"/>
      <c r="O18" s="130"/>
      <c r="P18" s="300"/>
      <c r="S18" s="357"/>
      <c r="T18" s="578"/>
    </row>
    <row r="19" spans="1:20" s="1" customFormat="1" ht="47.25" customHeight="1">
      <c r="A19" s="888"/>
      <c r="B19" s="910"/>
      <c r="C19" s="549"/>
      <c r="D19" s="312" t="s">
        <v>360</v>
      </c>
      <c r="E19" s="432" t="s">
        <v>361</v>
      </c>
      <c r="F19" s="433" t="e">
        <f>+'MATRIZ GENERAL CONSOLIDADA'!#REF!</f>
        <v>#REF!</v>
      </c>
      <c r="G19" s="466" t="e">
        <f>+'MATRIZ GENERAL CONSOLIDADA'!#REF!</f>
        <v>#REF!</v>
      </c>
      <c r="H19" s="331" t="e">
        <f>+'MATRIZ GENERAL CONSOLIDADA'!#REF!</f>
        <v>#REF!</v>
      </c>
      <c r="I19" s="400" t="e">
        <f>+'MATRIZ GENERAL CONSOLIDADA'!#REF!</f>
        <v>#REF!</v>
      </c>
      <c r="J19" s="70" t="e">
        <f>+H19-I19</f>
        <v>#REF!</v>
      </c>
      <c r="K19" s="359"/>
      <c r="L19" s="357"/>
      <c r="M19" s="129"/>
      <c r="N19" s="129"/>
      <c r="O19" s="130"/>
      <c r="P19" s="300"/>
      <c r="R19" s="457"/>
      <c r="S19" s="357"/>
      <c r="T19" s="578"/>
    </row>
    <row r="20" spans="1:20" s="1" customFormat="1" ht="47.25" customHeight="1">
      <c r="A20" s="888"/>
      <c r="B20" s="910"/>
      <c r="C20" s="549"/>
      <c r="D20" s="569" t="s">
        <v>362</v>
      </c>
      <c r="E20" s="217" t="s">
        <v>192</v>
      </c>
      <c r="F20" s="433" t="e">
        <f>+'MATRIZ GENERAL CONSOLIDADA'!#REF!</f>
        <v>#REF!</v>
      </c>
      <c r="G20" s="433" t="e">
        <f>+'MATRIZ GENERAL CONSOLIDADA'!#REF!</f>
        <v>#REF!</v>
      </c>
      <c r="H20" s="331" t="e">
        <f>+'MATRIZ GENERAL CONSOLIDADA'!#REF!</f>
        <v>#REF!</v>
      </c>
      <c r="I20" s="400" t="e">
        <f>+'MATRIZ GENERAL CONSOLIDADA'!#REF!</f>
        <v>#REF!</v>
      </c>
      <c r="J20" s="70"/>
      <c r="K20" s="359"/>
      <c r="L20" s="357"/>
      <c r="M20" s="129"/>
      <c r="N20" s="129"/>
      <c r="O20" s="130"/>
      <c r="P20" s="300"/>
      <c r="R20" s="457"/>
      <c r="S20" s="357"/>
      <c r="T20" s="578"/>
    </row>
    <row r="21" spans="1:20" s="1" customFormat="1" ht="18" customHeight="1">
      <c r="A21" s="888"/>
      <c r="B21" s="910"/>
      <c r="C21" s="550"/>
      <c r="D21" s="904" t="s">
        <v>319</v>
      </c>
      <c r="E21" s="904"/>
      <c r="F21" s="904"/>
      <c r="G21" s="904"/>
      <c r="H21" s="364" t="e">
        <f>SUM(H9:H20)</f>
        <v>#REF!</v>
      </c>
      <c r="I21" s="338"/>
      <c r="J21" s="864" t="e">
        <f>+H21-I22</f>
        <v>#REF!</v>
      </c>
      <c r="K21" s="131" t="e">
        <v>#REF!</v>
      </c>
      <c r="L21" s="357"/>
      <c r="M21" s="129">
        <v>210274</v>
      </c>
      <c r="N21" s="129"/>
      <c r="O21" s="130"/>
      <c r="P21" s="125"/>
      <c r="S21" s="357"/>
      <c r="T21" s="578"/>
    </row>
    <row r="22" spans="1:20" s="1" customFormat="1" ht="18" customHeight="1">
      <c r="A22" s="888"/>
      <c r="B22" s="910"/>
      <c r="C22" s="550"/>
      <c r="D22" s="904" t="s">
        <v>320</v>
      </c>
      <c r="E22" s="904"/>
      <c r="F22" s="904"/>
      <c r="G22" s="904"/>
      <c r="H22" s="904"/>
      <c r="I22" s="339" t="e">
        <f>SUM(I9:I21)</f>
        <v>#REF!</v>
      </c>
      <c r="J22" s="906"/>
      <c r="K22" s="131">
        <v>11</v>
      </c>
      <c r="L22" s="357"/>
      <c r="M22" s="129">
        <v>105137</v>
      </c>
      <c r="N22" s="129"/>
      <c r="O22" s="130"/>
      <c r="P22" s="125"/>
      <c r="S22" s="357"/>
      <c r="T22" s="578"/>
    </row>
    <row r="23" spans="1:20" s="1" customFormat="1" ht="18.75" customHeight="1">
      <c r="A23" s="888"/>
      <c r="B23" s="910"/>
      <c r="C23" s="550"/>
      <c r="D23" s="904" t="s">
        <v>321</v>
      </c>
      <c r="E23" s="904"/>
      <c r="F23" s="904"/>
      <c r="G23" s="904"/>
      <c r="H23" s="904"/>
      <c r="I23" s="408">
        <f>+'Anexo 1 Matriz SINA Inf Gestión'!Q7/100</f>
        <v>2.0414535779495199E-2</v>
      </c>
      <c r="J23" s="906"/>
      <c r="K23" s="357"/>
      <c r="L23" s="357"/>
      <c r="M23" s="132"/>
      <c r="N23" s="132">
        <v>1025640</v>
      </c>
      <c r="O23" s="130"/>
      <c r="P23" s="125"/>
      <c r="S23" s="357"/>
      <c r="T23" s="578"/>
    </row>
    <row r="24" spans="1:20" s="1" customFormat="1" ht="18.75" customHeight="1">
      <c r="A24" s="888"/>
      <c r="B24" s="550"/>
      <c r="C24" s="550"/>
      <c r="D24" s="892" t="s">
        <v>481</v>
      </c>
      <c r="E24" s="893"/>
      <c r="F24" s="893"/>
      <c r="G24" s="893"/>
      <c r="H24" s="894"/>
      <c r="I24" s="408">
        <f>+'Anexo 1 Matriz SINA Inf Gestión'!J7/100</f>
        <v>0.10039184952978059</v>
      </c>
      <c r="J24" s="559"/>
      <c r="K24" s="357"/>
      <c r="L24" s="357"/>
      <c r="M24" s="132"/>
      <c r="N24" s="132"/>
      <c r="O24" s="130"/>
      <c r="P24" s="125"/>
      <c r="S24" s="357"/>
      <c r="T24" s="578"/>
    </row>
    <row r="25" spans="1:20" s="1" customFormat="1" ht="24" customHeight="1">
      <c r="A25" s="888"/>
      <c r="B25" s="865" t="s">
        <v>306</v>
      </c>
      <c r="C25" s="554"/>
      <c r="D25" s="869" t="s">
        <v>488</v>
      </c>
      <c r="E25" s="866" t="s">
        <v>95</v>
      </c>
      <c r="F25" s="866" t="s">
        <v>308</v>
      </c>
      <c r="G25" s="866"/>
      <c r="H25" s="895" t="s">
        <v>309</v>
      </c>
      <c r="I25" s="895"/>
      <c r="J25" s="896"/>
      <c r="K25" s="357"/>
      <c r="L25" s="357"/>
      <c r="M25" s="132"/>
      <c r="N25" s="132"/>
      <c r="O25" s="130"/>
      <c r="P25" s="125"/>
      <c r="S25" s="357"/>
      <c r="T25" s="578"/>
    </row>
    <row r="26" spans="1:20" s="1" customFormat="1" ht="45" customHeight="1">
      <c r="A26" s="888"/>
      <c r="B26" s="865"/>
      <c r="C26" s="554"/>
      <c r="D26" s="870"/>
      <c r="E26" s="866"/>
      <c r="F26" s="361" t="s">
        <v>310</v>
      </c>
      <c r="G26" s="361" t="s">
        <v>311</v>
      </c>
      <c r="H26" s="362" t="s">
        <v>312</v>
      </c>
      <c r="I26" s="557" t="s">
        <v>313</v>
      </c>
      <c r="J26" s="558" t="s">
        <v>314</v>
      </c>
      <c r="K26" s="357"/>
      <c r="L26" s="357"/>
      <c r="M26" s="132"/>
      <c r="N26" s="132"/>
      <c r="O26" s="130"/>
      <c r="P26" s="125"/>
      <c r="S26" s="357"/>
      <c r="T26" s="578"/>
    </row>
    <row r="27" spans="1:20" s="1" customFormat="1" ht="76.5" customHeight="1">
      <c r="A27" s="888"/>
      <c r="B27" s="910" t="s">
        <v>438</v>
      </c>
      <c r="C27" s="550"/>
      <c r="D27" s="335" t="s">
        <v>453</v>
      </c>
      <c r="E27" s="303" t="s">
        <v>179</v>
      </c>
      <c r="F27" s="304">
        <f>+'MATRIZ GENERAL CONSOLIDADA'!D18</f>
        <v>30</v>
      </c>
      <c r="G27" s="304">
        <f>+'MATRIZ GENERAL CONSOLIDADA'!F18</f>
        <v>63.75</v>
      </c>
      <c r="H27" s="341">
        <f>+'MATRIZ GENERAL CONSOLIDADA'!E18</f>
        <v>3390558888.8000002</v>
      </c>
      <c r="I27" s="341">
        <f>+'MATRIZ GENERAL CONSOLIDADA'!G18</f>
        <v>10184422</v>
      </c>
      <c r="J27" s="70">
        <f>+H27-I27</f>
        <v>3380374466.8000002</v>
      </c>
      <c r="K27" s="357"/>
      <c r="L27" s="357"/>
      <c r="M27" s="132"/>
      <c r="N27" s="132"/>
      <c r="O27" s="130"/>
      <c r="P27" s="125"/>
      <c r="Q27" s="1">
        <v>0</v>
      </c>
      <c r="S27" s="357"/>
      <c r="T27" s="578"/>
    </row>
    <row r="28" spans="1:20" s="1" customFormat="1" ht="75" customHeight="1">
      <c r="A28" s="888"/>
      <c r="B28" s="910"/>
      <c r="C28" s="550"/>
      <c r="D28" s="332" t="s">
        <v>454</v>
      </c>
      <c r="E28" s="308" t="s">
        <v>455</v>
      </c>
      <c r="F28" s="304">
        <f>+'MATRIZ GENERAL CONSOLIDADA'!D19</f>
        <v>100</v>
      </c>
      <c r="G28" s="304">
        <f>+'MATRIZ GENERAL CONSOLIDADA'!F19</f>
        <v>5</v>
      </c>
      <c r="H28" s="341">
        <f>+'MATRIZ GENERAL CONSOLIDADA'!E19</f>
        <v>22243001773.199997</v>
      </c>
      <c r="I28" s="341">
        <f>+'MATRIZ GENERAL CONSOLIDADA'!G19</f>
        <v>178236212.81999999</v>
      </c>
      <c r="J28" s="70">
        <f t="shared" ref="J28:J36" si="1">+H28-I28</f>
        <v>22064765560.379997</v>
      </c>
      <c r="K28" s="357"/>
      <c r="L28" s="357"/>
      <c r="M28" s="132"/>
      <c r="N28" s="132"/>
      <c r="O28" s="130"/>
      <c r="P28" s="300"/>
      <c r="Q28" s="437">
        <v>0</v>
      </c>
      <c r="S28" s="357"/>
      <c r="T28" s="578"/>
    </row>
    <row r="29" spans="1:20" s="1" customFormat="1" ht="75" customHeight="1">
      <c r="A29" s="888"/>
      <c r="B29" s="910"/>
      <c r="C29" s="549"/>
      <c r="D29" s="310" t="s">
        <v>493</v>
      </c>
      <c r="E29" s="308" t="s">
        <v>1</v>
      </c>
      <c r="F29" s="304">
        <f>+'MATRIZ GENERAL CONSOLIDADA'!D20</f>
        <v>100</v>
      </c>
      <c r="G29" s="304">
        <f>+'MATRIZ GENERAL CONSOLIDADA'!F20</f>
        <v>0</v>
      </c>
      <c r="H29" s="341">
        <f>+'MATRIZ GENERAL CONSOLIDADA'!E20</f>
        <v>0</v>
      </c>
      <c r="I29" s="341">
        <f>+'MATRIZ GENERAL CONSOLIDADA'!G20</f>
        <v>0</v>
      </c>
      <c r="J29" s="70">
        <f t="shared" si="1"/>
        <v>0</v>
      </c>
      <c r="K29" s="357"/>
      <c r="L29" s="357"/>
      <c r="M29" s="132"/>
      <c r="N29" s="132"/>
      <c r="O29" s="130"/>
      <c r="P29" s="300"/>
      <c r="S29" s="357"/>
      <c r="T29" s="578"/>
    </row>
    <row r="30" spans="1:20" s="1" customFormat="1" ht="38.25" customHeight="1">
      <c r="A30" s="888"/>
      <c r="B30" s="910"/>
      <c r="C30" s="549"/>
      <c r="D30" s="314" t="s">
        <v>348</v>
      </c>
      <c r="E30" s="315" t="s">
        <v>433</v>
      </c>
      <c r="F30" s="304">
        <f>+'MATRIZ GENERAL CONSOLIDADA'!D21</f>
        <v>25</v>
      </c>
      <c r="G30" s="304">
        <f>+'MATRIZ GENERAL CONSOLIDADA'!F21</f>
        <v>2.5</v>
      </c>
      <c r="H30" s="341">
        <f>+'MATRIZ GENERAL CONSOLIDADA'!E21</f>
        <v>403037761</v>
      </c>
      <c r="I30" s="341">
        <f>+'MATRIZ GENERAL CONSOLIDADA'!G21</f>
        <v>5020000</v>
      </c>
      <c r="J30" s="70">
        <f t="shared" si="1"/>
        <v>398017761</v>
      </c>
      <c r="K30" s="357"/>
      <c r="L30" s="357"/>
      <c r="M30" s="132"/>
      <c r="N30" s="132"/>
      <c r="O30" s="130"/>
      <c r="P30" s="125"/>
      <c r="S30" s="357"/>
      <c r="T30" s="578"/>
    </row>
    <row r="31" spans="1:20" s="1" customFormat="1" ht="53.25" customHeight="1">
      <c r="A31" s="888"/>
      <c r="B31" s="910"/>
      <c r="C31" s="549"/>
      <c r="D31" s="316" t="s">
        <v>478</v>
      </c>
      <c r="E31" s="317" t="s">
        <v>433</v>
      </c>
      <c r="F31" s="304">
        <f>+'MATRIZ GENERAL CONSOLIDADA'!D22</f>
        <v>400</v>
      </c>
      <c r="G31" s="575">
        <f>+'MATRIZ GENERAL CONSOLIDADA'!F22</f>
        <v>12</v>
      </c>
      <c r="H31" s="341">
        <f>+'MATRIZ GENERAL CONSOLIDADA'!E22</f>
        <v>1301609346.4000001</v>
      </c>
      <c r="I31" s="341">
        <f>+'MATRIZ GENERAL CONSOLIDADA'!G22</f>
        <v>37542845</v>
      </c>
      <c r="J31" s="70">
        <f t="shared" si="1"/>
        <v>1264066501.4000001</v>
      </c>
      <c r="K31" s="357"/>
      <c r="L31" s="357"/>
      <c r="M31" s="132"/>
      <c r="N31" s="132"/>
      <c r="O31" s="130"/>
      <c r="P31" s="125"/>
      <c r="S31" s="357"/>
      <c r="T31" s="578"/>
    </row>
    <row r="32" spans="1:20" s="1" customFormat="1" ht="53.25" customHeight="1">
      <c r="A32" s="888"/>
      <c r="B32" s="910"/>
      <c r="C32" s="549"/>
      <c r="D32" s="316" t="s">
        <v>349</v>
      </c>
      <c r="E32" s="434" t="s">
        <v>433</v>
      </c>
      <c r="F32" s="304">
        <f>+'MATRIZ GENERAL CONSOLIDADA'!D23</f>
        <v>500</v>
      </c>
      <c r="G32" s="304">
        <f>+'MATRIZ GENERAL CONSOLIDADA'!F23</f>
        <v>0</v>
      </c>
      <c r="H32" s="341">
        <f>+'MATRIZ GENERAL CONSOLIDADA'!E23</f>
        <v>1775037937.0999999</v>
      </c>
      <c r="I32" s="341">
        <f>+'MATRIZ GENERAL CONSOLIDADA'!G23</f>
        <v>33702927.811999999</v>
      </c>
      <c r="J32" s="70">
        <f t="shared" si="1"/>
        <v>1741335009.2879999</v>
      </c>
      <c r="K32" s="357"/>
      <c r="L32" s="357"/>
      <c r="M32" s="132"/>
      <c r="N32" s="132"/>
      <c r="O32" s="130"/>
      <c r="P32" s="125"/>
      <c r="S32" s="357"/>
      <c r="T32" s="578"/>
    </row>
    <row r="33" spans="1:20" s="1" customFormat="1" ht="53.25" customHeight="1">
      <c r="A33" s="888"/>
      <c r="B33" s="910"/>
      <c r="C33" s="549"/>
      <c r="D33" s="316" t="s">
        <v>465</v>
      </c>
      <c r="E33" s="434" t="s">
        <v>433</v>
      </c>
      <c r="F33" s="304">
        <f>+'MATRIZ GENERAL CONSOLIDADA'!D24</f>
        <v>100</v>
      </c>
      <c r="G33" s="575">
        <f>+'MATRIZ GENERAL CONSOLIDADA'!F24</f>
        <v>0</v>
      </c>
      <c r="H33" s="341">
        <f>+'MATRIZ GENERAL CONSOLIDADA'!E24</f>
        <v>2351599580</v>
      </c>
      <c r="I33" s="341">
        <f>+'MATRIZ GENERAL CONSOLIDADA'!G24</f>
        <v>0</v>
      </c>
      <c r="J33" s="70">
        <f t="shared" si="1"/>
        <v>2351599580</v>
      </c>
      <c r="K33" s="357"/>
      <c r="L33" s="357"/>
      <c r="M33" s="132"/>
      <c r="N33" s="132"/>
      <c r="O33" s="130"/>
      <c r="P33" s="125"/>
      <c r="S33" s="357"/>
      <c r="T33" s="578"/>
    </row>
    <row r="34" spans="1:20" s="1" customFormat="1" ht="53.25" customHeight="1">
      <c r="A34" s="888"/>
      <c r="B34" s="910"/>
      <c r="C34" s="549"/>
      <c r="D34" s="316" t="s">
        <v>352</v>
      </c>
      <c r="E34" s="318" t="s">
        <v>433</v>
      </c>
      <c r="F34" s="304">
        <f>+'MATRIZ GENERAL CONSOLIDADA'!D25</f>
        <v>340</v>
      </c>
      <c r="G34" s="304">
        <f>+'MATRIZ GENERAL CONSOLIDADA'!F25</f>
        <v>0</v>
      </c>
      <c r="H34" s="341">
        <f>+'MATRIZ GENERAL CONSOLIDADA'!E25</f>
        <v>1456863662</v>
      </c>
      <c r="I34" s="341">
        <f>+'MATRIZ GENERAL CONSOLIDADA'!G25</f>
        <v>11033124</v>
      </c>
      <c r="J34" s="70">
        <f t="shared" si="1"/>
        <v>1445830538</v>
      </c>
      <c r="K34" s="357"/>
      <c r="L34" s="357"/>
      <c r="M34" s="132"/>
      <c r="N34" s="132"/>
      <c r="O34" s="130"/>
      <c r="P34" s="125"/>
      <c r="S34" s="357"/>
      <c r="T34" s="578"/>
    </row>
    <row r="35" spans="1:20" s="1" customFormat="1" ht="53.25" customHeight="1">
      <c r="A35" s="888"/>
      <c r="B35" s="910"/>
      <c r="C35" s="550"/>
      <c r="D35" s="342" t="s">
        <v>350</v>
      </c>
      <c r="E35" s="318" t="s">
        <v>433</v>
      </c>
      <c r="F35" s="304">
        <f>+'MATRIZ GENERAL CONSOLIDADA'!D26</f>
        <v>1</v>
      </c>
      <c r="G35" s="575">
        <f>+'MATRIZ GENERAL CONSOLIDADA'!F26</f>
        <v>0</v>
      </c>
      <c r="H35" s="341">
        <f>+'MATRIZ GENERAL CONSOLIDADA'!E26</f>
        <v>9622971361</v>
      </c>
      <c r="I35" s="341">
        <f>+'MATRIZ GENERAL CONSOLIDADA'!G26</f>
        <v>0</v>
      </c>
      <c r="J35" s="70">
        <f t="shared" si="1"/>
        <v>9622971361</v>
      </c>
      <c r="K35" s="357"/>
      <c r="L35" s="357"/>
      <c r="M35" s="132"/>
      <c r="N35" s="132"/>
      <c r="O35" s="130"/>
      <c r="P35" s="125"/>
      <c r="S35" s="357"/>
      <c r="T35" s="578"/>
    </row>
    <row r="36" spans="1:20" s="1" customFormat="1" ht="53.25" customHeight="1">
      <c r="A36" s="888"/>
      <c r="B36" s="910"/>
      <c r="C36" s="549"/>
      <c r="D36" s="312" t="s">
        <v>450</v>
      </c>
      <c r="E36" s="303" t="s">
        <v>434</v>
      </c>
      <c r="F36" s="304" t="e">
        <f>+'MATRIZ GENERAL CONSOLIDADA'!#REF!</f>
        <v>#REF!</v>
      </c>
      <c r="G36" s="304" t="e">
        <f>+'MATRIZ GENERAL CONSOLIDADA'!#REF!</f>
        <v>#REF!</v>
      </c>
      <c r="H36" s="341" t="e">
        <f>+'MATRIZ GENERAL CONSOLIDADA'!#REF!</f>
        <v>#REF!</v>
      </c>
      <c r="I36" s="341" t="e">
        <f>+'MATRIZ GENERAL CONSOLIDADA'!#REF!</f>
        <v>#REF!</v>
      </c>
      <c r="J36" s="70" t="e">
        <f t="shared" si="1"/>
        <v>#REF!</v>
      </c>
      <c r="K36" s="357"/>
      <c r="L36" s="357"/>
      <c r="M36" s="132"/>
      <c r="N36" s="132"/>
      <c r="O36" s="130"/>
      <c r="P36" s="125"/>
      <c r="S36" s="357"/>
      <c r="T36" s="578"/>
    </row>
    <row r="37" spans="1:20" s="1" customFormat="1" ht="24" customHeight="1">
      <c r="A37" s="888"/>
      <c r="B37" s="910"/>
      <c r="C37" s="550"/>
      <c r="D37" s="904" t="s">
        <v>319</v>
      </c>
      <c r="E37" s="904"/>
      <c r="F37" s="904"/>
      <c r="G37" s="904"/>
      <c r="H37" s="364" t="e">
        <f>SUM(H27:H36)</f>
        <v>#REF!</v>
      </c>
      <c r="I37" s="343"/>
      <c r="J37" s="864" t="e">
        <f>+H37-I38</f>
        <v>#REF!</v>
      </c>
      <c r="K37" s="357"/>
      <c r="L37" s="357"/>
      <c r="M37" s="132"/>
      <c r="N37" s="132"/>
      <c r="O37" s="130"/>
      <c r="P37" s="125"/>
      <c r="S37" s="357"/>
      <c r="T37" s="578"/>
    </row>
    <row r="38" spans="1:20" s="1" customFormat="1" ht="18" customHeight="1">
      <c r="A38" s="888"/>
      <c r="B38" s="910"/>
      <c r="C38" s="550"/>
      <c r="D38" s="904" t="s">
        <v>320</v>
      </c>
      <c r="E38" s="904"/>
      <c r="F38" s="904"/>
      <c r="G38" s="904"/>
      <c r="H38" s="904"/>
      <c r="I38" s="475" t="e">
        <f>SUM(I27:I37)</f>
        <v>#REF!</v>
      </c>
      <c r="J38" s="906"/>
      <c r="K38" s="357"/>
      <c r="L38" s="357"/>
      <c r="M38" s="132"/>
      <c r="N38" s="132"/>
      <c r="O38" s="130"/>
      <c r="P38" s="125"/>
      <c r="S38" s="357"/>
      <c r="T38" s="578"/>
    </row>
    <row r="39" spans="1:20" s="1" customFormat="1" ht="15">
      <c r="A39" s="888"/>
      <c r="B39" s="910"/>
      <c r="C39" s="550"/>
      <c r="D39" s="904" t="s">
        <v>321</v>
      </c>
      <c r="E39" s="904"/>
      <c r="F39" s="904"/>
      <c r="G39" s="904"/>
      <c r="H39" s="904"/>
      <c r="I39" s="385">
        <f>+'Anexo 1 Matriz SINA Inf Gestión'!Q18/100</f>
        <v>6.4807052168736889E-3</v>
      </c>
      <c r="J39" s="906"/>
      <c r="K39" s="357"/>
      <c r="L39" s="357"/>
      <c r="M39" s="132"/>
      <c r="N39" s="132"/>
      <c r="O39" s="130"/>
      <c r="P39" s="125"/>
      <c r="S39" s="357"/>
      <c r="T39" s="578"/>
    </row>
    <row r="40" spans="1:20" s="1" customFormat="1" ht="18" customHeight="1">
      <c r="A40" s="888"/>
      <c r="B40" s="910"/>
      <c r="C40" s="550"/>
      <c r="D40" s="892" t="s">
        <v>479</v>
      </c>
      <c r="E40" s="893"/>
      <c r="F40" s="893"/>
      <c r="G40" s="893"/>
      <c r="H40" s="894"/>
      <c r="I40" s="385">
        <f>+'Anexo 1 Matriz SINA Inf Gestión'!J18/100</f>
        <v>0.79722222222222228</v>
      </c>
      <c r="J40" s="906"/>
      <c r="K40" s="357"/>
      <c r="L40" s="357"/>
      <c r="M40" s="132"/>
      <c r="N40" s="132"/>
      <c r="O40" s="130"/>
      <c r="P40" s="125"/>
      <c r="S40" s="357"/>
      <c r="T40" s="578"/>
    </row>
    <row r="41" spans="1:20" s="1" customFormat="1" ht="47.25" customHeight="1">
      <c r="A41" s="888"/>
      <c r="B41" s="865" t="s">
        <v>306</v>
      </c>
      <c r="C41" s="554"/>
      <c r="D41" s="869" t="s">
        <v>488</v>
      </c>
      <c r="E41" s="866" t="s">
        <v>95</v>
      </c>
      <c r="F41" s="866" t="s">
        <v>308</v>
      </c>
      <c r="G41" s="866"/>
      <c r="H41" s="895" t="s">
        <v>309</v>
      </c>
      <c r="I41" s="895"/>
      <c r="J41" s="896"/>
      <c r="K41" s="357"/>
      <c r="L41" s="357"/>
      <c r="M41" s="132"/>
      <c r="N41" s="132"/>
      <c r="O41" s="130"/>
      <c r="P41" s="125"/>
      <c r="S41" s="357"/>
      <c r="T41" s="578"/>
    </row>
    <row r="42" spans="1:20" s="1" customFormat="1" ht="47.25" customHeight="1">
      <c r="A42" s="888"/>
      <c r="B42" s="865"/>
      <c r="C42" s="554"/>
      <c r="D42" s="870"/>
      <c r="E42" s="866"/>
      <c r="F42" s="361" t="s">
        <v>310</v>
      </c>
      <c r="G42" s="361" t="s">
        <v>311</v>
      </c>
      <c r="H42" s="362" t="s">
        <v>312</v>
      </c>
      <c r="I42" s="557" t="s">
        <v>313</v>
      </c>
      <c r="J42" s="558" t="s">
        <v>314</v>
      </c>
      <c r="K42" s="357"/>
      <c r="L42" s="357"/>
      <c r="M42" s="132"/>
      <c r="N42" s="132"/>
      <c r="O42" s="130"/>
      <c r="P42" s="125"/>
      <c r="S42" s="357"/>
      <c r="T42" s="578"/>
    </row>
    <row r="43" spans="1:20" s="1" customFormat="1" ht="68.25" customHeight="1">
      <c r="A43" s="888"/>
      <c r="B43" s="910" t="s">
        <v>439</v>
      </c>
      <c r="C43" s="549"/>
      <c r="D43" s="312" t="s">
        <v>363</v>
      </c>
      <c r="E43" s="311" t="s">
        <v>364</v>
      </c>
      <c r="F43" s="325" t="e">
        <f>+'MATRIZ GENERAL CONSOLIDADA'!#REF!</f>
        <v>#REF!</v>
      </c>
      <c r="G43" s="544" t="e">
        <f>+'MATRIZ GENERAL CONSOLIDADA'!#REF!</f>
        <v>#REF!</v>
      </c>
      <c r="H43" s="363" t="e">
        <f>+'MATRIZ GENERAL CONSOLIDADA'!#REF!</f>
        <v>#REF!</v>
      </c>
      <c r="I43" s="363" t="e">
        <f>+'MATRIZ GENERAL CONSOLIDADA'!#REF!</f>
        <v>#REF!</v>
      </c>
      <c r="J43" s="70" t="e">
        <f>+H43-I43</f>
        <v>#REF!</v>
      </c>
      <c r="K43" s="357"/>
      <c r="L43" s="357"/>
      <c r="M43" s="132"/>
      <c r="N43" s="132"/>
      <c r="O43" s="130"/>
      <c r="P43" s="125"/>
      <c r="S43" s="357"/>
      <c r="T43" s="578"/>
    </row>
    <row r="44" spans="1:20" s="1" customFormat="1" ht="33" customHeight="1">
      <c r="A44" s="888"/>
      <c r="B44" s="910"/>
      <c r="C44" s="549"/>
      <c r="D44" s="312" t="s">
        <v>451</v>
      </c>
      <c r="E44" s="311" t="s">
        <v>469</v>
      </c>
      <c r="F44" s="325" t="e">
        <f>+'MATRIZ GENERAL CONSOLIDADA'!#REF!</f>
        <v>#REF!</v>
      </c>
      <c r="G44" s="544" t="e">
        <f>+'MATRIZ GENERAL CONSOLIDADA'!#REF!</f>
        <v>#REF!</v>
      </c>
      <c r="H44" s="363" t="e">
        <f>+'MATRIZ GENERAL CONSOLIDADA'!#REF!</f>
        <v>#REF!</v>
      </c>
      <c r="I44" s="363" t="e">
        <f>+'MATRIZ GENERAL CONSOLIDADA'!#REF!</f>
        <v>#REF!</v>
      </c>
      <c r="J44" s="70" t="e">
        <f>+H44-I44</f>
        <v>#REF!</v>
      </c>
      <c r="K44" s="357"/>
      <c r="L44" s="357"/>
      <c r="M44" s="132"/>
      <c r="N44" s="132"/>
      <c r="O44" s="130"/>
      <c r="P44" s="300"/>
      <c r="S44" s="357"/>
      <c r="T44" s="578"/>
    </row>
    <row r="45" spans="1:20" s="1" customFormat="1" ht="22.5" customHeight="1">
      <c r="A45" s="888"/>
      <c r="B45" s="910"/>
      <c r="C45" s="550"/>
      <c r="D45" s="904" t="s">
        <v>319</v>
      </c>
      <c r="E45" s="904"/>
      <c r="F45" s="904"/>
      <c r="G45" s="904"/>
      <c r="H45" s="364" t="e">
        <f>SUM(H43:H44)</f>
        <v>#REF!</v>
      </c>
      <c r="I45" s="305"/>
      <c r="J45" s="864" t="e">
        <f>+H45-I46</f>
        <v>#REF!</v>
      </c>
      <c r="K45" s="357"/>
      <c r="L45" s="357"/>
      <c r="M45" s="132"/>
      <c r="N45" s="132"/>
      <c r="O45" s="130"/>
      <c r="P45" s="125"/>
      <c r="S45" s="357"/>
      <c r="T45" s="578"/>
    </row>
    <row r="46" spans="1:20" s="1" customFormat="1" ht="16.5" customHeight="1">
      <c r="A46" s="888"/>
      <c r="B46" s="910"/>
      <c r="C46" s="550"/>
      <c r="D46" s="904" t="s">
        <v>320</v>
      </c>
      <c r="E46" s="904"/>
      <c r="F46" s="904"/>
      <c r="G46" s="904"/>
      <c r="H46" s="904"/>
      <c r="I46" s="364" t="e">
        <f>SUM(I43:I45)</f>
        <v>#REF!</v>
      </c>
      <c r="J46" s="906"/>
      <c r="K46" s="357"/>
      <c r="L46" s="357"/>
      <c r="M46" s="132"/>
      <c r="N46" s="132"/>
      <c r="O46" s="130"/>
      <c r="P46" s="125"/>
      <c r="S46" s="357"/>
      <c r="T46" s="578"/>
    </row>
    <row r="47" spans="1:20" s="1" customFormat="1" ht="16.5" customHeight="1">
      <c r="A47" s="888"/>
      <c r="B47" s="910"/>
      <c r="C47" s="550"/>
      <c r="D47" s="904" t="s">
        <v>321</v>
      </c>
      <c r="E47" s="904"/>
      <c r="F47" s="904"/>
      <c r="G47" s="904"/>
      <c r="H47" s="904"/>
      <c r="I47" s="408" t="e">
        <f>+'Anexo 1 Matriz SINA Inf Gestión'!#REF!/100</f>
        <v>#REF!</v>
      </c>
      <c r="J47" s="906"/>
      <c r="K47" s="357"/>
      <c r="L47" s="357"/>
      <c r="M47" s="132"/>
      <c r="N47" s="132"/>
      <c r="O47" s="130"/>
      <c r="P47" s="125"/>
      <c r="S47" s="357"/>
      <c r="T47" s="578"/>
    </row>
    <row r="48" spans="1:20" s="1" customFormat="1" ht="16.5" customHeight="1">
      <c r="A48" s="888"/>
      <c r="B48" s="910"/>
      <c r="C48" s="550"/>
      <c r="D48" s="892" t="s">
        <v>479</v>
      </c>
      <c r="E48" s="893"/>
      <c r="F48" s="893"/>
      <c r="G48" s="893"/>
      <c r="H48" s="894"/>
      <c r="I48" s="408" t="e">
        <f>+'Anexo 1 Matriz SINA Inf Gestión'!#REF!/100</f>
        <v>#REF!</v>
      </c>
      <c r="J48" s="906"/>
      <c r="K48" s="357"/>
      <c r="L48" s="357"/>
      <c r="M48" s="132"/>
      <c r="N48" s="132"/>
      <c r="O48" s="130"/>
      <c r="P48" s="125"/>
      <c r="S48" s="357"/>
      <c r="T48" s="578"/>
    </row>
    <row r="49" spans="1:20" s="1" customFormat="1" ht="17.25" customHeight="1">
      <c r="A49" s="905" t="s">
        <v>305</v>
      </c>
      <c r="B49" s="865" t="s">
        <v>306</v>
      </c>
      <c r="C49" s="554"/>
      <c r="D49" s="869" t="s">
        <v>488</v>
      </c>
      <c r="E49" s="866" t="s">
        <v>95</v>
      </c>
      <c r="F49" s="866" t="s">
        <v>308</v>
      </c>
      <c r="G49" s="866"/>
      <c r="H49" s="895" t="s">
        <v>309</v>
      </c>
      <c r="I49" s="895"/>
      <c r="J49" s="896"/>
      <c r="K49" s="357"/>
      <c r="L49" s="357"/>
      <c r="M49" s="129"/>
      <c r="N49" s="129"/>
      <c r="O49" s="130"/>
      <c r="P49" s="125"/>
      <c r="S49" s="357"/>
      <c r="T49" s="578"/>
    </row>
    <row r="50" spans="1:20" s="1" customFormat="1" ht="51.75" customHeight="1">
      <c r="A50" s="905"/>
      <c r="B50" s="865"/>
      <c r="C50" s="554"/>
      <c r="D50" s="870"/>
      <c r="E50" s="866"/>
      <c r="F50" s="361" t="s">
        <v>310</v>
      </c>
      <c r="G50" s="361" t="s">
        <v>311</v>
      </c>
      <c r="H50" s="362" t="s">
        <v>312</v>
      </c>
      <c r="I50" s="557" t="s">
        <v>313</v>
      </c>
      <c r="J50" s="558" t="s">
        <v>314</v>
      </c>
      <c r="K50" s="357"/>
      <c r="L50" s="357"/>
      <c r="M50" s="129"/>
      <c r="N50" s="129"/>
      <c r="O50" s="130"/>
      <c r="P50" s="125"/>
      <c r="S50" s="357"/>
      <c r="T50" s="578"/>
    </row>
    <row r="51" spans="1:20" s="1" customFormat="1" ht="57.75" customHeight="1">
      <c r="A51" s="887" t="s">
        <v>440</v>
      </c>
      <c r="B51" s="910" t="s">
        <v>446</v>
      </c>
      <c r="C51" s="549"/>
      <c r="D51" s="302" t="s">
        <v>452</v>
      </c>
      <c r="E51" s="304" t="s">
        <v>1</v>
      </c>
      <c r="F51" s="325">
        <f>+'MATRIZ GENERAL CONSOLIDADA'!D29</f>
        <v>400</v>
      </c>
      <c r="G51" s="304">
        <f>+'MATRIZ GENERAL CONSOLIDADA'!F29</f>
        <v>45</v>
      </c>
      <c r="H51" s="363">
        <f>+'MATRIZ GENERAL CONSOLIDADA'!E29</f>
        <v>1250457176</v>
      </c>
      <c r="I51" s="363">
        <f>+'MATRIZ GENERAL CONSOLIDADA'!G29</f>
        <v>29995410</v>
      </c>
      <c r="J51" s="70">
        <v>0</v>
      </c>
      <c r="K51" s="357"/>
      <c r="L51" s="357"/>
      <c r="M51" s="133">
        <v>75206</v>
      </c>
      <c r="N51" s="129">
        <v>340671</v>
      </c>
      <c r="O51" s="130"/>
      <c r="P51" s="125"/>
      <c r="Q51" s="1">
        <v>0</v>
      </c>
      <c r="S51" s="357"/>
      <c r="T51" s="578"/>
    </row>
    <row r="52" spans="1:20" s="1" customFormat="1" ht="59.25" customHeight="1">
      <c r="A52" s="888"/>
      <c r="B52" s="910"/>
      <c r="C52" s="549"/>
      <c r="D52" s="307" t="s">
        <v>368</v>
      </c>
      <c r="E52" s="304" t="s">
        <v>433</v>
      </c>
      <c r="F52" s="325">
        <f>+'MATRIZ GENERAL CONSOLIDADA'!D30</f>
        <v>100</v>
      </c>
      <c r="G52" s="304">
        <f>+'MATRIZ GENERAL CONSOLIDADA'!F30</f>
        <v>1728</v>
      </c>
      <c r="H52" s="363">
        <f>+'MATRIZ GENERAL CONSOLIDADA'!E30</f>
        <v>618265107</v>
      </c>
      <c r="I52" s="363">
        <f>+'MATRIZ GENERAL CONSOLIDADA'!G30</f>
        <v>30120000</v>
      </c>
      <c r="J52" s="70">
        <v>0</v>
      </c>
      <c r="K52" s="357"/>
      <c r="L52" s="357"/>
      <c r="M52" s="133"/>
      <c r="N52" s="129"/>
      <c r="O52" s="130"/>
      <c r="P52" s="125"/>
      <c r="Q52" s="437">
        <v>0</v>
      </c>
      <c r="S52" s="357"/>
      <c r="T52" s="592">
        <f>+G52/F52</f>
        <v>17.28</v>
      </c>
    </row>
    <row r="53" spans="1:20" s="1" customFormat="1" ht="47.25" customHeight="1">
      <c r="A53" s="888"/>
      <c r="B53" s="910"/>
      <c r="C53" s="549"/>
      <c r="D53" s="307" t="s">
        <v>369</v>
      </c>
      <c r="E53" s="304" t="s">
        <v>456</v>
      </c>
      <c r="F53" s="325">
        <f>+'MATRIZ GENERAL CONSOLIDADA'!D31</f>
        <v>3</v>
      </c>
      <c r="G53" s="304">
        <f>+'MATRIZ GENERAL CONSOLIDADA'!F31</f>
        <v>0</v>
      </c>
      <c r="H53" s="363">
        <f>+'MATRIZ GENERAL CONSOLIDADA'!E31</f>
        <v>98210596</v>
      </c>
      <c r="I53" s="363">
        <f>+'MATRIZ GENERAL CONSOLIDADA'!G31</f>
        <v>19398096</v>
      </c>
      <c r="J53" s="70"/>
      <c r="K53" s="357"/>
      <c r="L53" s="357"/>
      <c r="M53" s="133"/>
      <c r="N53" s="129"/>
      <c r="O53" s="130"/>
      <c r="P53" s="125"/>
      <c r="S53" s="357"/>
      <c r="T53" s="578"/>
    </row>
    <row r="54" spans="1:20" s="1" customFormat="1" ht="45" customHeight="1">
      <c r="A54" s="888"/>
      <c r="B54" s="910"/>
      <c r="C54" s="549"/>
      <c r="D54" s="307" t="s">
        <v>370</v>
      </c>
      <c r="E54" s="304" t="s">
        <v>466</v>
      </c>
      <c r="F54" s="325" t="e">
        <f>+'MATRIZ GENERAL CONSOLIDADA'!#REF!</f>
        <v>#REF!</v>
      </c>
      <c r="G54" s="304" t="e">
        <f>+'MATRIZ GENERAL CONSOLIDADA'!#REF!</f>
        <v>#REF!</v>
      </c>
      <c r="H54" s="363" t="e">
        <f>+'MATRIZ GENERAL CONSOLIDADA'!#REF!</f>
        <v>#REF!</v>
      </c>
      <c r="I54" s="363" t="e">
        <f>+'MATRIZ GENERAL CONSOLIDADA'!#REF!</f>
        <v>#REF!</v>
      </c>
      <c r="J54" s="70" t="e">
        <f>+H54-I54</f>
        <v>#REF!</v>
      </c>
      <c r="K54" s="357"/>
      <c r="L54" s="357"/>
      <c r="M54" s="133"/>
      <c r="N54" s="129"/>
      <c r="O54" s="130"/>
      <c r="P54" s="125"/>
      <c r="S54" s="357"/>
      <c r="T54" s="578"/>
    </row>
    <row r="55" spans="1:20" s="1" customFormat="1" ht="42.75" customHeight="1">
      <c r="A55" s="888"/>
      <c r="B55" s="910"/>
      <c r="C55" s="549"/>
      <c r="D55" s="307" t="s">
        <v>371</v>
      </c>
      <c r="E55" s="304" t="s">
        <v>189</v>
      </c>
      <c r="F55" s="325" t="e">
        <f>+'MATRIZ GENERAL CONSOLIDADA'!#REF!</f>
        <v>#REF!</v>
      </c>
      <c r="G55" s="304" t="e">
        <f>+'MATRIZ GENERAL CONSOLIDADA'!#REF!</f>
        <v>#REF!</v>
      </c>
      <c r="H55" s="363" t="e">
        <f>+'MATRIZ GENERAL CONSOLIDADA'!#REF!</f>
        <v>#REF!</v>
      </c>
      <c r="I55" s="363" t="e">
        <f>+'MATRIZ GENERAL CONSOLIDADA'!#REF!</f>
        <v>#REF!</v>
      </c>
      <c r="J55" s="70" t="e">
        <f t="shared" ref="J55:J60" si="2">+H55-I55</f>
        <v>#REF!</v>
      </c>
      <c r="K55" s="357"/>
      <c r="L55" s="357"/>
      <c r="M55" s="133"/>
      <c r="N55" s="129"/>
      <c r="O55" s="130"/>
      <c r="P55" s="125"/>
      <c r="S55" s="357"/>
      <c r="T55" s="578"/>
    </row>
    <row r="56" spans="1:20" s="1" customFormat="1" ht="39" customHeight="1">
      <c r="A56" s="888"/>
      <c r="B56" s="910"/>
      <c r="C56" s="549"/>
      <c r="D56" s="307" t="s">
        <v>474</v>
      </c>
      <c r="E56" s="304" t="s">
        <v>475</v>
      </c>
      <c r="F56" s="325" t="e">
        <f>+'MATRIZ GENERAL CONSOLIDADA'!#REF!</f>
        <v>#REF!</v>
      </c>
      <c r="G56" s="304" t="e">
        <f>+'MATRIZ GENERAL CONSOLIDADA'!#REF!</f>
        <v>#REF!</v>
      </c>
      <c r="H56" s="363" t="e">
        <f>+'MATRIZ GENERAL CONSOLIDADA'!#REF!</f>
        <v>#REF!</v>
      </c>
      <c r="I56" s="363" t="e">
        <f>+'MATRIZ GENERAL CONSOLIDADA'!#REF!</f>
        <v>#REF!</v>
      </c>
      <c r="J56" s="70" t="e">
        <f t="shared" si="2"/>
        <v>#REF!</v>
      </c>
      <c r="K56" s="357"/>
      <c r="L56" s="357"/>
      <c r="M56" s="133"/>
      <c r="N56" s="129"/>
      <c r="O56" s="130"/>
      <c r="P56" s="125"/>
      <c r="S56" s="357"/>
      <c r="T56" s="578"/>
    </row>
    <row r="57" spans="1:20" s="1" customFormat="1" ht="39" customHeight="1">
      <c r="A57" s="888"/>
      <c r="B57" s="910"/>
      <c r="C57" s="549"/>
      <c r="D57" s="279" t="s">
        <v>484</v>
      </c>
      <c r="E57" s="167" t="s">
        <v>1</v>
      </c>
      <c r="F57" s="325" t="e">
        <f>+'MATRIZ GENERAL CONSOLIDADA'!#REF!</f>
        <v>#REF!</v>
      </c>
      <c r="G57" s="304" t="e">
        <f>+'MATRIZ GENERAL CONSOLIDADA'!#REF!</f>
        <v>#REF!</v>
      </c>
      <c r="H57" s="363" t="e">
        <f>+'MATRIZ GENERAL CONSOLIDADA'!#REF!</f>
        <v>#REF!</v>
      </c>
      <c r="I57" s="363" t="e">
        <f>+'MATRIZ GENERAL CONSOLIDADA'!#REF!</f>
        <v>#REF!</v>
      </c>
      <c r="J57" s="70"/>
      <c r="K57" s="357"/>
      <c r="L57" s="357"/>
      <c r="M57" s="133"/>
      <c r="N57" s="129"/>
      <c r="O57" s="130"/>
      <c r="P57" s="125"/>
      <c r="S57" s="357"/>
      <c r="T57" s="578"/>
    </row>
    <row r="58" spans="1:20" s="1" customFormat="1" ht="39" customHeight="1">
      <c r="A58" s="888"/>
      <c r="B58" s="910"/>
      <c r="C58" s="549"/>
      <c r="D58" s="276" t="s">
        <v>372</v>
      </c>
      <c r="E58" s="167" t="s">
        <v>132</v>
      </c>
      <c r="F58" s="325" t="e">
        <f>+'MATRIZ GENERAL CONSOLIDADA'!#REF!</f>
        <v>#REF!</v>
      </c>
      <c r="G58" s="304" t="e">
        <f>+'MATRIZ GENERAL CONSOLIDADA'!#REF!</f>
        <v>#REF!</v>
      </c>
      <c r="H58" s="363" t="e">
        <f>+'MATRIZ GENERAL CONSOLIDADA'!#REF!</f>
        <v>#REF!</v>
      </c>
      <c r="I58" s="363" t="e">
        <f>+'MATRIZ GENERAL CONSOLIDADA'!#REF!</f>
        <v>#REF!</v>
      </c>
      <c r="J58" s="70"/>
      <c r="K58" s="357"/>
      <c r="L58" s="357"/>
      <c r="M58" s="133"/>
      <c r="N58" s="129"/>
      <c r="O58" s="130"/>
      <c r="P58" s="125"/>
      <c r="S58" s="357"/>
      <c r="T58" s="578"/>
    </row>
    <row r="59" spans="1:20" s="1" customFormat="1" ht="40.5" customHeight="1">
      <c r="A59" s="888"/>
      <c r="B59" s="910"/>
      <c r="C59" s="549"/>
      <c r="D59" s="310" t="s">
        <v>367</v>
      </c>
      <c r="E59" s="304" t="s">
        <v>1</v>
      </c>
      <c r="F59" s="325" t="e">
        <f>+'MATRIZ GENERAL CONSOLIDADA'!#REF!</f>
        <v>#REF!</v>
      </c>
      <c r="G59" s="304" t="e">
        <f>+'MATRIZ GENERAL CONSOLIDADA'!#REF!</f>
        <v>#REF!</v>
      </c>
      <c r="H59" s="363" t="e">
        <f>+'MATRIZ GENERAL CONSOLIDADA'!#REF!</f>
        <v>#REF!</v>
      </c>
      <c r="I59" s="363" t="e">
        <f>+'MATRIZ GENERAL CONSOLIDADA'!#REF!</f>
        <v>#REF!</v>
      </c>
      <c r="J59" s="70" t="e">
        <f t="shared" si="2"/>
        <v>#REF!</v>
      </c>
      <c r="K59" s="357"/>
      <c r="L59" s="357"/>
      <c r="M59" s="133"/>
      <c r="N59" s="129"/>
      <c r="O59" s="130"/>
      <c r="P59" s="125"/>
      <c r="S59" s="357"/>
      <c r="T59" s="578"/>
    </row>
    <row r="60" spans="1:20" s="1" customFormat="1" ht="37.5" customHeight="1">
      <c r="A60" s="888"/>
      <c r="B60" s="910"/>
      <c r="C60" s="549"/>
      <c r="D60" s="307" t="s">
        <v>373</v>
      </c>
      <c r="E60" s="304" t="s">
        <v>374</v>
      </c>
      <c r="F60" s="325" t="e">
        <f>+'MATRIZ GENERAL CONSOLIDADA'!#REF!</f>
        <v>#REF!</v>
      </c>
      <c r="G60" s="304" t="e">
        <f>+'MATRIZ GENERAL CONSOLIDADA'!#REF!</f>
        <v>#REF!</v>
      </c>
      <c r="H60" s="363" t="e">
        <f>+'MATRIZ GENERAL CONSOLIDADA'!#REF!</f>
        <v>#REF!</v>
      </c>
      <c r="I60" s="363" t="e">
        <f>+'MATRIZ GENERAL CONSOLIDADA'!#REF!</f>
        <v>#REF!</v>
      </c>
      <c r="J60" s="70" t="e">
        <f t="shared" si="2"/>
        <v>#REF!</v>
      </c>
      <c r="K60" s="357"/>
      <c r="L60" s="357"/>
      <c r="M60" s="133"/>
      <c r="N60" s="129"/>
      <c r="O60" s="130"/>
      <c r="P60" s="125"/>
      <c r="S60" s="357"/>
      <c r="T60" s="578"/>
    </row>
    <row r="61" spans="1:20" s="1" customFormat="1" ht="37.5" customHeight="1">
      <c r="A61" s="888"/>
      <c r="B61" s="910"/>
      <c r="C61" s="549"/>
      <c r="D61" s="307" t="s">
        <v>470</v>
      </c>
      <c r="E61" s="304" t="s">
        <v>471</v>
      </c>
      <c r="F61" s="325" t="e">
        <f>+'MATRIZ GENERAL CONSOLIDADA'!#REF!</f>
        <v>#REF!</v>
      </c>
      <c r="G61" s="304" t="e">
        <f>+'MATRIZ GENERAL CONSOLIDADA'!#REF!</f>
        <v>#REF!</v>
      </c>
      <c r="H61" s="363" t="e">
        <f>+'MATRIZ GENERAL CONSOLIDADA'!#REF!</f>
        <v>#REF!</v>
      </c>
      <c r="I61" s="363" t="e">
        <f>+'MATRIZ GENERAL CONSOLIDADA'!#REF!</f>
        <v>#REF!</v>
      </c>
      <c r="J61" s="70"/>
      <c r="K61" s="357"/>
      <c r="L61" s="357"/>
      <c r="M61" s="133"/>
      <c r="N61" s="129"/>
      <c r="O61" s="130"/>
      <c r="P61" s="125"/>
      <c r="S61" s="357"/>
      <c r="T61" s="578"/>
    </row>
    <row r="62" spans="1:20" s="1" customFormat="1" ht="24" customHeight="1">
      <c r="A62" s="888"/>
      <c r="B62" s="910"/>
      <c r="C62" s="550"/>
      <c r="D62" s="859" t="s">
        <v>319</v>
      </c>
      <c r="E62" s="859"/>
      <c r="F62" s="859"/>
      <c r="G62" s="859"/>
      <c r="H62" s="364" t="e">
        <f>SUM(H51:H61)</f>
        <v>#REF!</v>
      </c>
      <c r="I62" s="305"/>
      <c r="J62" s="864" t="e">
        <f>+H62-I62</f>
        <v>#REF!</v>
      </c>
      <c r="K62" s="131"/>
      <c r="L62" s="357"/>
      <c r="M62" s="129"/>
      <c r="N62" s="129"/>
      <c r="O62" s="130"/>
      <c r="P62" s="125"/>
      <c r="S62" s="357"/>
      <c r="T62" s="578"/>
    </row>
    <row r="63" spans="1:20" s="1" customFormat="1" ht="16.5" customHeight="1">
      <c r="A63" s="888"/>
      <c r="B63" s="910"/>
      <c r="C63" s="550"/>
      <c r="D63" s="859" t="s">
        <v>320</v>
      </c>
      <c r="E63" s="859"/>
      <c r="F63" s="859"/>
      <c r="G63" s="859"/>
      <c r="H63" s="859"/>
      <c r="I63" s="364" t="e">
        <f>SUM(I51:I62)</f>
        <v>#REF!</v>
      </c>
      <c r="J63" s="864"/>
      <c r="K63" s="131"/>
      <c r="L63" s="357"/>
      <c r="M63" s="129"/>
      <c r="N63" s="129"/>
      <c r="O63" s="130"/>
      <c r="P63" s="125"/>
      <c r="S63" s="357"/>
      <c r="T63" s="578"/>
    </row>
    <row r="64" spans="1:20" s="1" customFormat="1" ht="16.5" customHeight="1">
      <c r="A64" s="888"/>
      <c r="B64" s="910"/>
      <c r="C64" s="551"/>
      <c r="D64" s="860" t="s">
        <v>321</v>
      </c>
      <c r="E64" s="904"/>
      <c r="F64" s="904"/>
      <c r="G64" s="904"/>
      <c r="H64" s="904"/>
      <c r="I64" s="408">
        <f>+'Anexo 1 Matriz SINA Inf Gestión'!Q29/100</f>
        <v>4.0425124237297369E-2</v>
      </c>
      <c r="J64" s="864"/>
      <c r="K64" s="131"/>
      <c r="L64" s="357"/>
      <c r="M64" s="129"/>
      <c r="N64" s="129"/>
      <c r="O64" s="130"/>
      <c r="P64" s="125"/>
      <c r="S64" s="357"/>
      <c r="T64" s="578"/>
    </row>
    <row r="65" spans="1:20" s="1" customFormat="1" ht="16.5" customHeight="1">
      <c r="A65" s="888"/>
      <c r="B65" s="910"/>
      <c r="C65" s="551"/>
      <c r="D65" s="861" t="s">
        <v>479</v>
      </c>
      <c r="E65" s="862"/>
      <c r="F65" s="862"/>
      <c r="G65" s="862"/>
      <c r="H65" s="863"/>
      <c r="I65" s="529">
        <f>+'Anexo 1 Matriz SINA Inf Gestión'!J29/100</f>
        <v>3.5248508946322068</v>
      </c>
      <c r="J65" s="864"/>
      <c r="K65" s="131"/>
      <c r="L65" s="357"/>
      <c r="M65" s="129"/>
      <c r="N65" s="129"/>
      <c r="O65" s="130"/>
      <c r="P65" s="125"/>
      <c r="S65" s="357"/>
      <c r="T65" s="578"/>
    </row>
    <row r="66" spans="1:20" s="1" customFormat="1" ht="33.75" customHeight="1">
      <c r="A66" s="888"/>
      <c r="B66" s="865" t="s">
        <v>306</v>
      </c>
      <c r="C66" s="554"/>
      <c r="D66" s="869" t="s">
        <v>488</v>
      </c>
      <c r="E66" s="866" t="s">
        <v>95</v>
      </c>
      <c r="F66" s="866" t="s">
        <v>308</v>
      </c>
      <c r="G66" s="866"/>
      <c r="H66" s="895" t="s">
        <v>246</v>
      </c>
      <c r="I66" s="895"/>
      <c r="J66" s="896"/>
      <c r="K66" s="357"/>
      <c r="L66" s="357"/>
      <c r="M66" s="129"/>
      <c r="N66" s="129"/>
      <c r="O66" s="130"/>
      <c r="P66" s="125"/>
      <c r="S66" s="357"/>
      <c r="T66" s="578"/>
    </row>
    <row r="67" spans="1:20" s="1" customFormat="1" ht="27" customHeight="1">
      <c r="A67" s="888"/>
      <c r="B67" s="865"/>
      <c r="C67" s="554"/>
      <c r="D67" s="870"/>
      <c r="E67" s="866"/>
      <c r="F67" s="361" t="s">
        <v>310</v>
      </c>
      <c r="G67" s="361" t="s">
        <v>311</v>
      </c>
      <c r="H67" s="362" t="s">
        <v>312</v>
      </c>
      <c r="I67" s="557" t="s">
        <v>313</v>
      </c>
      <c r="J67" s="558" t="s">
        <v>314</v>
      </c>
      <c r="K67" s="357"/>
      <c r="L67" s="357"/>
      <c r="M67" s="129"/>
      <c r="N67" s="129"/>
      <c r="O67" s="130"/>
      <c r="P67" s="125"/>
      <c r="S67" s="357"/>
      <c r="T67" s="578"/>
    </row>
    <row r="68" spans="1:20" s="1" customFormat="1" ht="34.5" customHeight="1">
      <c r="A68" s="888"/>
      <c r="B68" s="851" t="s">
        <v>486</v>
      </c>
      <c r="C68" s="548"/>
      <c r="D68" s="335" t="s">
        <v>375</v>
      </c>
      <c r="E68" s="304" t="s">
        <v>1</v>
      </c>
      <c r="F68" s="367">
        <f>+'MATRIZ GENERAL CONSOLIDADA'!D33</f>
        <v>100</v>
      </c>
      <c r="G68" s="471">
        <f>+'MATRIZ GENERAL CONSOLIDADA'!F33</f>
        <v>0</v>
      </c>
      <c r="H68" s="368">
        <f>+'MATRIZ GENERAL CONSOLIDADA'!E33</f>
        <v>1682421669</v>
      </c>
      <c r="I68" s="368">
        <f>+'MATRIZ GENERAL CONSOLIDADA'!G33</f>
        <v>110640800</v>
      </c>
      <c r="J68" s="70">
        <f t="shared" ref="J68:J75" si="3">+H68-I68</f>
        <v>1571780869</v>
      </c>
      <c r="K68" s="357"/>
      <c r="L68" s="357"/>
      <c r="M68" s="129"/>
      <c r="N68" s="129"/>
      <c r="O68" s="130"/>
      <c r="P68" s="125"/>
      <c r="S68" s="357"/>
      <c r="T68" s="578"/>
    </row>
    <row r="69" spans="1:20" s="1" customFormat="1" ht="32.25" customHeight="1">
      <c r="A69" s="888"/>
      <c r="B69" s="851"/>
      <c r="C69" s="548"/>
      <c r="D69" s="332" t="s">
        <v>476</v>
      </c>
      <c r="E69" s="304" t="s">
        <v>433</v>
      </c>
      <c r="F69" s="367">
        <f>+'MATRIZ GENERAL CONSOLIDADA'!D34</f>
        <v>99948</v>
      </c>
      <c r="G69" s="471">
        <f>+'MATRIZ GENERAL CONSOLIDADA'!F34</f>
        <v>0</v>
      </c>
      <c r="H69" s="368">
        <f>+'MATRIZ GENERAL CONSOLIDADA'!E34</f>
        <v>98210596</v>
      </c>
      <c r="I69" s="368">
        <f>+'MATRIZ GENERAL CONSOLIDADA'!G34</f>
        <v>19398096</v>
      </c>
      <c r="J69" s="70">
        <f t="shared" si="3"/>
        <v>78812500</v>
      </c>
      <c r="K69" s="357"/>
      <c r="L69" s="357"/>
      <c r="M69" s="129"/>
      <c r="N69" s="129"/>
      <c r="O69" s="130"/>
      <c r="P69" s="125"/>
      <c r="S69" s="357"/>
      <c r="T69" s="593">
        <f>+G69/F69</f>
        <v>0</v>
      </c>
    </row>
    <row r="70" spans="1:20" s="1" customFormat="1" ht="32.25" customHeight="1">
      <c r="A70" s="888"/>
      <c r="B70" s="851"/>
      <c r="C70" s="548"/>
      <c r="D70" s="332" t="s">
        <v>477</v>
      </c>
      <c r="E70" s="304" t="s">
        <v>433</v>
      </c>
      <c r="F70" s="367" t="e">
        <f>+'MATRIZ GENERAL CONSOLIDADA'!#REF!</f>
        <v>#REF!</v>
      </c>
      <c r="G70" s="471" t="e">
        <f>+'MATRIZ GENERAL CONSOLIDADA'!#REF!</f>
        <v>#REF!</v>
      </c>
      <c r="H70" s="368" t="e">
        <f>+'MATRIZ GENERAL CONSOLIDADA'!#REF!</f>
        <v>#REF!</v>
      </c>
      <c r="I70" s="368" t="e">
        <f>+'MATRIZ GENERAL CONSOLIDADA'!#REF!</f>
        <v>#REF!</v>
      </c>
      <c r="J70" s="70" t="e">
        <f t="shared" si="3"/>
        <v>#REF!</v>
      </c>
      <c r="K70" s="357"/>
      <c r="L70" s="357"/>
      <c r="M70" s="129"/>
      <c r="N70" s="129"/>
      <c r="O70" s="130"/>
      <c r="P70" s="125"/>
      <c r="R70" s="357"/>
      <c r="S70" s="357"/>
      <c r="T70" s="591" t="e">
        <f>+G70/F70</f>
        <v>#REF!</v>
      </c>
    </row>
    <row r="71" spans="1:20" s="1" customFormat="1" ht="32.25" customHeight="1">
      <c r="A71" s="888"/>
      <c r="B71" s="851"/>
      <c r="C71" s="548"/>
      <c r="D71" s="335" t="s">
        <v>376</v>
      </c>
      <c r="E71" s="304" t="s">
        <v>1</v>
      </c>
      <c r="F71" s="367" t="e">
        <f>+'MATRIZ GENERAL CONSOLIDADA'!#REF!</f>
        <v>#REF!</v>
      </c>
      <c r="G71" s="471" t="e">
        <f>+'MATRIZ GENERAL CONSOLIDADA'!#REF!</f>
        <v>#REF!</v>
      </c>
      <c r="H71" s="368" t="e">
        <f>+'MATRIZ GENERAL CONSOLIDADA'!#REF!</f>
        <v>#REF!</v>
      </c>
      <c r="I71" s="368" t="e">
        <f>+'MATRIZ GENERAL CONSOLIDADA'!#REF!</f>
        <v>#REF!</v>
      </c>
      <c r="J71" s="70" t="e">
        <f t="shared" si="3"/>
        <v>#REF!</v>
      </c>
      <c r="K71" s="357"/>
      <c r="L71" s="357"/>
      <c r="M71" s="129"/>
      <c r="N71" s="129"/>
      <c r="O71" s="130"/>
      <c r="P71" s="125"/>
      <c r="Q71" s="437">
        <v>64</v>
      </c>
      <c r="R71" s="1">
        <v>15.636704119850187</v>
      </c>
      <c r="S71" s="357"/>
      <c r="T71" s="578"/>
    </row>
    <row r="72" spans="1:20" s="1" customFormat="1" ht="36" customHeight="1">
      <c r="A72" s="888"/>
      <c r="B72" s="851"/>
      <c r="C72" s="548"/>
      <c r="D72" s="332" t="s">
        <v>378</v>
      </c>
      <c r="E72" s="304" t="s">
        <v>187</v>
      </c>
      <c r="F72" s="367" t="e">
        <f>+'MATRIZ GENERAL CONSOLIDADA'!#REF!</f>
        <v>#REF!</v>
      </c>
      <c r="G72" s="471" t="e">
        <f>+'MATRIZ GENERAL CONSOLIDADA'!#REF!</f>
        <v>#REF!</v>
      </c>
      <c r="H72" s="368" t="e">
        <f>+'MATRIZ GENERAL CONSOLIDADA'!#REF!</f>
        <v>#REF!</v>
      </c>
      <c r="I72" s="368" t="e">
        <f>+'MATRIZ GENERAL CONSOLIDADA'!#REF!</f>
        <v>#REF!</v>
      </c>
      <c r="J72" s="70" t="e">
        <f t="shared" si="3"/>
        <v>#REF!</v>
      </c>
      <c r="K72" s="357"/>
      <c r="L72" s="357"/>
      <c r="M72" s="129"/>
      <c r="N72" s="129"/>
      <c r="O72" s="130"/>
      <c r="P72" s="300"/>
      <c r="Q72" s="437">
        <v>62.546816479400746</v>
      </c>
      <c r="R72" s="1">
        <v>18.25</v>
      </c>
      <c r="S72" s="357"/>
      <c r="T72" s="591" t="e">
        <f>+G72/F72</f>
        <v>#REF!</v>
      </c>
    </row>
    <row r="73" spans="1:20" s="1" customFormat="1" ht="36" customHeight="1">
      <c r="A73" s="888"/>
      <c r="B73" s="851"/>
      <c r="C73" s="548"/>
      <c r="D73" s="335" t="s">
        <v>377</v>
      </c>
      <c r="E73" s="304" t="s">
        <v>179</v>
      </c>
      <c r="F73" s="367" t="e">
        <f>+'MATRIZ GENERAL CONSOLIDADA'!#REF!</f>
        <v>#REF!</v>
      </c>
      <c r="G73" s="471" t="e">
        <f>+'MATRIZ GENERAL CONSOLIDADA'!#REF!</f>
        <v>#REF!</v>
      </c>
      <c r="H73" s="368" t="e">
        <f>+'MATRIZ GENERAL CONSOLIDADA'!#REF!</f>
        <v>#REF!</v>
      </c>
      <c r="I73" s="368" t="e">
        <f>+'MATRIZ GENERAL CONSOLIDADA'!#REF!</f>
        <v>#REF!</v>
      </c>
      <c r="J73" s="70" t="e">
        <f t="shared" si="3"/>
        <v>#REF!</v>
      </c>
      <c r="K73" s="357"/>
      <c r="L73" s="357"/>
      <c r="M73" s="129"/>
      <c r="N73" s="129"/>
      <c r="O73" s="130"/>
      <c r="P73" s="125"/>
      <c r="Q73" s="1">
        <v>75</v>
      </c>
      <c r="S73" s="357"/>
      <c r="T73" s="578"/>
    </row>
    <row r="74" spans="1:20" s="1" customFormat="1" ht="36" customHeight="1">
      <c r="A74" s="888"/>
      <c r="B74" s="851"/>
      <c r="C74" s="548"/>
      <c r="D74" s="332" t="s">
        <v>435</v>
      </c>
      <c r="E74" s="304" t="s">
        <v>374</v>
      </c>
      <c r="F74" s="367" t="e">
        <f>+'MATRIZ GENERAL CONSOLIDADA'!#REF!</f>
        <v>#REF!</v>
      </c>
      <c r="G74" s="470" t="e">
        <f>+'MATRIZ GENERAL CONSOLIDADA'!#REF!</f>
        <v>#REF!</v>
      </c>
      <c r="H74" s="368" t="e">
        <f>+'MATRIZ GENERAL CONSOLIDADA'!#REF!</f>
        <v>#REF!</v>
      </c>
      <c r="I74" s="368" t="e">
        <f>+'MATRIZ GENERAL CONSOLIDADA'!#REF!</f>
        <v>#REF!</v>
      </c>
      <c r="J74" s="70" t="e">
        <f t="shared" si="3"/>
        <v>#REF!</v>
      </c>
      <c r="K74" s="357"/>
      <c r="L74" s="357"/>
      <c r="M74" s="129"/>
      <c r="N74" s="129"/>
      <c r="O74" s="130"/>
      <c r="P74" s="125"/>
      <c r="Q74" s="1">
        <v>75</v>
      </c>
      <c r="S74" s="357"/>
      <c r="T74" s="578"/>
    </row>
    <row r="75" spans="1:20" s="1" customFormat="1" ht="36" customHeight="1">
      <c r="A75" s="888"/>
      <c r="B75" s="851"/>
      <c r="C75" s="550"/>
      <c r="D75" s="369" t="s">
        <v>470</v>
      </c>
      <c r="E75" s="304" t="s">
        <v>471</v>
      </c>
      <c r="F75" s="367" t="e">
        <f>+'MATRIZ GENERAL CONSOLIDADA'!#REF!</f>
        <v>#REF!</v>
      </c>
      <c r="G75" s="471" t="e">
        <f>+'MATRIZ GENERAL CONSOLIDADA'!#REF!</f>
        <v>#REF!</v>
      </c>
      <c r="H75" s="368" t="e">
        <f>+'MATRIZ GENERAL CONSOLIDADA'!#REF!</f>
        <v>#REF!</v>
      </c>
      <c r="I75" s="368" t="e">
        <f>+'MATRIZ GENERAL CONSOLIDADA'!#REF!</f>
        <v>#REF!</v>
      </c>
      <c r="J75" s="70" t="e">
        <f t="shared" si="3"/>
        <v>#REF!</v>
      </c>
      <c r="K75" s="357"/>
      <c r="L75" s="357"/>
      <c r="M75" s="129"/>
      <c r="N75" s="129"/>
      <c r="O75" s="130"/>
      <c r="P75" s="125"/>
      <c r="S75" s="357"/>
      <c r="T75" s="578"/>
    </row>
    <row r="76" spans="1:20" s="1" customFormat="1" ht="20.25" customHeight="1">
      <c r="A76" s="888"/>
      <c r="B76" s="851"/>
      <c r="C76" s="550"/>
      <c r="D76" s="859" t="s">
        <v>319</v>
      </c>
      <c r="E76" s="859"/>
      <c r="F76" s="859"/>
      <c r="G76" s="859"/>
      <c r="H76" s="364" t="e">
        <f>SUM(H68:H75)</f>
        <v>#REF!</v>
      </c>
      <c r="I76" s="370"/>
      <c r="J76" s="864" t="e">
        <f>+H76-I77</f>
        <v>#REF!</v>
      </c>
      <c r="K76" s="357"/>
      <c r="L76" s="357"/>
      <c r="M76" s="129"/>
      <c r="N76" s="129"/>
      <c r="O76" s="130"/>
      <c r="P76" s="125"/>
      <c r="S76" s="357"/>
      <c r="T76" s="578"/>
    </row>
    <row r="77" spans="1:20" s="1" customFormat="1" ht="20.25" customHeight="1">
      <c r="A77" s="888"/>
      <c r="B77" s="910"/>
      <c r="C77" s="550"/>
      <c r="D77" s="859" t="s">
        <v>320</v>
      </c>
      <c r="E77" s="859"/>
      <c r="F77" s="859"/>
      <c r="G77" s="859"/>
      <c r="H77" s="859"/>
      <c r="I77" s="371" t="e">
        <f>SUM(I68:I76)</f>
        <v>#REF!</v>
      </c>
      <c r="J77" s="864"/>
      <c r="K77" s="357"/>
      <c r="L77" s="357"/>
      <c r="M77" s="129"/>
      <c r="N77" s="129"/>
      <c r="O77" s="130"/>
      <c r="P77" s="125"/>
      <c r="S77" s="357"/>
      <c r="T77" s="578"/>
    </row>
    <row r="78" spans="1:20" s="1" customFormat="1" ht="20.25" customHeight="1">
      <c r="A78" s="888"/>
      <c r="B78" s="874"/>
      <c r="C78" s="551"/>
      <c r="D78" s="860" t="s">
        <v>321</v>
      </c>
      <c r="E78" s="860"/>
      <c r="F78" s="860"/>
      <c r="G78" s="860"/>
      <c r="H78" s="860"/>
      <c r="I78" s="408">
        <f>+'Anexo 1 Matriz SINA Inf Gestión'!Q33/100</f>
        <v>7.3029619060620582E-2</v>
      </c>
      <c r="J78" s="864"/>
      <c r="K78" s="357"/>
      <c r="L78" s="357"/>
      <c r="M78" s="129"/>
      <c r="N78" s="129"/>
      <c r="O78" s="130"/>
      <c r="P78" s="125"/>
      <c r="S78" s="357"/>
      <c r="T78" s="578"/>
    </row>
    <row r="79" spans="1:20" s="1" customFormat="1" ht="20.25" customHeight="1">
      <c r="A79" s="888"/>
      <c r="B79" s="874"/>
      <c r="C79" s="551"/>
      <c r="D79" s="861" t="s">
        <v>479</v>
      </c>
      <c r="E79" s="862"/>
      <c r="F79" s="862"/>
      <c r="G79" s="862"/>
      <c r="H79" s="863"/>
      <c r="I79" s="536">
        <f>+'Anexo 1 Matriz SINA Inf Gestión'!J33/100</f>
        <v>0</v>
      </c>
      <c r="J79" s="864"/>
      <c r="K79" s="357"/>
      <c r="L79" s="357"/>
      <c r="M79" s="129"/>
      <c r="N79" s="129"/>
      <c r="O79" s="130"/>
      <c r="P79" s="125"/>
      <c r="S79" s="357"/>
      <c r="T79" s="578"/>
    </row>
    <row r="80" spans="1:20" s="1" customFormat="1" ht="16.5" customHeight="1">
      <c r="A80" s="905" t="s">
        <v>305</v>
      </c>
      <c r="B80" s="865" t="s">
        <v>306</v>
      </c>
      <c r="C80" s="554"/>
      <c r="D80" s="869" t="s">
        <v>488</v>
      </c>
      <c r="E80" s="866" t="s">
        <v>95</v>
      </c>
      <c r="F80" s="866" t="s">
        <v>308</v>
      </c>
      <c r="G80" s="866"/>
      <c r="H80" s="895" t="s">
        <v>309</v>
      </c>
      <c r="I80" s="895"/>
      <c r="J80" s="896"/>
      <c r="K80" s="357"/>
      <c r="L80" s="357"/>
      <c r="M80" s="129"/>
      <c r="N80" s="129"/>
      <c r="O80" s="130"/>
      <c r="P80" s="125"/>
      <c r="S80" s="357"/>
      <c r="T80" s="578"/>
    </row>
    <row r="81" spans="1:20" s="1" customFormat="1" ht="44.25" customHeight="1">
      <c r="A81" s="905"/>
      <c r="B81" s="865"/>
      <c r="C81" s="565"/>
      <c r="D81" s="870"/>
      <c r="E81" s="866"/>
      <c r="F81" s="361" t="s">
        <v>310</v>
      </c>
      <c r="G81" s="361" t="s">
        <v>311</v>
      </c>
      <c r="H81" s="362" t="s">
        <v>312</v>
      </c>
      <c r="I81" s="557" t="s">
        <v>313</v>
      </c>
      <c r="J81" s="558" t="s">
        <v>314</v>
      </c>
      <c r="K81" s="357"/>
      <c r="L81" s="357"/>
      <c r="M81" s="129"/>
      <c r="N81" s="129"/>
      <c r="O81" s="130"/>
      <c r="P81" s="125"/>
      <c r="S81" s="357"/>
      <c r="T81" s="578"/>
    </row>
    <row r="82" spans="1:20" s="1" customFormat="1" ht="68.25" customHeight="1">
      <c r="A82" s="917" t="s">
        <v>441</v>
      </c>
      <c r="B82" s="851" t="s">
        <v>447</v>
      </c>
      <c r="C82" s="548"/>
      <c r="D82" s="336" t="s">
        <v>379</v>
      </c>
      <c r="E82" s="311" t="s">
        <v>1</v>
      </c>
      <c r="F82" s="304">
        <f>+'MATRIZ GENERAL CONSOLIDADA'!D37</f>
        <v>100</v>
      </c>
      <c r="G82" s="304">
        <f>+'MATRIZ GENERAL CONSOLIDADA'!F37</f>
        <v>55</v>
      </c>
      <c r="H82" s="341">
        <f>+'MATRIZ GENERAL CONSOLIDADA'!E37</f>
        <v>862025000.39999998</v>
      </c>
      <c r="I82" s="341">
        <f>+'MATRIZ GENERAL CONSOLIDADA'!G37</f>
        <v>168673004</v>
      </c>
      <c r="J82" s="70">
        <f t="shared" ref="J82:J88" si="4">+H82-I82</f>
        <v>693351996.39999998</v>
      </c>
      <c r="K82" s="357"/>
      <c r="L82" s="357"/>
      <c r="M82" s="129">
        <v>175228</v>
      </c>
      <c r="N82" s="129">
        <v>45086</v>
      </c>
      <c r="O82" s="130">
        <v>334406</v>
      </c>
      <c r="P82" s="125"/>
      <c r="S82" s="357"/>
      <c r="T82" s="578"/>
    </row>
    <row r="83" spans="1:20" s="1" customFormat="1" ht="57" customHeight="1">
      <c r="A83" s="917"/>
      <c r="B83" s="851"/>
      <c r="C83" s="548"/>
      <c r="D83" s="335" t="s">
        <v>380</v>
      </c>
      <c r="E83" s="311" t="s">
        <v>1</v>
      </c>
      <c r="F83" s="304">
        <f>+'MATRIZ GENERAL CONSOLIDADA'!D38</f>
        <v>100</v>
      </c>
      <c r="G83" s="304">
        <f>+'MATRIZ GENERAL CONSOLIDADA'!F38</f>
        <v>50</v>
      </c>
      <c r="H83" s="341">
        <f>+'MATRIZ GENERAL CONSOLIDADA'!E38</f>
        <v>215506250</v>
      </c>
      <c r="I83" s="341">
        <f>+'MATRIZ GENERAL CONSOLIDADA'!G38</f>
        <v>0</v>
      </c>
      <c r="J83" s="70">
        <f t="shared" si="4"/>
        <v>215506250</v>
      </c>
      <c r="K83" s="357"/>
      <c r="L83" s="357"/>
      <c r="M83" s="129"/>
      <c r="N83" s="129"/>
      <c r="O83" s="130"/>
      <c r="P83" s="125"/>
      <c r="Q83" s="1">
        <v>0</v>
      </c>
      <c r="R83" s="1">
        <v>17.82</v>
      </c>
      <c r="S83" s="357"/>
      <c r="T83" s="578"/>
    </row>
    <row r="84" spans="1:20" s="1" customFormat="1" ht="73.5" customHeight="1">
      <c r="A84" s="917"/>
      <c r="B84" s="851"/>
      <c r="C84" s="548"/>
      <c r="D84" s="372" t="s">
        <v>381</v>
      </c>
      <c r="E84" s="311" t="s">
        <v>458</v>
      </c>
      <c r="F84" s="304">
        <f>+'MATRIZ GENERAL CONSOLIDADA'!D39</f>
        <v>100</v>
      </c>
      <c r="G84" s="304">
        <f>+'MATRIZ GENERAL CONSOLIDADA'!F39</f>
        <v>10</v>
      </c>
      <c r="H84" s="341">
        <f>+'MATRIZ GENERAL CONSOLIDADA'!E39</f>
        <v>1824815581.4000001</v>
      </c>
      <c r="I84" s="341">
        <f>+'MATRIZ GENERAL CONSOLIDADA'!G39</f>
        <v>149989597</v>
      </c>
      <c r="J84" s="70">
        <f t="shared" si="4"/>
        <v>1674825984.4000001</v>
      </c>
      <c r="K84" s="357"/>
      <c r="L84" s="357"/>
      <c r="M84" s="129"/>
      <c r="N84" s="129"/>
      <c r="O84" s="130"/>
      <c r="P84" s="125"/>
      <c r="Q84" s="1">
        <v>25</v>
      </c>
      <c r="R84" s="1">
        <v>6.75</v>
      </c>
      <c r="S84" s="357"/>
      <c r="T84" s="578"/>
    </row>
    <row r="85" spans="1:20" s="1" customFormat="1" ht="33.75" customHeight="1">
      <c r="A85" s="917"/>
      <c r="B85" s="851"/>
      <c r="C85" s="548"/>
      <c r="D85" s="373" t="s">
        <v>473</v>
      </c>
      <c r="E85" s="311" t="s">
        <v>382</v>
      </c>
      <c r="F85" s="304" t="e">
        <f>+'MATRIZ GENERAL CONSOLIDADA'!#REF!</f>
        <v>#REF!</v>
      </c>
      <c r="G85" s="304" t="e">
        <f>+'MATRIZ GENERAL CONSOLIDADA'!#REF!</f>
        <v>#REF!</v>
      </c>
      <c r="H85" s="341" t="e">
        <f>+'MATRIZ GENERAL CONSOLIDADA'!#REF!</f>
        <v>#REF!</v>
      </c>
      <c r="I85" s="341" t="e">
        <f>+'MATRIZ GENERAL CONSOLIDADA'!#REF!</f>
        <v>#REF!</v>
      </c>
      <c r="J85" s="70" t="e">
        <f t="shared" si="4"/>
        <v>#REF!</v>
      </c>
      <c r="K85" s="357"/>
      <c r="L85" s="357"/>
      <c r="M85" s="129"/>
      <c r="N85" s="129"/>
      <c r="O85" s="130"/>
      <c r="P85" s="125"/>
      <c r="S85" s="357"/>
      <c r="T85" s="578"/>
    </row>
    <row r="86" spans="1:20" s="1" customFormat="1" ht="33.75" customHeight="1">
      <c r="A86" s="917"/>
      <c r="B86" s="851"/>
      <c r="C86" s="548"/>
      <c r="D86" s="373" t="s">
        <v>383</v>
      </c>
      <c r="E86" s="311" t="s">
        <v>384</v>
      </c>
      <c r="F86" s="304" t="e">
        <f>+'MATRIZ GENERAL CONSOLIDADA'!#REF!</f>
        <v>#REF!</v>
      </c>
      <c r="G86" s="304" t="e">
        <f>+'MATRIZ GENERAL CONSOLIDADA'!#REF!</f>
        <v>#REF!</v>
      </c>
      <c r="H86" s="341" t="e">
        <f>+'MATRIZ GENERAL CONSOLIDADA'!#REF!</f>
        <v>#REF!</v>
      </c>
      <c r="I86" s="341" t="e">
        <f>+'MATRIZ GENERAL CONSOLIDADA'!#REF!</f>
        <v>#REF!</v>
      </c>
      <c r="J86" s="70" t="e">
        <f t="shared" si="4"/>
        <v>#REF!</v>
      </c>
      <c r="K86" s="357"/>
      <c r="L86" s="357"/>
      <c r="M86" s="129"/>
      <c r="N86" s="129"/>
      <c r="O86" s="130"/>
      <c r="P86" s="125"/>
      <c r="S86" s="357"/>
      <c r="T86" s="578"/>
    </row>
    <row r="87" spans="1:20" s="1" customFormat="1" ht="69.75" customHeight="1">
      <c r="A87" s="917"/>
      <c r="B87" s="851"/>
      <c r="C87" s="548"/>
      <c r="D87" s="369" t="s">
        <v>385</v>
      </c>
      <c r="E87" s="311" t="s">
        <v>384</v>
      </c>
      <c r="F87" s="304">
        <f>+'MATRIZ GENERAL CONSOLIDADA'!D40</f>
        <v>1</v>
      </c>
      <c r="G87" s="304" t="str">
        <f>+'MATRIZ GENERAL CONSOLIDADA'!F40</f>
        <v>N/A</v>
      </c>
      <c r="H87" s="341">
        <f>+'MATRIZ GENERAL CONSOLIDADA'!E40</f>
        <v>150854375</v>
      </c>
      <c r="I87" s="341">
        <f>+'MATRIZ GENERAL CONSOLIDADA'!G40</f>
        <v>16974037</v>
      </c>
      <c r="J87" s="70">
        <f t="shared" si="4"/>
        <v>133880338</v>
      </c>
      <c r="K87" s="357"/>
      <c r="L87" s="357"/>
      <c r="M87" s="129"/>
      <c r="N87" s="129"/>
      <c r="O87" s="130"/>
      <c r="P87" s="125"/>
      <c r="S87" s="357"/>
      <c r="T87" s="578"/>
    </row>
    <row r="88" spans="1:20" s="1" customFormat="1" ht="33.75" customHeight="1">
      <c r="A88" s="917"/>
      <c r="B88" s="851"/>
      <c r="C88" s="550"/>
      <c r="D88" s="369" t="s">
        <v>470</v>
      </c>
      <c r="E88" s="311" t="s">
        <v>471</v>
      </c>
      <c r="F88" s="304" t="e">
        <f>+'MATRIZ GENERAL CONSOLIDADA'!#REF!</f>
        <v>#REF!</v>
      </c>
      <c r="G88" s="304" t="e">
        <f>+'MATRIZ GENERAL CONSOLIDADA'!#REF!</f>
        <v>#REF!</v>
      </c>
      <c r="H88" s="341" t="e">
        <f>+'MATRIZ GENERAL CONSOLIDADA'!#REF!</f>
        <v>#REF!</v>
      </c>
      <c r="I88" s="341" t="e">
        <f>+'MATRIZ GENERAL CONSOLIDADA'!#REF!</f>
        <v>#REF!</v>
      </c>
      <c r="J88" s="70" t="e">
        <f t="shared" si="4"/>
        <v>#REF!</v>
      </c>
      <c r="K88" s="357"/>
      <c r="L88" s="357"/>
      <c r="M88" s="129"/>
      <c r="N88" s="129"/>
      <c r="O88" s="130"/>
      <c r="P88" s="125"/>
      <c r="S88" s="357"/>
      <c r="T88" s="578"/>
    </row>
    <row r="89" spans="1:20" s="1" customFormat="1" ht="15">
      <c r="A89" s="917"/>
      <c r="B89" s="867"/>
      <c r="C89" s="374"/>
      <c r="D89" s="858" t="s">
        <v>319</v>
      </c>
      <c r="E89" s="859"/>
      <c r="F89" s="859"/>
      <c r="G89" s="859"/>
      <c r="H89" s="364" t="e">
        <f>SUM(H82:H88)</f>
        <v>#REF!</v>
      </c>
      <c r="I89" s="305"/>
      <c r="J89" s="864" t="e">
        <f>+H89-I90</f>
        <v>#REF!</v>
      </c>
      <c r="K89" s="134"/>
      <c r="L89" s="357"/>
      <c r="M89" s="129">
        <v>630821</v>
      </c>
      <c r="N89" s="129"/>
      <c r="O89" s="130"/>
      <c r="P89" s="125"/>
      <c r="S89" s="357"/>
      <c r="T89" s="578"/>
    </row>
    <row r="90" spans="1:20" s="1" customFormat="1" ht="15">
      <c r="A90" s="917"/>
      <c r="B90" s="867"/>
      <c r="C90" s="562"/>
      <c r="D90" s="859" t="s">
        <v>320</v>
      </c>
      <c r="E90" s="859"/>
      <c r="F90" s="859"/>
      <c r="G90" s="859"/>
      <c r="H90" s="859"/>
      <c r="I90" s="364" t="e">
        <f>SUM(I82:I89)</f>
        <v>#REF!</v>
      </c>
      <c r="J90" s="864"/>
      <c r="K90" s="131"/>
      <c r="L90" s="357"/>
      <c r="M90" s="129">
        <v>4107244</v>
      </c>
      <c r="N90" s="129"/>
      <c r="O90" s="130"/>
      <c r="P90" s="125"/>
      <c r="S90" s="357"/>
      <c r="T90" s="578"/>
    </row>
    <row r="91" spans="1:20" s="1" customFormat="1" ht="15">
      <c r="A91" s="917"/>
      <c r="B91" s="868"/>
      <c r="C91" s="563"/>
      <c r="D91" s="860" t="s">
        <v>321</v>
      </c>
      <c r="E91" s="860"/>
      <c r="F91" s="860"/>
      <c r="G91" s="860"/>
      <c r="H91" s="860"/>
      <c r="I91" s="408">
        <f>+'Anexo 1 Matriz SINA Inf Gestión'!Q37/100</f>
        <v>0.39038440532241819</v>
      </c>
      <c r="J91" s="864"/>
      <c r="K91" s="131"/>
      <c r="L91" s="357"/>
      <c r="M91" s="129"/>
      <c r="N91" s="129"/>
      <c r="O91" s="130"/>
      <c r="P91" s="125"/>
      <c r="S91" s="357"/>
      <c r="T91" s="578"/>
    </row>
    <row r="92" spans="1:20" s="1" customFormat="1" ht="15">
      <c r="A92" s="917"/>
      <c r="B92" s="868"/>
      <c r="C92" s="563"/>
      <c r="D92" s="861" t="s">
        <v>479</v>
      </c>
      <c r="E92" s="862"/>
      <c r="F92" s="862"/>
      <c r="G92" s="862"/>
      <c r="H92" s="863"/>
      <c r="I92" s="545">
        <f>+'Anexo 1 Matriz SINA Inf Gestión'!J37/100</f>
        <v>0.50941306755260252</v>
      </c>
      <c r="J92" s="864"/>
      <c r="K92" s="131"/>
      <c r="L92" s="357"/>
      <c r="M92" s="129"/>
      <c r="N92" s="129"/>
      <c r="O92" s="130"/>
      <c r="P92" s="125"/>
      <c r="S92" s="357"/>
      <c r="T92" s="578"/>
    </row>
    <row r="93" spans="1:20" s="1" customFormat="1" ht="23.25" customHeight="1">
      <c r="A93" s="917"/>
      <c r="B93" s="865" t="s">
        <v>306</v>
      </c>
      <c r="C93" s="554"/>
      <c r="D93" s="869" t="s">
        <v>488</v>
      </c>
      <c r="E93" s="866" t="s">
        <v>95</v>
      </c>
      <c r="F93" s="866" t="s">
        <v>308</v>
      </c>
      <c r="G93" s="866"/>
      <c r="H93" s="895" t="s">
        <v>309</v>
      </c>
      <c r="I93" s="895"/>
      <c r="J93" s="896"/>
      <c r="K93" s="357"/>
      <c r="L93" s="357"/>
      <c r="M93" s="135"/>
      <c r="N93" s="132"/>
      <c r="O93" s="136"/>
      <c r="P93" s="125"/>
      <c r="S93" s="357"/>
      <c r="T93" s="578"/>
    </row>
    <row r="94" spans="1:20" s="1" customFormat="1" ht="33.75" customHeight="1">
      <c r="A94" s="917"/>
      <c r="B94" s="865"/>
      <c r="C94" s="565"/>
      <c r="D94" s="870"/>
      <c r="E94" s="866"/>
      <c r="F94" s="361" t="s">
        <v>310</v>
      </c>
      <c r="G94" s="361" t="s">
        <v>311</v>
      </c>
      <c r="H94" s="362" t="s">
        <v>312</v>
      </c>
      <c r="I94" s="557" t="s">
        <v>313</v>
      </c>
      <c r="J94" s="558" t="s">
        <v>314</v>
      </c>
      <c r="K94" s="357"/>
      <c r="L94" s="357"/>
      <c r="M94" s="135"/>
      <c r="N94" s="132"/>
      <c r="O94" s="136"/>
      <c r="P94" s="125"/>
      <c r="S94" s="357"/>
      <c r="T94" s="578"/>
    </row>
    <row r="95" spans="1:20" s="1" customFormat="1" ht="50.25" customHeight="1">
      <c r="A95" s="917"/>
      <c r="B95" s="910" t="s">
        <v>487</v>
      </c>
      <c r="C95" s="550"/>
      <c r="D95" s="336" t="s">
        <v>386</v>
      </c>
      <c r="E95" s="311" t="s">
        <v>1</v>
      </c>
      <c r="F95" s="304">
        <f>+'MATRIZ GENERAL CONSOLIDADA'!D42</f>
        <v>100</v>
      </c>
      <c r="G95" s="304">
        <f>+'MATRIZ GENERAL CONSOLIDADA'!F42</f>
        <v>56</v>
      </c>
      <c r="H95" s="341">
        <f>+'MATRIZ GENERAL CONSOLIDADA'!E42</f>
        <v>5308310903.9335747</v>
      </c>
      <c r="I95" s="341">
        <f>+'MATRIZ GENERAL CONSOLIDADA'!G42</f>
        <v>253795259.59999999</v>
      </c>
      <c r="J95" s="70">
        <f>+H95-I95</f>
        <v>5054515644.3335743</v>
      </c>
      <c r="K95" s="357"/>
      <c r="L95" s="357"/>
      <c r="M95" s="135"/>
      <c r="N95" s="132"/>
      <c r="O95" s="136"/>
      <c r="P95" s="125"/>
      <c r="Q95" s="1">
        <v>0</v>
      </c>
      <c r="S95" s="357"/>
      <c r="T95" s="578"/>
    </row>
    <row r="96" spans="1:20" s="1" customFormat="1" ht="44.25" customHeight="1">
      <c r="A96" s="917"/>
      <c r="B96" s="910"/>
      <c r="C96" s="550"/>
      <c r="D96" s="375" t="s">
        <v>388</v>
      </c>
      <c r="E96" s="311" t="s">
        <v>130</v>
      </c>
      <c r="F96" s="304">
        <f>+'MATRIZ GENERAL CONSOLIDADA'!D43</f>
        <v>100</v>
      </c>
      <c r="G96" s="304">
        <f>+'MATRIZ GENERAL CONSOLIDADA'!F43</f>
        <v>50</v>
      </c>
      <c r="H96" s="341">
        <f>+'MATRIZ GENERAL CONSOLIDADA'!E43</f>
        <v>1211985000.5450001</v>
      </c>
      <c r="I96" s="341">
        <f>+'MATRIZ GENERAL CONSOLIDADA'!G43</f>
        <v>0</v>
      </c>
      <c r="J96" s="70">
        <f>+H96-I96</f>
        <v>1211985000.5450001</v>
      </c>
      <c r="K96" s="357"/>
      <c r="L96" s="357"/>
      <c r="M96" s="135"/>
      <c r="N96" s="132"/>
      <c r="O96" s="136"/>
      <c r="P96" s="300"/>
      <c r="Q96" s="1">
        <v>50</v>
      </c>
      <c r="R96" s="1">
        <v>10</v>
      </c>
      <c r="S96" s="357"/>
      <c r="T96" s="578"/>
    </row>
    <row r="97" spans="1:20" s="1" customFormat="1" ht="44.25" customHeight="1">
      <c r="A97" s="917"/>
      <c r="B97" s="910"/>
      <c r="C97" s="550"/>
      <c r="D97" s="312" t="s">
        <v>389</v>
      </c>
      <c r="E97" s="311" t="s">
        <v>391</v>
      </c>
      <c r="F97" s="304" t="e">
        <f>+'MATRIZ GENERAL CONSOLIDADA'!#REF!</f>
        <v>#REF!</v>
      </c>
      <c r="G97" s="304" t="e">
        <f>+'MATRIZ GENERAL CONSOLIDADA'!#REF!</f>
        <v>#REF!</v>
      </c>
      <c r="H97" s="341" t="e">
        <f>+'MATRIZ GENERAL CONSOLIDADA'!#REF!</f>
        <v>#REF!</v>
      </c>
      <c r="I97" s="341" t="e">
        <f>+'MATRIZ GENERAL CONSOLIDADA'!#REF!</f>
        <v>#REF!</v>
      </c>
      <c r="J97" s="70"/>
      <c r="K97" s="357"/>
      <c r="L97" s="357"/>
      <c r="M97" s="135"/>
      <c r="N97" s="132"/>
      <c r="O97" s="136"/>
      <c r="P97" s="300"/>
      <c r="S97" s="357"/>
      <c r="T97" s="578"/>
    </row>
    <row r="98" spans="1:20" s="1" customFormat="1" ht="61.5" customHeight="1">
      <c r="A98" s="917"/>
      <c r="B98" s="910"/>
      <c r="C98" s="550"/>
      <c r="D98" s="376" t="s">
        <v>390</v>
      </c>
      <c r="E98" s="311" t="s">
        <v>130</v>
      </c>
      <c r="F98" s="304" t="e">
        <f>+'MATRIZ GENERAL CONSOLIDADA'!#REF!</f>
        <v>#REF!</v>
      </c>
      <c r="G98" s="304" t="e">
        <f>+'MATRIZ GENERAL CONSOLIDADA'!#REF!</f>
        <v>#REF!</v>
      </c>
      <c r="H98" s="341" t="e">
        <f>+'MATRIZ GENERAL CONSOLIDADA'!#REF!</f>
        <v>#REF!</v>
      </c>
      <c r="I98" s="341" t="e">
        <f>+'MATRIZ GENERAL CONSOLIDADA'!#REF!</f>
        <v>#REF!</v>
      </c>
      <c r="J98" s="70" t="e">
        <f>+H98-I98</f>
        <v>#REF!</v>
      </c>
      <c r="K98" s="357"/>
      <c r="L98" s="357"/>
      <c r="M98" s="135"/>
      <c r="N98" s="132"/>
      <c r="O98" s="136"/>
      <c r="P98" s="125"/>
      <c r="S98" s="357"/>
      <c r="T98" s="578"/>
    </row>
    <row r="99" spans="1:20" s="1" customFormat="1" ht="15">
      <c r="A99" s="917"/>
      <c r="B99" s="867"/>
      <c r="C99" s="562"/>
      <c r="D99" s="858" t="s">
        <v>319</v>
      </c>
      <c r="E99" s="859"/>
      <c r="F99" s="859"/>
      <c r="G99" s="859"/>
      <c r="H99" s="364" t="e">
        <f>SUM(H95:H98)</f>
        <v>#REF!</v>
      </c>
      <c r="I99" s="462"/>
      <c r="J99" s="864" t="e">
        <f>+H99-I100</f>
        <v>#REF!</v>
      </c>
      <c r="K99" s="357"/>
      <c r="L99" s="357"/>
      <c r="M99" s="135"/>
      <c r="N99" s="132"/>
      <c r="O99" s="136"/>
      <c r="P99" s="125"/>
      <c r="S99" s="357"/>
      <c r="T99" s="578"/>
    </row>
    <row r="100" spans="1:20" s="1" customFormat="1" ht="15">
      <c r="A100" s="917"/>
      <c r="B100" s="867"/>
      <c r="C100" s="562"/>
      <c r="D100" s="859" t="s">
        <v>320</v>
      </c>
      <c r="E100" s="859"/>
      <c r="F100" s="859"/>
      <c r="G100" s="859"/>
      <c r="H100" s="859"/>
      <c r="I100" s="364" t="e">
        <f>SUM(I95:I99)</f>
        <v>#REF!</v>
      </c>
      <c r="J100" s="864"/>
      <c r="K100" s="357"/>
      <c r="L100" s="357"/>
      <c r="M100" s="135"/>
      <c r="N100" s="132"/>
      <c r="O100" s="136"/>
      <c r="P100" s="125"/>
      <c r="S100" s="357"/>
      <c r="T100" s="578"/>
    </row>
    <row r="101" spans="1:20" s="1" customFormat="1" ht="15">
      <c r="A101" s="917"/>
      <c r="B101" s="867"/>
      <c r="C101" s="562"/>
      <c r="D101" s="860" t="s">
        <v>321</v>
      </c>
      <c r="E101" s="860"/>
      <c r="F101" s="860"/>
      <c r="G101" s="860"/>
      <c r="H101" s="860"/>
      <c r="I101" s="536">
        <f>+'Anexo 1 Matriz SINA Inf Gestión'!Q42/100</f>
        <v>3.8923886786438093E-2</v>
      </c>
      <c r="J101" s="864"/>
      <c r="K101" s="357"/>
      <c r="L101" s="357"/>
      <c r="M101" s="135"/>
      <c r="N101" s="132"/>
      <c r="O101" s="136"/>
      <c r="P101" s="125"/>
      <c r="S101" s="357"/>
      <c r="T101" s="578"/>
    </row>
    <row r="102" spans="1:20" s="1" customFormat="1" ht="15">
      <c r="A102" s="917"/>
      <c r="B102" s="867"/>
      <c r="C102" s="562"/>
      <c r="D102" s="861" t="s">
        <v>479</v>
      </c>
      <c r="E102" s="862"/>
      <c r="F102" s="862"/>
      <c r="G102" s="862"/>
      <c r="H102" s="863"/>
      <c r="I102" s="529">
        <f>+'Anexo 1 Matriz SINA Inf Gestión'!E42/100</f>
        <v>0.53</v>
      </c>
      <c r="J102" s="864"/>
      <c r="K102" s="357"/>
      <c r="L102" s="357"/>
      <c r="M102" s="135"/>
      <c r="N102" s="132"/>
      <c r="O102" s="136"/>
      <c r="P102" s="125"/>
      <c r="S102" s="357"/>
      <c r="T102" s="578"/>
    </row>
    <row r="103" spans="1:20" s="1" customFormat="1" ht="19.5" customHeight="1">
      <c r="A103" s="905" t="s">
        <v>305</v>
      </c>
      <c r="B103" s="865" t="s">
        <v>306</v>
      </c>
      <c r="C103" s="554"/>
      <c r="D103" s="869" t="s">
        <v>488</v>
      </c>
      <c r="E103" s="866" t="s">
        <v>95</v>
      </c>
      <c r="F103" s="866" t="s">
        <v>308</v>
      </c>
      <c r="G103" s="866"/>
      <c r="H103" s="895" t="s">
        <v>309</v>
      </c>
      <c r="I103" s="895"/>
      <c r="J103" s="896"/>
      <c r="K103" s="357"/>
      <c r="L103" s="357"/>
      <c r="M103" s="129"/>
      <c r="N103" s="129"/>
      <c r="O103" s="130"/>
      <c r="P103" s="125"/>
      <c r="S103" s="357"/>
      <c r="T103" s="578"/>
    </row>
    <row r="104" spans="1:20" s="1" customFormat="1" ht="28.5" customHeight="1">
      <c r="A104" s="905"/>
      <c r="B104" s="865"/>
      <c r="C104" s="565"/>
      <c r="D104" s="870"/>
      <c r="E104" s="866"/>
      <c r="F104" s="361" t="s">
        <v>310</v>
      </c>
      <c r="G104" s="361" t="s">
        <v>311</v>
      </c>
      <c r="H104" s="377" t="s">
        <v>312</v>
      </c>
      <c r="I104" s="361" t="s">
        <v>313</v>
      </c>
      <c r="J104" s="378" t="s">
        <v>314</v>
      </c>
      <c r="K104" s="357"/>
      <c r="L104" s="357"/>
      <c r="M104" s="129"/>
      <c r="N104" s="129"/>
      <c r="O104" s="130"/>
      <c r="P104" s="125"/>
      <c r="S104" s="357"/>
      <c r="T104" s="578"/>
    </row>
    <row r="105" spans="1:20" s="1" customFormat="1" ht="68.25" customHeight="1">
      <c r="A105" s="887" t="s">
        <v>442</v>
      </c>
      <c r="B105" s="874" t="s">
        <v>443</v>
      </c>
      <c r="C105" s="548"/>
      <c r="D105" s="336" t="s">
        <v>392</v>
      </c>
      <c r="E105" s="311" t="s">
        <v>179</v>
      </c>
      <c r="F105" s="304">
        <f>+'MATRIZ GENERAL CONSOLIDADA'!D48</f>
        <v>100</v>
      </c>
      <c r="G105" s="304">
        <f>+'MATRIZ GENERAL CONSOLIDADA'!F48</f>
        <v>81</v>
      </c>
      <c r="H105" s="341">
        <f>+'MATRIZ GENERAL CONSOLIDADA'!E48</f>
        <v>124955371.19999999</v>
      </c>
      <c r="I105" s="341">
        <f>+'MATRIZ GENERAL CONSOLIDADA'!G48</f>
        <v>17288700</v>
      </c>
      <c r="J105" s="70">
        <f t="shared" ref="J105:J120" si="5">+H105-I105</f>
        <v>107666671.19999999</v>
      </c>
      <c r="K105" s="357"/>
      <c r="L105" s="357"/>
      <c r="M105" s="137">
        <v>951912</v>
      </c>
      <c r="N105" s="129">
        <v>69813</v>
      </c>
      <c r="O105" s="130">
        <v>412670</v>
      </c>
      <c r="P105" s="300"/>
      <c r="S105" s="357"/>
      <c r="T105" s="578"/>
    </row>
    <row r="106" spans="1:20" s="1" customFormat="1" ht="60.75" customHeight="1">
      <c r="A106" s="888"/>
      <c r="B106" s="875"/>
      <c r="C106" s="548"/>
      <c r="D106" s="335" t="s">
        <v>393</v>
      </c>
      <c r="E106" s="311" t="s">
        <v>179</v>
      </c>
      <c r="F106" s="304">
        <f>+'MATRIZ GENERAL CONSOLIDADA'!D49</f>
        <v>100</v>
      </c>
      <c r="G106" s="304">
        <f>+'MATRIZ GENERAL CONSOLIDADA'!F49</f>
        <v>100</v>
      </c>
      <c r="H106" s="341">
        <f>+'MATRIZ GENERAL CONSOLIDADA'!E49</f>
        <v>124955371.19999999</v>
      </c>
      <c r="I106" s="341">
        <f>+'MATRIZ GENERAL CONSOLIDADA'!G49</f>
        <v>26400000</v>
      </c>
      <c r="J106" s="70">
        <f t="shared" si="5"/>
        <v>98555371.199999988</v>
      </c>
      <c r="K106" s="357"/>
      <c r="L106" s="357"/>
      <c r="M106" s="137"/>
      <c r="N106" s="129"/>
      <c r="O106" s="130"/>
      <c r="P106" s="125"/>
      <c r="S106" s="357"/>
      <c r="T106" s="578"/>
    </row>
    <row r="107" spans="1:20" s="1" customFormat="1" ht="48" customHeight="1">
      <c r="A107" s="888"/>
      <c r="B107" s="875"/>
      <c r="C107" s="548"/>
      <c r="D107" s="335" t="s">
        <v>394</v>
      </c>
      <c r="E107" s="311" t="s">
        <v>179</v>
      </c>
      <c r="F107" s="304">
        <f>+'MATRIZ GENERAL CONSOLIDADA'!D50</f>
        <v>100</v>
      </c>
      <c r="G107" s="304">
        <f>+'MATRIZ GENERAL CONSOLIDADA'!F50</f>
        <v>72</v>
      </c>
      <c r="H107" s="341">
        <f>+'MATRIZ GENERAL CONSOLIDADA'!E50</f>
        <v>124955371.19999999</v>
      </c>
      <c r="I107" s="341">
        <f>+'MATRIZ GENERAL CONSOLIDADA'!G50</f>
        <v>15632099.999999998</v>
      </c>
      <c r="J107" s="70">
        <f t="shared" si="5"/>
        <v>109323271.19999999</v>
      </c>
      <c r="K107" s="357"/>
      <c r="L107" s="357"/>
      <c r="M107" s="137"/>
      <c r="N107" s="129"/>
      <c r="O107" s="130"/>
      <c r="P107" s="125"/>
      <c r="S107" s="357"/>
      <c r="T107" s="578"/>
    </row>
    <row r="108" spans="1:20" s="1" customFormat="1" ht="48.75" customHeight="1">
      <c r="A108" s="888"/>
      <c r="B108" s="875"/>
      <c r="C108" s="548"/>
      <c r="D108" s="336" t="s">
        <v>395</v>
      </c>
      <c r="E108" s="311" t="s">
        <v>1</v>
      </c>
      <c r="F108" s="304">
        <f>+'MATRIZ GENERAL CONSOLIDADA'!D51</f>
        <v>100</v>
      </c>
      <c r="G108" s="304">
        <f>+'MATRIZ GENERAL CONSOLIDADA'!F51</f>
        <v>31</v>
      </c>
      <c r="H108" s="341">
        <f>+'MATRIZ GENERAL CONSOLIDADA'!E51</f>
        <v>340868800.93400002</v>
      </c>
      <c r="I108" s="341">
        <f>+'MATRIZ GENERAL CONSOLIDADA'!G51</f>
        <v>44192000</v>
      </c>
      <c r="J108" s="70">
        <f>+H108-I108</f>
        <v>296676800.93400002</v>
      </c>
      <c r="K108" s="357"/>
      <c r="L108" s="357"/>
      <c r="M108" s="137"/>
      <c r="N108" s="129"/>
      <c r="O108" s="130"/>
      <c r="P108" s="125"/>
      <c r="S108" s="357"/>
      <c r="T108" s="578"/>
    </row>
    <row r="109" spans="1:20" s="1" customFormat="1" ht="47.25" customHeight="1">
      <c r="A109" s="888"/>
      <c r="B109" s="875"/>
      <c r="C109" s="548"/>
      <c r="D109" s="336" t="s">
        <v>396</v>
      </c>
      <c r="E109" s="311" t="s">
        <v>459</v>
      </c>
      <c r="F109" s="304">
        <f>+'MATRIZ GENERAL CONSOLIDADA'!D52</f>
        <v>85</v>
      </c>
      <c r="G109" s="304">
        <f>+'MATRIZ GENERAL CONSOLIDADA'!F52</f>
        <v>4.8</v>
      </c>
      <c r="H109" s="341">
        <f>+'MATRIZ GENERAL CONSOLIDADA'!E52</f>
        <v>2749170677.9364181</v>
      </c>
      <c r="I109" s="341">
        <f>+'MATRIZ GENERAL CONSOLIDADA'!G52</f>
        <v>440900091.67633337</v>
      </c>
      <c r="J109" s="70">
        <f t="shared" si="5"/>
        <v>2308270586.2600846</v>
      </c>
      <c r="K109" s="357"/>
      <c r="L109" s="357"/>
      <c r="M109" s="137"/>
      <c r="N109" s="129"/>
      <c r="O109" s="130"/>
      <c r="P109" s="125"/>
      <c r="S109" s="357"/>
      <c r="T109" s="578"/>
    </row>
    <row r="110" spans="1:20" s="1" customFormat="1" ht="56.25" customHeight="1">
      <c r="A110" s="888"/>
      <c r="B110" s="875"/>
      <c r="C110" s="548"/>
      <c r="D110" s="336" t="s">
        <v>397</v>
      </c>
      <c r="E110" s="311" t="s">
        <v>179</v>
      </c>
      <c r="F110" s="304">
        <f>+'MATRIZ GENERAL CONSOLIDADA'!D53</f>
        <v>60</v>
      </c>
      <c r="G110" s="304">
        <f>+'MATRIZ GENERAL CONSOLIDADA'!F53</f>
        <v>60</v>
      </c>
      <c r="H110" s="341">
        <f>+'MATRIZ GENERAL CONSOLIDADA'!E53</f>
        <v>0</v>
      </c>
      <c r="I110" s="341">
        <f>+'MATRIZ GENERAL CONSOLIDADA'!G53</f>
        <v>0</v>
      </c>
      <c r="J110" s="70">
        <f>+H110-I110</f>
        <v>0</v>
      </c>
      <c r="K110" s="357"/>
      <c r="L110" s="357"/>
      <c r="M110" s="137"/>
      <c r="N110" s="129"/>
      <c r="O110" s="130"/>
      <c r="P110" s="300"/>
      <c r="S110" s="357"/>
      <c r="T110" s="578"/>
    </row>
    <row r="111" spans="1:20" s="1" customFormat="1" ht="78" customHeight="1">
      <c r="A111" s="888"/>
      <c r="B111" s="875"/>
      <c r="C111" s="548"/>
      <c r="D111" s="332" t="s">
        <v>398</v>
      </c>
      <c r="E111" s="311" t="s">
        <v>179</v>
      </c>
      <c r="F111" s="304">
        <f>+'MATRIZ GENERAL CONSOLIDADA'!D55</f>
        <v>27.5</v>
      </c>
      <c r="G111" s="304">
        <f>+'MATRIZ GENERAL CONSOLIDADA'!F55</f>
        <v>9.8000000000000007</v>
      </c>
      <c r="H111" s="341">
        <f>+'MATRIZ GENERAL CONSOLIDADA'!E55</f>
        <v>1067433934.3006976</v>
      </c>
      <c r="I111" s="341">
        <f>+'MATRIZ GENERAL CONSOLIDADA'!G55</f>
        <v>200234976.30000001</v>
      </c>
      <c r="J111" s="70">
        <f t="shared" si="5"/>
        <v>867198958.00069761</v>
      </c>
      <c r="K111" s="357"/>
      <c r="L111" s="357"/>
      <c r="M111" s="137"/>
      <c r="N111" s="129"/>
      <c r="O111" s="130"/>
      <c r="P111" s="125"/>
      <c r="S111" s="357"/>
      <c r="T111" s="578"/>
    </row>
    <row r="112" spans="1:20" s="1" customFormat="1" ht="53.25" customHeight="1">
      <c r="A112" s="888"/>
      <c r="B112" s="875"/>
      <c r="C112" s="548"/>
      <c r="D112" s="379" t="s">
        <v>399</v>
      </c>
      <c r="E112" s="311" t="s">
        <v>181</v>
      </c>
      <c r="F112" s="304">
        <f>+'MATRIZ GENERAL CONSOLIDADA'!D56</f>
        <v>1</v>
      </c>
      <c r="G112" s="304">
        <f>+'MATRIZ GENERAL CONSOLIDADA'!F56</f>
        <v>0.5</v>
      </c>
      <c r="H112" s="341">
        <f>+'MATRIZ GENERAL CONSOLIDADA'!E56</f>
        <v>3927676690.360734</v>
      </c>
      <c r="I112" s="341">
        <f>+'MATRIZ GENERAL CONSOLIDADA'!G56</f>
        <v>613310511.95599997</v>
      </c>
      <c r="J112" s="70">
        <f t="shared" si="5"/>
        <v>3314366178.4047341</v>
      </c>
      <c r="K112" s="357"/>
      <c r="L112" s="357"/>
      <c r="M112" s="137">
        <v>561108</v>
      </c>
      <c r="N112" s="129">
        <v>210274</v>
      </c>
      <c r="O112" s="130"/>
      <c r="P112" s="125"/>
      <c r="S112" s="357"/>
      <c r="T112" s="578"/>
    </row>
    <row r="113" spans="1:20" s="1" customFormat="1" ht="55.5" customHeight="1">
      <c r="A113" s="888"/>
      <c r="B113" s="875"/>
      <c r="C113" s="548"/>
      <c r="D113" s="379" t="s">
        <v>400</v>
      </c>
      <c r="E113" s="311" t="s">
        <v>401</v>
      </c>
      <c r="F113" s="304">
        <f>+'MATRIZ GENERAL CONSOLIDADA'!D57</f>
        <v>4</v>
      </c>
      <c r="G113" s="304">
        <f>+'MATRIZ GENERAL CONSOLIDADA'!F57</f>
        <v>0.5</v>
      </c>
      <c r="H113" s="341">
        <f>+'MATRIZ GENERAL CONSOLIDADA'!E57</f>
        <v>128306447.264</v>
      </c>
      <c r="I113" s="341">
        <f>+'MATRIZ GENERAL CONSOLIDADA'!G57</f>
        <v>27108000</v>
      </c>
      <c r="J113" s="70">
        <f t="shared" si="5"/>
        <v>101198447.264</v>
      </c>
      <c r="K113" s="357"/>
      <c r="L113" s="357"/>
      <c r="M113" s="137">
        <v>425686</v>
      </c>
      <c r="N113" s="129">
        <v>63158</v>
      </c>
      <c r="O113" s="130"/>
      <c r="P113" s="125"/>
      <c r="S113" s="357"/>
      <c r="T113" s="578"/>
    </row>
    <row r="114" spans="1:20" s="1" customFormat="1" ht="38.25" customHeight="1">
      <c r="A114" s="888"/>
      <c r="B114" s="875"/>
      <c r="C114" s="548"/>
      <c r="D114" s="369" t="s">
        <v>402</v>
      </c>
      <c r="E114" s="311" t="s">
        <v>181</v>
      </c>
      <c r="F114" s="304">
        <f>+'MATRIZ GENERAL CONSOLIDADA'!D58</f>
        <v>1</v>
      </c>
      <c r="G114" s="304">
        <f>+'MATRIZ GENERAL CONSOLIDADA'!F58</f>
        <v>0.5</v>
      </c>
      <c r="H114" s="341">
        <f>+'MATRIZ GENERAL CONSOLIDADA'!E58</f>
        <v>1302960335.7163758</v>
      </c>
      <c r="I114" s="341">
        <f>+'MATRIZ GENERAL CONSOLIDADA'!G58</f>
        <v>188302445</v>
      </c>
      <c r="J114" s="70">
        <f t="shared" si="5"/>
        <v>1114657890.7163758</v>
      </c>
      <c r="K114" s="357"/>
      <c r="L114" s="357"/>
      <c r="M114" s="137"/>
      <c r="N114" s="129"/>
      <c r="O114" s="130"/>
      <c r="P114" s="125"/>
      <c r="S114" s="357"/>
      <c r="T114" s="578"/>
    </row>
    <row r="115" spans="1:20" s="1" customFormat="1" ht="40.5" customHeight="1">
      <c r="A115" s="888"/>
      <c r="B115" s="875"/>
      <c r="C115" s="548"/>
      <c r="D115" s="379" t="s">
        <v>403</v>
      </c>
      <c r="E115" s="311" t="s">
        <v>191</v>
      </c>
      <c r="F115" s="304">
        <f>+'MATRIZ GENERAL CONSOLIDADA'!D59</f>
        <v>105</v>
      </c>
      <c r="G115" s="304">
        <f>+'MATRIZ GENERAL CONSOLIDADA'!F59</f>
        <v>29</v>
      </c>
      <c r="H115" s="341">
        <f>+'MATRIZ GENERAL CONSOLIDADA'!E59</f>
        <v>97212851.469071522</v>
      </c>
      <c r="I115" s="341">
        <f>+'MATRIZ GENERAL CONSOLIDADA'!G59</f>
        <v>20538686.436000001</v>
      </c>
      <c r="J115" s="70">
        <f t="shared" si="5"/>
        <v>76674165.033071518</v>
      </c>
      <c r="K115" s="357"/>
      <c r="L115" s="357"/>
      <c r="M115" s="137"/>
      <c r="N115" s="129"/>
      <c r="O115" s="130"/>
      <c r="P115" s="125"/>
      <c r="S115" s="357"/>
      <c r="T115" s="578"/>
    </row>
    <row r="116" spans="1:20" s="1" customFormat="1" ht="40.5" customHeight="1">
      <c r="A116" s="888"/>
      <c r="B116" s="875"/>
      <c r="C116" s="548"/>
      <c r="D116" s="369" t="s">
        <v>404</v>
      </c>
      <c r="E116" s="311" t="s">
        <v>1</v>
      </c>
      <c r="F116" s="304">
        <f>+'MATRIZ GENERAL CONSOLIDADA'!D60</f>
        <v>1</v>
      </c>
      <c r="G116" s="304">
        <f>+'MATRIZ GENERAL CONSOLIDADA'!F60</f>
        <v>0.5</v>
      </c>
      <c r="H116" s="341">
        <f>+'MATRIZ GENERAL CONSOLIDADA'!E60</f>
        <v>78204489.541071504</v>
      </c>
      <c r="I116" s="341">
        <f>+'MATRIZ GENERAL CONSOLIDADA'!G60</f>
        <v>16522686.436000001</v>
      </c>
      <c r="J116" s="70">
        <f t="shared" si="5"/>
        <v>61681803.1050715</v>
      </c>
      <c r="K116" s="357"/>
      <c r="L116" s="357"/>
      <c r="M116" s="137"/>
      <c r="N116" s="129"/>
      <c r="O116" s="130"/>
      <c r="P116" s="125"/>
      <c r="S116" s="357"/>
      <c r="T116" s="578"/>
    </row>
    <row r="117" spans="1:20" s="1" customFormat="1" ht="30">
      <c r="A117" s="888"/>
      <c r="B117" s="875"/>
      <c r="C117" s="548"/>
      <c r="D117" s="369" t="s">
        <v>405</v>
      </c>
      <c r="E117" s="311" t="s">
        <v>180</v>
      </c>
      <c r="F117" s="304">
        <f>+'MATRIZ GENERAL CONSOLIDADA'!D61</f>
        <v>0.66666666666666663</v>
      </c>
      <c r="G117" s="304">
        <f>+'MATRIZ GENERAL CONSOLIDADA'!F61</f>
        <v>0</v>
      </c>
      <c r="H117" s="341">
        <f>+'MATRIZ GENERAL CONSOLIDADA'!E61</f>
        <v>174400000</v>
      </c>
      <c r="I117" s="341">
        <f>+'MATRIZ GENERAL CONSOLIDADA'!G61</f>
        <v>0</v>
      </c>
      <c r="J117" s="70">
        <f t="shared" si="5"/>
        <v>174400000</v>
      </c>
      <c r="K117" s="357"/>
      <c r="L117" s="357"/>
      <c r="M117" s="137"/>
      <c r="N117" s="129"/>
      <c r="O117" s="130"/>
      <c r="P117" s="125"/>
      <c r="S117" s="357"/>
      <c r="T117" s="578"/>
    </row>
    <row r="118" spans="1:20" s="1" customFormat="1" ht="30">
      <c r="A118" s="888"/>
      <c r="B118" s="875"/>
      <c r="C118" s="548"/>
      <c r="D118" s="369" t="s">
        <v>0</v>
      </c>
      <c r="E118" s="311" t="s">
        <v>406</v>
      </c>
      <c r="F118" s="304">
        <f>+'MATRIZ GENERAL CONSOLIDADA'!D62</f>
        <v>50.5</v>
      </c>
      <c r="G118" s="304">
        <f>+'MATRIZ GENERAL CONSOLIDADA'!F62</f>
        <v>0</v>
      </c>
      <c r="H118" s="341">
        <f>+'MATRIZ GENERAL CONSOLIDADA'!E62</f>
        <v>331321060</v>
      </c>
      <c r="I118" s="341">
        <f>+'MATRIZ GENERAL CONSOLIDADA'!G62</f>
        <v>53796010.833000004</v>
      </c>
      <c r="J118" s="70">
        <f t="shared" si="5"/>
        <v>277525049.167</v>
      </c>
      <c r="K118" s="357"/>
      <c r="L118" s="357"/>
      <c r="M118" s="137"/>
      <c r="N118" s="129"/>
      <c r="O118" s="130"/>
      <c r="P118" s="125"/>
      <c r="S118" s="357"/>
      <c r="T118" s="578"/>
    </row>
    <row r="119" spans="1:20" s="1" customFormat="1" ht="19.5" customHeight="1">
      <c r="A119" s="888"/>
      <c r="B119" s="875"/>
      <c r="C119" s="548"/>
      <c r="D119" s="380" t="s">
        <v>407</v>
      </c>
      <c r="E119" s="311" t="s">
        <v>1</v>
      </c>
      <c r="F119" s="304">
        <f>+'MATRIZ GENERAL CONSOLIDADA'!D63</f>
        <v>50.5</v>
      </c>
      <c r="G119" s="304">
        <f>+'MATRIZ GENERAL CONSOLIDADA'!F63</f>
        <v>3</v>
      </c>
      <c r="H119" s="341">
        <f>+'MATRIZ GENERAL CONSOLIDADA'!E63</f>
        <v>56797896</v>
      </c>
      <c r="I119" s="341">
        <f>+'MATRIZ GENERAL CONSOLIDADA'!G63</f>
        <v>0</v>
      </c>
      <c r="J119" s="70">
        <f t="shared" si="5"/>
        <v>56797896</v>
      </c>
      <c r="K119" s="357"/>
      <c r="L119" s="357"/>
      <c r="M119" s="137"/>
      <c r="N119" s="129"/>
      <c r="O119" s="130"/>
      <c r="P119" s="300"/>
      <c r="S119" s="357"/>
      <c r="T119" s="578"/>
    </row>
    <row r="120" spans="1:20" s="1" customFormat="1" ht="30">
      <c r="A120" s="888"/>
      <c r="B120" s="875"/>
      <c r="C120" s="548"/>
      <c r="D120" s="369" t="s">
        <v>470</v>
      </c>
      <c r="E120" s="311" t="s">
        <v>471</v>
      </c>
      <c r="F120" s="304">
        <f>+'MATRIZ GENERAL CONSOLIDADA'!D70</f>
        <v>0</v>
      </c>
      <c r="G120" s="304">
        <f>+'MATRIZ GENERAL CONSOLIDADA'!F70</f>
        <v>0</v>
      </c>
      <c r="H120" s="341">
        <f>+'MATRIZ GENERAL CONSOLIDADA'!E70</f>
        <v>147757579.54766798</v>
      </c>
      <c r="I120" s="341">
        <f>+'MATRIZ GENERAL CONSOLIDADA'!G70</f>
        <v>21217546</v>
      </c>
      <c r="J120" s="70">
        <f t="shared" si="5"/>
        <v>126540033.54766798</v>
      </c>
      <c r="K120" s="357"/>
      <c r="L120" s="357"/>
      <c r="M120" s="137"/>
      <c r="N120" s="129"/>
      <c r="O120" s="130"/>
      <c r="P120" s="125"/>
      <c r="S120" s="357"/>
      <c r="T120" s="578"/>
    </row>
    <row r="121" spans="1:20" s="1" customFormat="1" ht="15">
      <c r="A121" s="888"/>
      <c r="B121" s="875"/>
      <c r="C121" s="550"/>
      <c r="D121" s="892" t="s">
        <v>319</v>
      </c>
      <c r="E121" s="893"/>
      <c r="F121" s="893"/>
      <c r="G121" s="894"/>
      <c r="H121" s="364">
        <f>SUM(H105:H120)</f>
        <v>10776976876.670036</v>
      </c>
      <c r="J121" s="864">
        <f>+H121-I122</f>
        <v>9091533122.0327034</v>
      </c>
      <c r="K121" s="131">
        <v>29</v>
      </c>
      <c r="L121" s="357"/>
      <c r="M121" s="137"/>
      <c r="N121" s="129"/>
      <c r="O121" s="130"/>
      <c r="P121" s="125"/>
      <c r="S121" s="357"/>
      <c r="T121" s="578"/>
    </row>
    <row r="122" spans="1:20" s="1" customFormat="1" ht="18" customHeight="1">
      <c r="A122" s="888"/>
      <c r="B122" s="875"/>
      <c r="C122" s="550"/>
      <c r="D122" s="892" t="s">
        <v>320</v>
      </c>
      <c r="E122" s="893"/>
      <c r="F122" s="893"/>
      <c r="G122" s="893"/>
      <c r="H122" s="894"/>
      <c r="I122" s="364">
        <f>SUM(I105:I121)</f>
        <v>1685443754.6373336</v>
      </c>
      <c r="J122" s="864"/>
      <c r="K122" s="357"/>
      <c r="L122" s="357"/>
      <c r="M122" s="132">
        <v>1938706</v>
      </c>
      <c r="N122" s="132">
        <v>343245</v>
      </c>
      <c r="O122" s="136">
        <v>412670</v>
      </c>
      <c r="P122" s="125"/>
      <c r="S122" s="357"/>
      <c r="T122" s="578"/>
    </row>
    <row r="123" spans="1:20" s="1" customFormat="1" ht="18" customHeight="1">
      <c r="A123" s="888"/>
      <c r="B123" s="875"/>
      <c r="C123" s="551"/>
      <c r="D123" s="892" t="s">
        <v>321</v>
      </c>
      <c r="E123" s="893"/>
      <c r="F123" s="893"/>
      <c r="G123" s="893"/>
      <c r="H123" s="894"/>
      <c r="I123" s="545">
        <f>+'Anexo 1 Matriz SINA Inf Gestión'!Q48/100</f>
        <v>8.2809029566422193E-2</v>
      </c>
      <c r="J123" s="864"/>
      <c r="K123" s="357"/>
      <c r="L123" s="357"/>
      <c r="M123" s="132"/>
      <c r="N123" s="132"/>
      <c r="O123" s="136"/>
      <c r="P123" s="125"/>
      <c r="S123" s="357"/>
      <c r="T123" s="578"/>
    </row>
    <row r="124" spans="1:20" s="1" customFormat="1" ht="18" customHeight="1">
      <c r="A124" s="888"/>
      <c r="B124" s="875"/>
      <c r="C124" s="551"/>
      <c r="D124" s="892" t="s">
        <v>479</v>
      </c>
      <c r="E124" s="893"/>
      <c r="F124" s="893"/>
      <c r="G124" s="893"/>
      <c r="H124" s="894"/>
      <c r="I124" s="408">
        <f>+'Anexo 1 Matriz SINA Inf Gestión'!J48/100</f>
        <v>0.49619200604743452</v>
      </c>
      <c r="J124" s="864"/>
      <c r="K124" s="357"/>
      <c r="L124" s="357"/>
      <c r="M124" s="132"/>
      <c r="N124" s="132"/>
      <c r="O124" s="136"/>
      <c r="P124" s="125"/>
      <c r="S124" s="357"/>
      <c r="T124" s="578"/>
    </row>
    <row r="125" spans="1:20" s="1" customFormat="1" ht="19.5" customHeight="1">
      <c r="A125" s="918" t="s">
        <v>305</v>
      </c>
      <c r="B125" s="890" t="s">
        <v>306</v>
      </c>
      <c r="C125" s="565"/>
      <c r="D125" s="869" t="s">
        <v>488</v>
      </c>
      <c r="E125" s="866" t="s">
        <v>95</v>
      </c>
      <c r="F125" s="866" t="s">
        <v>308</v>
      </c>
      <c r="G125" s="866"/>
      <c r="H125" s="895" t="s">
        <v>309</v>
      </c>
      <c r="I125" s="895"/>
      <c r="J125" s="896"/>
      <c r="K125" s="357"/>
      <c r="L125" s="357"/>
      <c r="M125" s="129"/>
      <c r="N125" s="129"/>
      <c r="O125" s="130"/>
      <c r="P125" s="125"/>
      <c r="S125" s="357"/>
      <c r="T125" s="578"/>
    </row>
    <row r="126" spans="1:20" s="1" customFormat="1" ht="50.25" customHeight="1">
      <c r="A126" s="919"/>
      <c r="B126" s="891"/>
      <c r="C126" s="566"/>
      <c r="D126" s="870"/>
      <c r="E126" s="866"/>
      <c r="F126" s="361" t="s">
        <v>310</v>
      </c>
      <c r="G126" s="361" t="s">
        <v>311</v>
      </c>
      <c r="H126" s="362" t="s">
        <v>312</v>
      </c>
      <c r="I126" s="557" t="s">
        <v>313</v>
      </c>
      <c r="J126" s="558" t="s">
        <v>314</v>
      </c>
      <c r="K126" s="357"/>
      <c r="L126" s="357"/>
      <c r="M126" s="129"/>
      <c r="N126" s="129"/>
      <c r="O126" s="130"/>
      <c r="P126" s="125"/>
      <c r="S126" s="357"/>
      <c r="T126" s="578"/>
    </row>
    <row r="127" spans="1:20" s="1" customFormat="1" ht="85.5" customHeight="1">
      <c r="A127" s="887" t="s">
        <v>448</v>
      </c>
      <c r="B127" s="874" t="s">
        <v>449</v>
      </c>
      <c r="C127" s="550"/>
      <c r="D127" s="329" t="s">
        <v>408</v>
      </c>
      <c r="E127" s="311" t="s">
        <v>179</v>
      </c>
      <c r="F127" s="304">
        <f>+'MATRIZ GENERAL CONSOLIDADA'!D72</f>
        <v>25</v>
      </c>
      <c r="G127" s="304">
        <f>+'MATRIZ GENERAL CONSOLIDADA'!F72</f>
        <v>15</v>
      </c>
      <c r="H127" s="341">
        <f>+'MATRIZ GENERAL CONSOLIDADA'!E72</f>
        <v>1053601843</v>
      </c>
      <c r="I127" s="341">
        <f>+'MATRIZ GENERAL CONSOLIDADA'!G72</f>
        <v>222088257.71200001</v>
      </c>
      <c r="J127" s="70">
        <f>+H127-I127</f>
        <v>831513585.28799999</v>
      </c>
      <c r="K127" s="357"/>
      <c r="L127" s="357"/>
      <c r="M127" s="129"/>
      <c r="N127" s="129"/>
      <c r="O127" s="130"/>
      <c r="P127" s="300"/>
      <c r="S127" s="357"/>
      <c r="T127" s="578"/>
    </row>
    <row r="128" spans="1:20" s="1" customFormat="1" ht="81" customHeight="1">
      <c r="A128" s="888"/>
      <c r="B128" s="875"/>
      <c r="C128" s="550"/>
      <c r="D128" s="309" t="s">
        <v>409</v>
      </c>
      <c r="E128" s="311" t="s">
        <v>179</v>
      </c>
      <c r="F128" s="304">
        <f>+'MATRIZ GENERAL CONSOLIDADA'!D73</f>
        <v>5</v>
      </c>
      <c r="G128" s="304">
        <f>+'MATRIZ GENERAL CONSOLIDADA'!F73</f>
        <v>1.5</v>
      </c>
      <c r="H128" s="341">
        <f>+'MATRIZ GENERAL CONSOLIDADA'!E73</f>
        <v>106540933</v>
      </c>
      <c r="I128" s="341">
        <f>+'MATRIZ GENERAL CONSOLIDADA'!G73</f>
        <v>4689924.96</v>
      </c>
      <c r="J128" s="70">
        <f>+H128-I128</f>
        <v>101851008.04000001</v>
      </c>
      <c r="K128" s="357"/>
      <c r="L128" s="357"/>
      <c r="M128" s="129"/>
      <c r="N128" s="129"/>
      <c r="O128" s="130"/>
      <c r="P128" s="125"/>
      <c r="S128" s="357"/>
      <c r="T128" s="578"/>
    </row>
    <row r="129" spans="1:20" s="1" customFormat="1" ht="81" customHeight="1">
      <c r="A129" s="888"/>
      <c r="B129" s="875"/>
      <c r="C129" s="550"/>
      <c r="D129" s="277" t="s">
        <v>410</v>
      </c>
      <c r="E129" s="167" t="s">
        <v>1</v>
      </c>
      <c r="F129" s="304">
        <f>+'MATRIZ GENERAL CONSOLIDADA'!D74</f>
        <v>25</v>
      </c>
      <c r="G129" s="304">
        <f>+'MATRIZ GENERAL CONSOLIDADA'!F74</f>
        <v>12.5</v>
      </c>
      <c r="H129" s="341">
        <f>+'MATRIZ GENERAL CONSOLIDADA'!E74</f>
        <v>1917786348</v>
      </c>
      <c r="I129" s="341">
        <f>+'MATRIZ GENERAL CONSOLIDADA'!G74</f>
        <v>205857360</v>
      </c>
      <c r="J129" s="70"/>
      <c r="K129" s="357"/>
      <c r="L129" s="357"/>
      <c r="M129" s="129"/>
      <c r="N129" s="129"/>
      <c r="O129" s="130"/>
      <c r="P129" s="300"/>
      <c r="S129" s="357"/>
      <c r="T129" s="578"/>
    </row>
    <row r="130" spans="1:20" s="1" customFormat="1" ht="57">
      <c r="A130" s="888"/>
      <c r="B130" s="875"/>
      <c r="C130" s="550"/>
      <c r="D130" s="337" t="s">
        <v>411</v>
      </c>
      <c r="E130" s="311" t="s">
        <v>412</v>
      </c>
      <c r="F130" s="304">
        <f>+'MATRIZ GENERAL CONSOLIDADA'!D75</f>
        <v>20</v>
      </c>
      <c r="G130" s="304">
        <f>+'MATRIZ GENERAL CONSOLIDADA'!F75</f>
        <v>2</v>
      </c>
      <c r="H130" s="341">
        <f>+'MATRIZ GENERAL CONSOLIDADA'!E75</f>
        <v>239500000</v>
      </c>
      <c r="I130" s="341">
        <f>+'MATRIZ GENERAL CONSOLIDADA'!G75</f>
        <v>0</v>
      </c>
      <c r="J130" s="70">
        <f>+H130-I130</f>
        <v>239500000</v>
      </c>
      <c r="K130" s="357"/>
      <c r="L130" s="357"/>
      <c r="M130" s="519"/>
      <c r="N130" s="519"/>
      <c r="O130" s="519"/>
      <c r="P130" s="520"/>
      <c r="S130" s="357"/>
      <c r="T130" s="578"/>
    </row>
    <row r="131" spans="1:20" s="1" customFormat="1" ht="28.5">
      <c r="A131" s="888"/>
      <c r="B131" s="875"/>
      <c r="C131" s="550"/>
      <c r="D131" s="328" t="s">
        <v>413</v>
      </c>
      <c r="E131" s="311" t="s">
        <v>467</v>
      </c>
      <c r="F131" s="304">
        <f>+'MATRIZ GENERAL CONSOLIDADA'!D76</f>
        <v>1</v>
      </c>
      <c r="G131" s="304">
        <f>+'MATRIZ GENERAL CONSOLIDADA'!F76</f>
        <v>0.1</v>
      </c>
      <c r="H131" s="341">
        <f>+'MATRIZ GENERAL CONSOLIDADA'!E76</f>
        <v>414016000</v>
      </c>
      <c r="I131" s="341">
        <f>+'MATRIZ GENERAL CONSOLIDADA'!G76</f>
        <v>0</v>
      </c>
      <c r="J131" s="70"/>
      <c r="K131" s="357"/>
      <c r="L131" s="357"/>
      <c r="M131" s="519"/>
      <c r="N131" s="519"/>
      <c r="O131" s="519"/>
      <c r="P131" s="520"/>
      <c r="S131" s="357"/>
      <c r="T131" s="578"/>
    </row>
    <row r="132" spans="1:20" s="1" customFormat="1" ht="39.75" customHeight="1">
      <c r="A132" s="888"/>
      <c r="B132" s="875"/>
      <c r="C132" s="550"/>
      <c r="D132" s="328" t="s">
        <v>470</v>
      </c>
      <c r="E132" s="311" t="s">
        <v>471</v>
      </c>
      <c r="F132" s="304">
        <f>+'MATRIZ GENERAL CONSOLIDADA'!D77</f>
        <v>1</v>
      </c>
      <c r="G132" s="304">
        <f>+'MATRIZ GENERAL CONSOLIDADA'!F77</f>
        <v>0</v>
      </c>
      <c r="H132" s="341">
        <f>+'MATRIZ GENERAL CONSOLIDADA'!E77</f>
        <v>59640531</v>
      </c>
      <c r="I132" s="341">
        <f>+'MATRIZ GENERAL CONSOLIDADA'!G77</f>
        <v>2556290</v>
      </c>
      <c r="J132" s="70">
        <f>+H132-I132</f>
        <v>57084241</v>
      </c>
      <c r="K132" s="357"/>
      <c r="L132" s="357"/>
      <c r="M132" s="519"/>
      <c r="N132" s="519"/>
      <c r="O132" s="519"/>
      <c r="P132" s="519"/>
      <c r="S132" s="357"/>
      <c r="T132" s="578"/>
    </row>
    <row r="133" spans="1:20" s="1" customFormat="1" ht="18" customHeight="1">
      <c r="A133" s="888"/>
      <c r="B133" s="875"/>
      <c r="C133" s="562"/>
      <c r="D133" s="892" t="s">
        <v>319</v>
      </c>
      <c r="E133" s="893"/>
      <c r="F133" s="893"/>
      <c r="G133" s="894"/>
      <c r="H133" s="364">
        <f>SUM(H127:H132)</f>
        <v>3791085655</v>
      </c>
      <c r="J133" s="864">
        <f>+H133-I134</f>
        <v>3355893822.3280001</v>
      </c>
      <c r="K133" s="357"/>
      <c r="L133" s="357"/>
      <c r="M133" s="129"/>
      <c r="N133" s="129"/>
      <c r="O133" s="130"/>
      <c r="P133" s="125"/>
      <c r="S133" s="357"/>
      <c r="T133" s="578"/>
    </row>
    <row r="134" spans="1:20" s="1" customFormat="1" ht="18" customHeight="1">
      <c r="A134" s="888"/>
      <c r="B134" s="875"/>
      <c r="C134" s="562"/>
      <c r="D134" s="892" t="s">
        <v>320</v>
      </c>
      <c r="E134" s="893"/>
      <c r="F134" s="893"/>
      <c r="G134" s="893"/>
      <c r="H134" s="894"/>
      <c r="I134" s="381">
        <f>SUM(I127:I133)</f>
        <v>435191832.67200005</v>
      </c>
      <c r="J134" s="864"/>
      <c r="K134" s="357"/>
      <c r="L134" s="357"/>
      <c r="M134" s="129"/>
      <c r="N134" s="129"/>
      <c r="O134" s="130"/>
      <c r="P134" s="125"/>
      <c r="S134" s="357"/>
      <c r="T134" s="578"/>
    </row>
    <row r="135" spans="1:20" s="1" customFormat="1" ht="18" customHeight="1">
      <c r="A135" s="888"/>
      <c r="B135" s="875"/>
      <c r="C135" s="562"/>
      <c r="D135" s="892" t="s">
        <v>321</v>
      </c>
      <c r="E135" s="893"/>
      <c r="F135" s="893"/>
      <c r="G135" s="893"/>
      <c r="H135" s="894"/>
      <c r="I135" s="536" t="e">
        <f>+'Anexo 1 Matriz SINA Inf Gestión'!#REF!/100</f>
        <v>#REF!</v>
      </c>
      <c r="J135" s="864"/>
      <c r="K135" s="357"/>
      <c r="L135" s="357"/>
      <c r="M135" s="129"/>
      <c r="N135" s="129"/>
      <c r="O135" s="130"/>
      <c r="P135" s="125"/>
      <c r="S135" s="357"/>
      <c r="T135" s="578"/>
    </row>
    <row r="136" spans="1:20" s="1" customFormat="1" ht="18" customHeight="1">
      <c r="A136" s="888"/>
      <c r="B136" s="875"/>
      <c r="C136" s="562"/>
      <c r="D136" s="892" t="s">
        <v>479</v>
      </c>
      <c r="E136" s="893"/>
      <c r="F136" s="893"/>
      <c r="G136" s="893"/>
      <c r="H136" s="894"/>
      <c r="I136" s="408" t="e">
        <f>+'Anexo 1 Matriz SINA Inf Gestión'!#REF!/100</f>
        <v>#REF!</v>
      </c>
      <c r="J136" s="864"/>
      <c r="K136" s="357"/>
      <c r="L136" s="357"/>
      <c r="M136" s="129"/>
      <c r="N136" s="129"/>
      <c r="O136" s="130"/>
      <c r="P136" s="125"/>
      <c r="S136" s="357"/>
      <c r="T136" s="578"/>
    </row>
    <row r="137" spans="1:20" s="1" customFormat="1" ht="16.5" customHeight="1">
      <c r="A137" s="888"/>
      <c r="B137" s="865" t="s">
        <v>306</v>
      </c>
      <c r="C137" s="554"/>
      <c r="D137" s="869" t="s">
        <v>307</v>
      </c>
      <c r="E137" s="866" t="s">
        <v>95</v>
      </c>
      <c r="F137" s="866" t="s">
        <v>308</v>
      </c>
      <c r="G137" s="866"/>
      <c r="H137" s="895" t="s">
        <v>309</v>
      </c>
      <c r="I137" s="895"/>
      <c r="J137" s="896"/>
      <c r="K137" s="357"/>
      <c r="L137" s="357"/>
      <c r="M137" s="129"/>
      <c r="N137" s="129"/>
      <c r="O137" s="130"/>
      <c r="P137" s="125"/>
      <c r="S137" s="357"/>
      <c r="T137" s="578"/>
    </row>
    <row r="138" spans="1:20" s="1" customFormat="1" ht="30">
      <c r="A138" s="888"/>
      <c r="B138" s="865"/>
      <c r="C138" s="554"/>
      <c r="D138" s="870"/>
      <c r="E138" s="866"/>
      <c r="F138" s="361" t="s">
        <v>310</v>
      </c>
      <c r="G138" s="361" t="s">
        <v>311</v>
      </c>
      <c r="H138" s="362" t="s">
        <v>312</v>
      </c>
      <c r="I138" s="557" t="s">
        <v>313</v>
      </c>
      <c r="J138" s="558" t="s">
        <v>314</v>
      </c>
      <c r="K138" s="357"/>
      <c r="L138" s="357"/>
      <c r="M138" s="129"/>
      <c r="N138" s="129"/>
      <c r="O138" s="130"/>
      <c r="P138" s="125"/>
      <c r="S138" s="357"/>
      <c r="T138" s="578"/>
    </row>
    <row r="139" spans="1:20" s="1" customFormat="1" ht="40.5" customHeight="1">
      <c r="A139" s="888"/>
      <c r="B139" s="874" t="s">
        <v>490</v>
      </c>
      <c r="C139" s="551"/>
      <c r="D139" s="369" t="s">
        <v>414</v>
      </c>
      <c r="E139" s="311" t="s">
        <v>415</v>
      </c>
      <c r="F139" s="304">
        <f>+'MATRIZ GENERAL CONSOLIDADA'!D79</f>
        <v>100</v>
      </c>
      <c r="G139" s="304">
        <f>+'MATRIZ GENERAL CONSOLIDADA'!F79</f>
        <v>50</v>
      </c>
      <c r="H139" s="341">
        <f>+'MATRIZ GENERAL CONSOLIDADA'!E79</f>
        <v>3793198954.8000002</v>
      </c>
      <c r="I139" s="341">
        <f>+'MATRIZ GENERAL CONSOLIDADA'!G79</f>
        <v>221809560</v>
      </c>
      <c r="J139" s="70">
        <f>+H139-I139</f>
        <v>3571389394.8000002</v>
      </c>
      <c r="K139" s="357"/>
      <c r="L139" s="357"/>
      <c r="M139" s="129"/>
      <c r="N139" s="129"/>
      <c r="O139" s="130"/>
      <c r="P139" s="125"/>
      <c r="S139" s="357"/>
      <c r="T139" s="578"/>
    </row>
    <row r="140" spans="1:20" s="1" customFormat="1" ht="38.25" customHeight="1">
      <c r="A140" s="888"/>
      <c r="B140" s="875"/>
      <c r="C140" s="550"/>
      <c r="D140" s="369" t="s">
        <v>416</v>
      </c>
      <c r="E140" s="311" t="s">
        <v>130</v>
      </c>
      <c r="F140" s="304">
        <f>+'MATRIZ GENERAL CONSOLIDADA'!D80</f>
        <v>1</v>
      </c>
      <c r="G140" s="304">
        <f>+'MATRIZ GENERAL CONSOLIDADA'!F80</f>
        <v>1</v>
      </c>
      <c r="H140" s="341">
        <f>+'MATRIZ GENERAL CONSOLIDADA'!E80</f>
        <v>157562900</v>
      </c>
      <c r="I140" s="341">
        <f>+'MATRIZ GENERAL CONSOLIDADA'!G80</f>
        <v>25562900</v>
      </c>
      <c r="J140" s="70">
        <f>+H140-I140</f>
        <v>132000000</v>
      </c>
      <c r="K140" s="357"/>
      <c r="L140" s="357"/>
      <c r="M140" s="129"/>
      <c r="N140" s="129"/>
      <c r="O140" s="130"/>
      <c r="P140" s="125"/>
      <c r="S140" s="357"/>
      <c r="T140" s="578"/>
    </row>
    <row r="141" spans="1:20" s="1" customFormat="1" ht="57.75" customHeight="1">
      <c r="A141" s="888"/>
      <c r="B141" s="875"/>
      <c r="C141" s="550"/>
      <c r="D141" s="369" t="s">
        <v>417</v>
      </c>
      <c r="E141" s="311" t="s">
        <v>1</v>
      </c>
      <c r="F141" s="304" t="e">
        <f>+'MATRIZ GENERAL CONSOLIDADA'!#REF!</f>
        <v>#REF!</v>
      </c>
      <c r="G141" s="304" t="e">
        <f>+'MATRIZ GENERAL CONSOLIDADA'!#REF!</f>
        <v>#REF!</v>
      </c>
      <c r="H141" s="341" t="e">
        <f>+'MATRIZ GENERAL CONSOLIDADA'!#REF!</f>
        <v>#REF!</v>
      </c>
      <c r="I141" s="341" t="e">
        <f>+'MATRIZ GENERAL CONSOLIDADA'!#REF!</f>
        <v>#REF!</v>
      </c>
      <c r="J141" s="70" t="e">
        <f>+H141-I141</f>
        <v>#REF!</v>
      </c>
      <c r="K141" s="357"/>
      <c r="L141" s="357"/>
      <c r="M141" s="129"/>
      <c r="N141" s="129"/>
      <c r="O141" s="130"/>
      <c r="P141" s="125"/>
      <c r="S141" s="357"/>
      <c r="T141" s="578"/>
    </row>
    <row r="142" spans="1:20" s="1" customFormat="1" ht="77.25" customHeight="1">
      <c r="A142" s="888"/>
      <c r="B142" s="875"/>
      <c r="C142" s="562"/>
      <c r="D142" s="369" t="s">
        <v>418</v>
      </c>
      <c r="E142" s="311" t="s">
        <v>419</v>
      </c>
      <c r="F142" s="304" t="e">
        <f>+'MATRIZ GENERAL CONSOLIDADA'!#REF!</f>
        <v>#REF!</v>
      </c>
      <c r="G142" s="304" t="e">
        <f>+'MATRIZ GENERAL CONSOLIDADA'!#REF!</f>
        <v>#REF!</v>
      </c>
      <c r="H142" s="341" t="e">
        <f>+'MATRIZ GENERAL CONSOLIDADA'!#REF!</f>
        <v>#REF!</v>
      </c>
      <c r="I142" s="341" t="e">
        <f>+'MATRIZ GENERAL CONSOLIDADA'!#REF!</f>
        <v>#REF!</v>
      </c>
      <c r="J142" s="70" t="e">
        <f>+H142-I142</f>
        <v>#REF!</v>
      </c>
      <c r="K142" s="357"/>
      <c r="L142" s="357"/>
      <c r="M142" s="129"/>
      <c r="N142" s="129"/>
      <c r="O142" s="130"/>
      <c r="P142" s="125"/>
      <c r="S142" s="357"/>
      <c r="T142" s="578"/>
    </row>
    <row r="143" spans="1:20" s="1" customFormat="1" ht="15">
      <c r="A143" s="888"/>
      <c r="B143" s="875"/>
      <c r="C143" s="562"/>
      <c r="D143" s="861" t="s">
        <v>319</v>
      </c>
      <c r="E143" s="862"/>
      <c r="F143" s="862"/>
      <c r="G143" s="863"/>
      <c r="H143" s="381" t="e">
        <f>SUM(H139:H142)</f>
        <v>#REF!</v>
      </c>
      <c r="I143" s="384"/>
      <c r="J143" s="864" t="e">
        <f>+H143-I144</f>
        <v>#REF!</v>
      </c>
      <c r="K143" s="357"/>
      <c r="L143" s="357"/>
      <c r="M143" s="129"/>
      <c r="N143" s="129"/>
      <c r="O143" s="130"/>
      <c r="P143" s="125"/>
      <c r="S143" s="357"/>
      <c r="T143" s="578"/>
    </row>
    <row r="144" spans="1:20" s="1" customFormat="1" ht="18" customHeight="1">
      <c r="A144" s="888"/>
      <c r="B144" s="875"/>
      <c r="C144" s="562"/>
      <c r="D144" s="861" t="s">
        <v>320</v>
      </c>
      <c r="E144" s="862"/>
      <c r="F144" s="862"/>
      <c r="G144" s="862"/>
      <c r="H144" s="863"/>
      <c r="I144" s="364" t="e">
        <f>SUM(I139:I143)</f>
        <v>#REF!</v>
      </c>
      <c r="J144" s="864"/>
      <c r="K144" s="357"/>
      <c r="L144" s="357"/>
      <c r="M144" s="129"/>
      <c r="N144" s="129"/>
      <c r="O144" s="130"/>
      <c r="P144" s="125"/>
      <c r="S144" s="357"/>
      <c r="T144" s="578"/>
    </row>
    <row r="145" spans="1:20" s="1" customFormat="1" ht="18" customHeight="1">
      <c r="A145" s="888"/>
      <c r="B145" s="875"/>
      <c r="C145" s="562"/>
      <c r="D145" s="892" t="s">
        <v>321</v>
      </c>
      <c r="E145" s="893"/>
      <c r="F145" s="893"/>
      <c r="G145" s="893"/>
      <c r="H145" s="894"/>
      <c r="I145" s="601">
        <f>+'Anexo 1 Matriz SINA Inf Gestión'!Q72/100</f>
        <v>2.3720300096836864</v>
      </c>
      <c r="J145" s="864"/>
      <c r="K145" s="357"/>
      <c r="L145" s="357"/>
      <c r="M145" s="129"/>
      <c r="N145" s="129"/>
      <c r="O145" s="130"/>
      <c r="P145" s="125"/>
      <c r="S145" s="357"/>
      <c r="T145" s="578"/>
    </row>
    <row r="146" spans="1:20" s="1" customFormat="1" ht="18" customHeight="1">
      <c r="A146" s="888"/>
      <c r="B146" s="875"/>
      <c r="C146" s="562"/>
      <c r="D146" s="861" t="s">
        <v>479</v>
      </c>
      <c r="E146" s="862"/>
      <c r="F146" s="862"/>
      <c r="G146" s="862"/>
      <c r="H146" s="863"/>
      <c r="I146" s="529">
        <f>+'Anexo 1 Matriz SINA Inf Gestión'!J72/100</f>
        <v>0.26666666666666666</v>
      </c>
      <c r="J146" s="864"/>
      <c r="K146" s="357"/>
      <c r="L146" s="357"/>
      <c r="M146" s="129"/>
      <c r="N146" s="129"/>
      <c r="O146" s="130"/>
      <c r="P146" s="125"/>
      <c r="S146" s="357"/>
      <c r="T146" s="578"/>
    </row>
    <row r="147" spans="1:20" s="1" customFormat="1" ht="26.25" customHeight="1">
      <c r="A147" s="905" t="s">
        <v>305</v>
      </c>
      <c r="B147" s="865" t="s">
        <v>306</v>
      </c>
      <c r="C147" s="554"/>
      <c r="D147" s="382"/>
      <c r="E147" s="866" t="s">
        <v>95</v>
      </c>
      <c r="F147" s="866" t="s">
        <v>308</v>
      </c>
      <c r="G147" s="866"/>
      <c r="H147" s="895" t="s">
        <v>309</v>
      </c>
      <c r="I147" s="895"/>
      <c r="J147" s="896"/>
      <c r="K147" s="357"/>
      <c r="L147" s="357"/>
      <c r="M147" s="129"/>
      <c r="N147" s="129"/>
      <c r="O147" s="130"/>
      <c r="P147" s="125"/>
      <c r="S147" s="357"/>
      <c r="T147" s="578"/>
    </row>
    <row r="148" spans="1:20" s="1" customFormat="1" ht="47.25" customHeight="1">
      <c r="A148" s="905"/>
      <c r="B148" s="865"/>
      <c r="C148" s="554"/>
      <c r="D148" s="555" t="s">
        <v>488</v>
      </c>
      <c r="E148" s="866"/>
      <c r="F148" s="361" t="s">
        <v>310</v>
      </c>
      <c r="G148" s="361" t="s">
        <v>311</v>
      </c>
      <c r="H148" s="362" t="s">
        <v>312</v>
      </c>
      <c r="I148" s="557" t="s">
        <v>313</v>
      </c>
      <c r="J148" s="558" t="s">
        <v>314</v>
      </c>
      <c r="K148" s="357"/>
      <c r="L148" s="357"/>
      <c r="M148" s="129"/>
      <c r="N148" s="129"/>
      <c r="O148" s="130"/>
      <c r="P148" s="125"/>
      <c r="S148" s="357"/>
      <c r="T148" s="578"/>
    </row>
    <row r="149" spans="1:20" s="1" customFormat="1" ht="38.25" customHeight="1">
      <c r="A149" s="887" t="s">
        <v>444</v>
      </c>
      <c r="B149" s="874" t="s">
        <v>445</v>
      </c>
      <c r="C149" s="550"/>
      <c r="D149" s="369" t="s">
        <v>420</v>
      </c>
      <c r="E149" s="311" t="s">
        <v>468</v>
      </c>
      <c r="F149" s="304" t="e">
        <f>+'MATRIZ GENERAL CONSOLIDADA'!#REF!</f>
        <v>#REF!</v>
      </c>
      <c r="G149" s="304" t="e">
        <f>+'MATRIZ GENERAL CONSOLIDADA'!#REF!</f>
        <v>#REF!</v>
      </c>
      <c r="H149" s="341" t="e">
        <f>+'MATRIZ GENERAL CONSOLIDADA'!#REF!</f>
        <v>#REF!</v>
      </c>
      <c r="I149" s="341" t="e">
        <f>+'MATRIZ GENERAL CONSOLIDADA'!#REF!</f>
        <v>#REF!</v>
      </c>
      <c r="J149" s="70" t="e">
        <f t="shared" ref="J149:J157" si="6">+H149-I149</f>
        <v>#REF!</v>
      </c>
      <c r="K149" s="357"/>
      <c r="L149" s="357"/>
      <c r="M149" s="129">
        <v>70091</v>
      </c>
      <c r="N149" s="129"/>
      <c r="O149" s="130">
        <v>413662</v>
      </c>
      <c r="P149" s="125"/>
      <c r="S149" s="357"/>
      <c r="T149" s="578"/>
    </row>
    <row r="150" spans="1:20" s="1" customFormat="1" ht="38.25" customHeight="1">
      <c r="A150" s="888"/>
      <c r="B150" s="875"/>
      <c r="C150" s="550"/>
      <c r="D150" s="369" t="s">
        <v>421</v>
      </c>
      <c r="E150" s="311" t="s">
        <v>1</v>
      </c>
      <c r="F150" s="304" t="e">
        <f>+'MATRIZ GENERAL CONSOLIDADA'!#REF!</f>
        <v>#REF!</v>
      </c>
      <c r="G150" s="304" t="e">
        <f>+'MATRIZ GENERAL CONSOLIDADA'!#REF!</f>
        <v>#REF!</v>
      </c>
      <c r="H150" s="341" t="e">
        <f>+'MATRIZ GENERAL CONSOLIDADA'!#REF!</f>
        <v>#REF!</v>
      </c>
      <c r="I150" s="341" t="e">
        <f>+'MATRIZ GENERAL CONSOLIDADA'!#REF!</f>
        <v>#REF!</v>
      </c>
      <c r="J150" s="70" t="e">
        <f t="shared" si="6"/>
        <v>#REF!</v>
      </c>
      <c r="K150" s="357"/>
      <c r="L150" s="357"/>
      <c r="M150" s="129"/>
      <c r="N150" s="129"/>
      <c r="O150" s="130"/>
      <c r="P150" s="125"/>
      <c r="S150" s="357"/>
      <c r="T150" s="578"/>
    </row>
    <row r="151" spans="1:20" s="1" customFormat="1" ht="40.5" customHeight="1">
      <c r="A151" s="888"/>
      <c r="B151" s="875"/>
      <c r="C151" s="550"/>
      <c r="D151" s="369" t="s">
        <v>491</v>
      </c>
      <c r="E151" s="311" t="s">
        <v>178</v>
      </c>
      <c r="F151" s="304" t="e">
        <f>+'MATRIZ GENERAL CONSOLIDADA'!#REF!</f>
        <v>#REF!</v>
      </c>
      <c r="G151" s="404" t="e">
        <f>+'MATRIZ GENERAL CONSOLIDADA'!#REF!</f>
        <v>#REF!</v>
      </c>
      <c r="H151" s="341" t="e">
        <f>+'MATRIZ GENERAL CONSOLIDADA'!#REF!</f>
        <v>#REF!</v>
      </c>
      <c r="I151" s="341" t="e">
        <f>+'MATRIZ GENERAL CONSOLIDADA'!#REF!</f>
        <v>#REF!</v>
      </c>
      <c r="J151" s="70" t="e">
        <f t="shared" si="6"/>
        <v>#REF!</v>
      </c>
      <c r="K151" s="357"/>
      <c r="L151" s="357"/>
      <c r="M151" s="129"/>
      <c r="N151" s="129"/>
      <c r="O151" s="130"/>
      <c r="P151" s="125"/>
      <c r="S151" s="357"/>
      <c r="T151" s="578"/>
    </row>
    <row r="152" spans="1:20" s="1" customFormat="1" ht="40.5" customHeight="1">
      <c r="A152" s="888"/>
      <c r="B152" s="875"/>
      <c r="C152" s="550"/>
      <c r="D152" s="326" t="s">
        <v>422</v>
      </c>
      <c r="E152" s="576" t="s">
        <v>192</v>
      </c>
      <c r="F152" s="304" t="e">
        <f>+'MATRIZ GENERAL CONSOLIDADA'!#REF!</f>
        <v>#REF!</v>
      </c>
      <c r="G152" s="304" t="e">
        <f>+'MATRIZ GENERAL CONSOLIDADA'!#REF!</f>
        <v>#REF!</v>
      </c>
      <c r="H152" s="341" t="e">
        <f>+'MATRIZ GENERAL CONSOLIDADA'!#REF!</f>
        <v>#REF!</v>
      </c>
      <c r="I152" s="341" t="e">
        <f>+'MATRIZ GENERAL CONSOLIDADA'!#REF!</f>
        <v>#REF!</v>
      </c>
      <c r="J152" s="70"/>
      <c r="K152" s="357"/>
      <c r="L152" s="357"/>
      <c r="M152" s="129"/>
      <c r="N152" s="129"/>
      <c r="O152" s="130"/>
      <c r="P152" s="125"/>
      <c r="S152" s="357"/>
      <c r="T152" s="578"/>
    </row>
    <row r="153" spans="1:20" s="1" customFormat="1" ht="61.5" customHeight="1">
      <c r="A153" s="888"/>
      <c r="B153" s="875"/>
      <c r="C153" s="550"/>
      <c r="D153" s="369" t="s">
        <v>423</v>
      </c>
      <c r="E153" s="311" t="s">
        <v>424</v>
      </c>
      <c r="F153" s="304" t="e">
        <f>+'MATRIZ GENERAL CONSOLIDADA'!#REF!</f>
        <v>#REF!</v>
      </c>
      <c r="G153" s="404" t="e">
        <f>+'MATRIZ GENERAL CONSOLIDADA'!#REF!</f>
        <v>#REF!</v>
      </c>
      <c r="H153" s="341" t="e">
        <f>+'MATRIZ GENERAL CONSOLIDADA'!#REF!</f>
        <v>#REF!</v>
      </c>
      <c r="I153" s="341" t="e">
        <f>+'MATRIZ GENERAL CONSOLIDADA'!#REF!</f>
        <v>#REF!</v>
      </c>
      <c r="J153" s="70" t="e">
        <f t="shared" si="6"/>
        <v>#REF!</v>
      </c>
      <c r="K153" s="357"/>
      <c r="L153" s="357"/>
      <c r="M153" s="129"/>
      <c r="N153" s="129"/>
      <c r="O153" s="130"/>
      <c r="P153" s="125"/>
      <c r="S153" s="357"/>
      <c r="T153" s="578"/>
    </row>
    <row r="154" spans="1:20" s="1" customFormat="1" ht="61.5" customHeight="1">
      <c r="A154" s="888"/>
      <c r="B154" s="875"/>
      <c r="C154" s="550"/>
      <c r="D154" s="326" t="s">
        <v>425</v>
      </c>
      <c r="E154" s="576" t="s">
        <v>462</v>
      </c>
      <c r="F154" s="304" t="e">
        <f>+'MATRIZ GENERAL CONSOLIDADA'!#REF!</f>
        <v>#REF!</v>
      </c>
      <c r="G154" s="304" t="e">
        <f>+'MATRIZ GENERAL CONSOLIDADA'!#REF!</f>
        <v>#REF!</v>
      </c>
      <c r="H154" s="341" t="e">
        <f>+'MATRIZ GENERAL CONSOLIDADA'!#REF!</f>
        <v>#REF!</v>
      </c>
      <c r="I154" s="341" t="e">
        <f>+'MATRIZ GENERAL CONSOLIDADA'!#REF!</f>
        <v>#REF!</v>
      </c>
      <c r="J154" s="70"/>
      <c r="K154" s="357"/>
      <c r="L154" s="357"/>
      <c r="M154" s="129"/>
      <c r="N154" s="129"/>
      <c r="O154" s="130"/>
      <c r="P154" s="125"/>
      <c r="S154" s="357"/>
      <c r="T154" s="578"/>
    </row>
    <row r="155" spans="1:20" s="1" customFormat="1" ht="25.5" customHeight="1">
      <c r="A155" s="888"/>
      <c r="B155" s="875"/>
      <c r="C155" s="550"/>
      <c r="D155" s="369" t="s">
        <v>426</v>
      </c>
      <c r="E155" s="311" t="s">
        <v>191</v>
      </c>
      <c r="F155" s="304" t="e">
        <f>+'MATRIZ GENERAL CONSOLIDADA'!#REF!</f>
        <v>#REF!</v>
      </c>
      <c r="G155" s="304" t="e">
        <f>+'MATRIZ GENERAL CONSOLIDADA'!#REF!</f>
        <v>#REF!</v>
      </c>
      <c r="H155" s="341" t="e">
        <f>+'MATRIZ GENERAL CONSOLIDADA'!#REF!</f>
        <v>#REF!</v>
      </c>
      <c r="I155" s="341" t="e">
        <f>+'MATRIZ GENERAL CONSOLIDADA'!#REF!</f>
        <v>#REF!</v>
      </c>
      <c r="J155" s="70" t="e">
        <f t="shared" si="6"/>
        <v>#REF!</v>
      </c>
      <c r="K155" s="357"/>
      <c r="L155" s="357"/>
      <c r="M155" s="129"/>
      <c r="N155" s="129"/>
      <c r="O155" s="130"/>
      <c r="P155" s="125"/>
      <c r="S155" s="357"/>
      <c r="T155" s="578"/>
    </row>
    <row r="156" spans="1:20" s="1" customFormat="1" ht="25.5" customHeight="1">
      <c r="A156" s="888"/>
      <c r="B156" s="875"/>
      <c r="C156" s="550"/>
      <c r="D156" s="326" t="s">
        <v>427</v>
      </c>
      <c r="E156" s="311" t="s">
        <v>130</v>
      </c>
      <c r="F156" s="304" t="e">
        <f>+'MATRIZ GENERAL CONSOLIDADA'!#REF!</f>
        <v>#REF!</v>
      </c>
      <c r="G156" s="304" t="e">
        <f>+'MATRIZ GENERAL CONSOLIDADA'!#REF!</f>
        <v>#REF!</v>
      </c>
      <c r="H156" s="341" t="e">
        <f>+'MATRIZ GENERAL CONSOLIDADA'!#REF!</f>
        <v>#REF!</v>
      </c>
      <c r="I156" s="341" t="e">
        <f>+'MATRIZ GENERAL CONSOLIDADA'!#REF!</f>
        <v>#REF!</v>
      </c>
      <c r="J156" s="70"/>
      <c r="K156" s="357"/>
      <c r="L156" s="357"/>
      <c r="M156" s="129"/>
      <c r="N156" s="129"/>
      <c r="O156" s="130"/>
      <c r="P156" s="125"/>
      <c r="S156" s="357"/>
      <c r="T156" s="578"/>
    </row>
    <row r="157" spans="1:20" s="1" customFormat="1" ht="35.25" customHeight="1">
      <c r="A157" s="888"/>
      <c r="B157" s="875"/>
      <c r="C157" s="550"/>
      <c r="D157" s="365" t="s">
        <v>470</v>
      </c>
      <c r="E157" s="311" t="s">
        <v>471</v>
      </c>
      <c r="F157" s="304" t="e">
        <f>+'MATRIZ GENERAL CONSOLIDADA'!#REF!</f>
        <v>#REF!</v>
      </c>
      <c r="G157" s="404">
        <v>0</v>
      </c>
      <c r="H157" s="341" t="e">
        <f>+'MATRIZ GENERAL CONSOLIDADA'!#REF!</f>
        <v>#REF!</v>
      </c>
      <c r="I157" s="341" t="e">
        <f>+'MATRIZ GENERAL CONSOLIDADA'!#REF!</f>
        <v>#REF!</v>
      </c>
      <c r="J157" s="70" t="e">
        <f t="shared" si="6"/>
        <v>#REF!</v>
      </c>
      <c r="K157" s="357"/>
      <c r="L157" s="357"/>
      <c r="M157" s="129"/>
      <c r="N157" s="129"/>
      <c r="O157" s="130"/>
      <c r="P157" s="125"/>
      <c r="S157" s="357"/>
      <c r="T157" s="578"/>
    </row>
    <row r="158" spans="1:20" s="1" customFormat="1" ht="15">
      <c r="A158" s="888"/>
      <c r="B158" s="875"/>
      <c r="C158" s="562"/>
      <c r="D158" s="892" t="s">
        <v>319</v>
      </c>
      <c r="E158" s="893"/>
      <c r="F158" s="893"/>
      <c r="G158" s="894"/>
      <c r="H158" s="364" t="e">
        <f>SUM(H149:H157)</f>
        <v>#REF!</v>
      </c>
      <c r="I158" s="341"/>
      <c r="J158" s="864" t="e">
        <f>+H158-I159</f>
        <v>#REF!</v>
      </c>
      <c r="K158" s="383">
        <v>21</v>
      </c>
      <c r="L158" s="357"/>
      <c r="M158" s="129"/>
      <c r="N158" s="129"/>
      <c r="O158" s="130"/>
      <c r="P158" s="125"/>
      <c r="S158" s="357"/>
      <c r="T158" s="578"/>
    </row>
    <row r="159" spans="1:20" s="139" customFormat="1" ht="19.5" customHeight="1">
      <c r="A159" s="888"/>
      <c r="B159" s="875"/>
      <c r="C159" s="562"/>
      <c r="D159" s="892" t="s">
        <v>320</v>
      </c>
      <c r="E159" s="893"/>
      <c r="F159" s="893"/>
      <c r="G159" s="893"/>
      <c r="H159" s="894"/>
      <c r="I159" s="364" t="e">
        <f>SUM(I149:I158)</f>
        <v>#REF!</v>
      </c>
      <c r="J159" s="864"/>
      <c r="K159" s="131">
        <v>8.7142857142857135</v>
      </c>
      <c r="L159" s="131"/>
      <c r="M159" s="132">
        <v>70091</v>
      </c>
      <c r="N159" s="132"/>
      <c r="O159" s="132">
        <v>413662</v>
      </c>
      <c r="P159" s="35"/>
      <c r="S159" s="131"/>
      <c r="T159" s="579"/>
    </row>
    <row r="160" spans="1:20" s="139" customFormat="1" ht="19.5" customHeight="1">
      <c r="A160" s="888"/>
      <c r="B160" s="875"/>
      <c r="C160" s="562"/>
      <c r="D160" s="892" t="s">
        <v>321</v>
      </c>
      <c r="E160" s="893"/>
      <c r="F160" s="893"/>
      <c r="G160" s="893"/>
      <c r="H160" s="894"/>
      <c r="I160" s="408">
        <f>+'Anexo 1 Matriz SINA Inf Gestión'!Q79/100</f>
        <v>0.22071492772116363</v>
      </c>
      <c r="J160" s="864"/>
      <c r="K160" s="131"/>
      <c r="L160" s="131"/>
      <c r="M160" s="132"/>
      <c r="N160" s="132"/>
      <c r="O160" s="132"/>
      <c r="P160" s="35"/>
      <c r="S160" s="131"/>
      <c r="T160" s="579"/>
    </row>
    <row r="161" spans="1:20" s="139" customFormat="1" ht="19.5" customHeight="1">
      <c r="A161" s="888"/>
      <c r="B161" s="875"/>
      <c r="C161" s="562"/>
      <c r="D161" s="892" t="s">
        <v>498</v>
      </c>
      <c r="E161" s="893"/>
      <c r="F161" s="893"/>
      <c r="G161" s="893"/>
      <c r="H161" s="894"/>
      <c r="I161" s="545">
        <f>+'Anexo 1 Matriz SINA Inf Gestión'!J79/100</f>
        <v>0.50495049504950495</v>
      </c>
      <c r="J161" s="864"/>
      <c r="K161" s="131"/>
      <c r="L161" s="131"/>
      <c r="M161" s="132"/>
      <c r="N161" s="132"/>
      <c r="O161" s="132"/>
      <c r="P161" s="35"/>
      <c r="S161" s="131"/>
      <c r="T161" s="579"/>
    </row>
    <row r="162" spans="1:20" s="139" customFormat="1" ht="37.5" customHeight="1">
      <c r="A162" s="888"/>
      <c r="B162" s="865" t="s">
        <v>306</v>
      </c>
      <c r="C162" s="554"/>
      <c r="D162" s="554"/>
      <c r="E162" s="866" t="s">
        <v>95</v>
      </c>
      <c r="F162" s="866" t="s">
        <v>308</v>
      </c>
      <c r="G162" s="866"/>
      <c r="H162" s="895" t="s">
        <v>309</v>
      </c>
      <c r="I162" s="895"/>
      <c r="J162" s="896"/>
      <c r="K162" s="131"/>
      <c r="L162" s="131"/>
      <c r="M162" s="132"/>
      <c r="N162" s="132"/>
      <c r="O162" s="132"/>
      <c r="P162" s="35"/>
      <c r="S162" s="131"/>
      <c r="T162" s="579"/>
    </row>
    <row r="163" spans="1:20" s="139" customFormat="1" ht="46.9" customHeight="1">
      <c r="A163" s="888"/>
      <c r="B163" s="865"/>
      <c r="C163" s="554"/>
      <c r="D163" s="555" t="s">
        <v>488</v>
      </c>
      <c r="E163" s="866"/>
      <c r="F163" s="361" t="s">
        <v>310</v>
      </c>
      <c r="G163" s="361" t="s">
        <v>311</v>
      </c>
      <c r="H163" s="362" t="s">
        <v>312</v>
      </c>
      <c r="I163" s="557" t="s">
        <v>313</v>
      </c>
      <c r="J163" s="558" t="s">
        <v>314</v>
      </c>
      <c r="K163" s="131"/>
      <c r="L163" s="131"/>
      <c r="M163" s="132"/>
      <c r="N163" s="132"/>
      <c r="O163" s="132"/>
      <c r="P163" s="35"/>
      <c r="S163" s="131"/>
      <c r="T163" s="579"/>
    </row>
    <row r="164" spans="1:20" s="139" customFormat="1" ht="36.75" customHeight="1">
      <c r="A164" s="888"/>
      <c r="B164" s="874" t="s">
        <v>483</v>
      </c>
      <c r="C164" s="551"/>
      <c r="D164" s="335" t="s">
        <v>428</v>
      </c>
      <c r="E164" s="311" t="s">
        <v>1</v>
      </c>
      <c r="F164" s="304" t="e">
        <f>+'MATRIZ GENERAL CONSOLIDADA'!#REF!</f>
        <v>#REF!</v>
      </c>
      <c r="G164" s="526" t="e">
        <f>+'MATRIZ GENERAL CONSOLIDADA'!#REF!</f>
        <v>#REF!</v>
      </c>
      <c r="H164" s="366" t="e">
        <f>+'MATRIZ GENERAL CONSOLIDADA'!#REF!</f>
        <v>#REF!</v>
      </c>
      <c r="I164" s="366" t="e">
        <f>+'MATRIZ GENERAL CONSOLIDADA'!#REF!</f>
        <v>#REF!</v>
      </c>
      <c r="J164" s="70" t="e">
        <f>+H164-I164</f>
        <v>#REF!</v>
      </c>
      <c r="K164" s="131"/>
      <c r="L164" s="131"/>
      <c r="M164" s="132"/>
      <c r="N164" s="132"/>
      <c r="O164" s="132"/>
      <c r="P164" s="35"/>
      <c r="Q164" s="139">
        <v>0.25</v>
      </c>
      <c r="R164" s="139">
        <v>66</v>
      </c>
      <c r="S164" s="131"/>
      <c r="T164" s="579"/>
    </row>
    <row r="165" spans="1:20" s="139" customFormat="1" ht="15">
      <c r="A165" s="888"/>
      <c r="B165" s="875"/>
      <c r="C165" s="581"/>
      <c r="D165" s="372" t="s">
        <v>429</v>
      </c>
      <c r="E165" s="311" t="s">
        <v>463</v>
      </c>
      <c r="F165" s="304" t="e">
        <f>+'MATRIZ GENERAL CONSOLIDADA'!#REF!</f>
        <v>#REF!</v>
      </c>
      <c r="G165" s="526" t="e">
        <f>+'MATRIZ GENERAL CONSOLIDADA'!#REF!</f>
        <v>#REF!</v>
      </c>
      <c r="H165" s="366" t="e">
        <f>+'MATRIZ GENERAL CONSOLIDADA'!#REF!</f>
        <v>#REF!</v>
      </c>
      <c r="I165" s="366" t="e">
        <f>+'MATRIZ GENERAL CONSOLIDADA'!#REF!</f>
        <v>#REF!</v>
      </c>
      <c r="J165" s="70" t="e">
        <f>+H165-I165</f>
        <v>#REF!</v>
      </c>
      <c r="K165" s="131"/>
      <c r="L165" s="131"/>
      <c r="M165" s="132"/>
      <c r="N165" s="132"/>
      <c r="O165" s="132"/>
      <c r="P165" s="35"/>
      <c r="Q165" s="139">
        <v>25</v>
      </c>
      <c r="R165" s="139">
        <v>37.5</v>
      </c>
      <c r="S165" s="131"/>
      <c r="T165" s="579"/>
    </row>
    <row r="166" spans="1:20" s="139" customFormat="1" ht="15">
      <c r="A166" s="888"/>
      <c r="B166" s="875"/>
      <c r="C166" s="581"/>
      <c r="D166" s="332" t="s">
        <v>430</v>
      </c>
      <c r="E166" s="311"/>
      <c r="F166" s="304" t="e">
        <f>+'MATRIZ GENERAL CONSOLIDADA'!#REF!</f>
        <v>#REF!</v>
      </c>
      <c r="G166" s="526" t="e">
        <f>+'MATRIZ GENERAL CONSOLIDADA'!#REF!</f>
        <v>#REF!</v>
      </c>
      <c r="H166" s="366" t="e">
        <f>+'MATRIZ GENERAL CONSOLIDADA'!#REF!</f>
        <v>#REF!</v>
      </c>
      <c r="I166" s="366" t="e">
        <f>+'MATRIZ GENERAL CONSOLIDADA'!#REF!</f>
        <v>#REF!</v>
      </c>
      <c r="J166" s="70"/>
      <c r="K166" s="131"/>
      <c r="L166" s="131"/>
      <c r="M166" s="140"/>
      <c r="N166" s="132"/>
      <c r="O166" s="132"/>
      <c r="P166" s="35"/>
      <c r="S166" s="131"/>
      <c r="T166" s="579"/>
    </row>
    <row r="167" spans="1:20" s="139" customFormat="1" ht="28.5">
      <c r="A167" s="888"/>
      <c r="B167" s="875"/>
      <c r="C167" s="581"/>
      <c r="D167" s="332" t="s">
        <v>431</v>
      </c>
      <c r="E167" s="311" t="s">
        <v>464</v>
      </c>
      <c r="F167" s="304" t="e">
        <f>+'MATRIZ GENERAL CONSOLIDADA'!#REF!</f>
        <v>#REF!</v>
      </c>
      <c r="G167" s="526" t="e">
        <f>+'MATRIZ GENERAL CONSOLIDADA'!#REF!</f>
        <v>#REF!</v>
      </c>
      <c r="H167" s="366" t="e">
        <f>+'MATRIZ GENERAL CONSOLIDADA'!#REF!</f>
        <v>#REF!</v>
      </c>
      <c r="I167" s="366" t="e">
        <f>+'MATRIZ GENERAL CONSOLIDADA'!#REF!</f>
        <v>#REF!</v>
      </c>
      <c r="J167" s="70" t="e">
        <f>+H167-I167</f>
        <v>#REF!</v>
      </c>
      <c r="K167" s="131"/>
      <c r="L167" s="131"/>
      <c r="M167" s="140"/>
      <c r="N167" s="132"/>
      <c r="O167" s="132"/>
      <c r="P167" s="35"/>
      <c r="S167" s="131"/>
      <c r="T167" s="579"/>
    </row>
    <row r="168" spans="1:20" s="139" customFormat="1" ht="42.75">
      <c r="A168" s="888"/>
      <c r="B168" s="875"/>
      <c r="C168" s="581"/>
      <c r="D168" s="332" t="s">
        <v>432</v>
      </c>
      <c r="E168" s="311" t="s">
        <v>191</v>
      </c>
      <c r="F168" s="304" t="e">
        <f>+'MATRIZ GENERAL CONSOLIDADA'!#REF!</f>
        <v>#REF!</v>
      </c>
      <c r="G168" s="526" t="e">
        <f>+'MATRIZ GENERAL CONSOLIDADA'!#REF!</f>
        <v>#REF!</v>
      </c>
      <c r="H168" s="366" t="e">
        <f>+'MATRIZ GENERAL CONSOLIDADA'!#REF!</f>
        <v>#REF!</v>
      </c>
      <c r="I168" s="366" t="e">
        <f>+'MATRIZ GENERAL CONSOLIDADA'!#REF!</f>
        <v>#REF!</v>
      </c>
      <c r="J168" s="70" t="e">
        <f>+H168-I168</f>
        <v>#REF!</v>
      </c>
      <c r="K168" s="131"/>
      <c r="L168" s="131"/>
      <c r="M168" s="140"/>
      <c r="N168" s="132"/>
      <c r="O168" s="132"/>
      <c r="P168" s="35"/>
      <c r="S168" s="131"/>
      <c r="T168" s="579"/>
    </row>
    <row r="169" spans="1:20" s="139" customFormat="1" ht="66" customHeight="1">
      <c r="A169" s="888"/>
      <c r="B169" s="875"/>
      <c r="C169" s="581"/>
      <c r="D169" s="369" t="s">
        <v>470</v>
      </c>
      <c r="E169" s="311" t="s">
        <v>471</v>
      </c>
      <c r="F169" s="304" t="e">
        <f>+'MATRIZ GENERAL CONSOLIDADA'!#REF!</f>
        <v>#REF!</v>
      </c>
      <c r="G169" s="526" t="e">
        <f>+'MATRIZ GENERAL CONSOLIDADA'!#REF!</f>
        <v>#REF!</v>
      </c>
      <c r="H169" s="366" t="e">
        <f>+'MATRIZ GENERAL CONSOLIDADA'!#REF!</f>
        <v>#REF!</v>
      </c>
      <c r="I169" s="341" t="e">
        <f>+'MATRIZ GENERAL CONSOLIDADA'!#REF!</f>
        <v>#REF!</v>
      </c>
      <c r="J169" s="70" t="e">
        <f>+H169-I169</f>
        <v>#REF!</v>
      </c>
      <c r="K169" s="131"/>
      <c r="L169" s="131"/>
      <c r="M169" s="140"/>
      <c r="N169" s="132"/>
      <c r="O169" s="132"/>
      <c r="P169" s="35"/>
      <c r="S169" s="131"/>
      <c r="T169" s="579"/>
    </row>
    <row r="170" spans="1:20" s="139" customFormat="1" ht="15">
      <c r="A170" s="888"/>
      <c r="B170" s="875"/>
      <c r="C170" s="552"/>
      <c r="D170" s="904" t="s">
        <v>319</v>
      </c>
      <c r="E170" s="904"/>
      <c r="F170" s="904"/>
      <c r="G170" s="904"/>
      <c r="H170" s="364" t="e">
        <f>SUM(H164:H169)</f>
        <v>#REF!</v>
      </c>
      <c r="J170" s="409"/>
      <c r="K170" s="141"/>
      <c r="L170" s="131"/>
      <c r="M170" s="131"/>
      <c r="N170" s="132"/>
      <c r="O170" s="132"/>
      <c r="P170" s="299"/>
      <c r="S170" s="131"/>
      <c r="T170" s="579"/>
    </row>
    <row r="171" spans="1:20" s="139" customFormat="1" ht="18" customHeight="1">
      <c r="A171" s="888"/>
      <c r="B171" s="875"/>
      <c r="C171" s="564"/>
      <c r="D171" s="904" t="s">
        <v>320</v>
      </c>
      <c r="E171" s="904"/>
      <c r="F171" s="904"/>
      <c r="G171" s="904"/>
      <c r="H171" s="904"/>
      <c r="I171" s="364" t="e">
        <f>SUM(I164:I170)</f>
        <v>#REF!</v>
      </c>
      <c r="J171" s="409" t="e">
        <f>+H170-I171</f>
        <v>#REF!</v>
      </c>
      <c r="K171" s="141"/>
      <c r="L171" s="131"/>
      <c r="M171" s="131"/>
      <c r="N171" s="132"/>
      <c r="O171" s="132"/>
      <c r="P171" s="299"/>
      <c r="R171" s="131"/>
      <c r="S171" s="131"/>
      <c r="T171" s="579"/>
    </row>
    <row r="172" spans="1:20" s="139" customFormat="1" ht="18" customHeight="1">
      <c r="A172" s="888"/>
      <c r="B172" s="875"/>
      <c r="C172" s="552"/>
      <c r="D172" s="904" t="s">
        <v>492</v>
      </c>
      <c r="E172" s="904"/>
      <c r="F172" s="904"/>
      <c r="G172" s="904"/>
      <c r="H172" s="904"/>
      <c r="I172" s="408" t="e">
        <f>+'Anexo 1 Matriz SINA Inf Gestión'!#REF!/100</f>
        <v>#REF!</v>
      </c>
      <c r="J172" s="410"/>
      <c r="K172" s="138"/>
      <c r="L172" s="131"/>
      <c r="M172" s="131"/>
      <c r="N172" s="132"/>
      <c r="O172" s="132"/>
      <c r="P172" s="299"/>
      <c r="R172" s="131"/>
      <c r="S172" s="131"/>
      <c r="T172" s="579"/>
    </row>
    <row r="173" spans="1:20" s="139" customFormat="1" ht="18" customHeight="1" thickBot="1">
      <c r="A173" s="888"/>
      <c r="B173" s="875"/>
      <c r="C173" s="552"/>
      <c r="D173" s="860" t="s">
        <v>479</v>
      </c>
      <c r="E173" s="860"/>
      <c r="F173" s="860"/>
      <c r="G173" s="860"/>
      <c r="H173" s="860"/>
      <c r="I173" s="408" t="e">
        <f>+'Anexo 1 Matriz SINA Inf Gestión'!#REF!/100</f>
        <v>#REF!</v>
      </c>
      <c r="J173" s="410"/>
      <c r="K173" s="138"/>
      <c r="L173" s="131"/>
      <c r="M173" s="131"/>
      <c r="N173" s="132"/>
      <c r="O173" s="132"/>
      <c r="P173" s="299"/>
      <c r="R173" s="131"/>
      <c r="S173" s="131"/>
      <c r="T173" s="579"/>
    </row>
    <row r="174" spans="1:20" ht="18" customHeight="1" thickBot="1">
      <c r="A174" s="922" t="s">
        <v>501</v>
      </c>
      <c r="B174" s="923"/>
      <c r="C174" s="923"/>
      <c r="D174" s="923"/>
      <c r="E174" s="923"/>
      <c r="F174" s="923"/>
      <c r="G174" s="923"/>
      <c r="H174" s="924"/>
      <c r="I174" s="582">
        <f>+'Anexo 1 Matriz SINA Inf Gestión'!O82</f>
        <v>101551672337.59323</v>
      </c>
      <c r="J174" s="884">
        <f>+I174-I175</f>
        <v>89193546223.382568</v>
      </c>
      <c r="T174" s="580">
        <f>+T172-T173</f>
        <v>0</v>
      </c>
    </row>
    <row r="175" spans="1:20" ht="18" customHeight="1" thickBot="1">
      <c r="A175" s="920" t="s">
        <v>502</v>
      </c>
      <c r="B175" s="921"/>
      <c r="C175" s="921"/>
      <c r="D175" s="921"/>
      <c r="E175" s="921"/>
      <c r="F175" s="921"/>
      <c r="G175" s="921"/>
      <c r="H175" s="921"/>
      <c r="I175" s="538">
        <f>+'Anexo 1 Matriz SINA Inf Gestión'!P82</f>
        <v>12358126114.210669</v>
      </c>
      <c r="J175" s="885"/>
    </row>
    <row r="176" spans="1:20" ht="18" customHeight="1" thickBot="1">
      <c r="A176" s="876" t="s">
        <v>503</v>
      </c>
      <c r="B176" s="877"/>
      <c r="C176" s="877"/>
      <c r="D176" s="877"/>
      <c r="E176" s="877"/>
      <c r="F176" s="877"/>
      <c r="G176" s="877"/>
      <c r="H176" s="877"/>
      <c r="I176" s="583">
        <f>+'Anexo 1 Matriz SINA Inf Gestión'!Q82/100</f>
        <v>0.12169298476078208</v>
      </c>
      <c r="J176" s="885"/>
      <c r="T176" s="580">
        <f>+I175-'Anexo 1 Matriz SINA Inf Gestión'!P82</f>
        <v>0</v>
      </c>
    </row>
    <row r="177" spans="1:20" ht="18" customHeight="1" thickBot="1">
      <c r="A177" s="871" t="s">
        <v>480</v>
      </c>
      <c r="B177" s="872"/>
      <c r="C177" s="872"/>
      <c r="D177" s="872"/>
      <c r="E177" s="872"/>
      <c r="F177" s="872"/>
      <c r="G177" s="872"/>
      <c r="H177" s="872"/>
      <c r="I177" s="584">
        <f>+'Anexo 1 Matriz SINA Inf Gestión'!J82/100</f>
        <v>3.6759380588918424</v>
      </c>
      <c r="J177" s="886"/>
      <c r="S177" s="618">
        <f>+I175+S180</f>
        <v>16408822957.753576</v>
      </c>
    </row>
    <row r="178" spans="1:20" s="1" customFormat="1">
      <c r="A178" s="522"/>
      <c r="B178" s="523"/>
      <c r="C178" s="523"/>
      <c r="D178" s="522"/>
      <c r="E178" s="522"/>
      <c r="F178" s="523"/>
      <c r="G178" s="571"/>
      <c r="H178" s="525"/>
      <c r="I178" s="525"/>
      <c r="J178" s="525"/>
      <c r="K178" s="357"/>
      <c r="L178" s="357"/>
      <c r="M178" s="519"/>
      <c r="N178" s="519"/>
      <c r="O178" s="519"/>
      <c r="P178" s="519"/>
      <c r="S178" s="618"/>
      <c r="T178" s="578"/>
    </row>
    <row r="179" spans="1:20" s="1" customFormat="1">
      <c r="A179" s="522"/>
      <c r="B179" s="523"/>
      <c r="C179" s="523"/>
      <c r="D179" s="522"/>
      <c r="E179" s="522"/>
      <c r="F179" s="523"/>
      <c r="G179" s="571"/>
      <c r="H179" s="525"/>
      <c r="I179" s="525"/>
      <c r="J179" s="525"/>
      <c r="K179" s="357"/>
      <c r="L179" s="357"/>
      <c r="M179" s="519"/>
      <c r="N179" s="519"/>
      <c r="O179" s="519"/>
      <c r="P179" s="519"/>
      <c r="S179" s="618">
        <f>+J174</f>
        <v>89193546223.382568</v>
      </c>
      <c r="T179" s="578"/>
    </row>
    <row r="180" spans="1:20" s="1" customFormat="1">
      <c r="A180" s="522"/>
      <c r="B180" s="523"/>
      <c r="C180" s="523"/>
      <c r="D180" s="522"/>
      <c r="E180" s="522"/>
      <c r="F180" s="523"/>
      <c r="G180" s="571"/>
      <c r="H180" s="525"/>
      <c r="I180" s="525"/>
      <c r="J180" s="525"/>
      <c r="K180" s="357"/>
      <c r="L180" s="357"/>
      <c r="M180" s="519"/>
      <c r="N180" s="519"/>
      <c r="O180" s="519"/>
      <c r="P180" s="519"/>
      <c r="S180" s="618">
        <v>4050696843.5429077</v>
      </c>
      <c r="T180" s="578"/>
    </row>
    <row r="181" spans="1:20" s="1" customFormat="1">
      <c r="A181" s="522"/>
      <c r="B181" s="523"/>
      <c r="C181" s="523"/>
      <c r="D181" s="522"/>
      <c r="E181" s="522"/>
      <c r="F181" s="523"/>
      <c r="G181" s="571"/>
      <c r="H181" s="525"/>
      <c r="I181" s="525"/>
      <c r="J181" s="525"/>
      <c r="K181" s="357"/>
      <c r="L181" s="357"/>
      <c r="M181" s="519"/>
      <c r="N181" s="519"/>
      <c r="O181" s="519"/>
      <c r="P181" s="519"/>
      <c r="S181" s="618">
        <f>+S179-S180</f>
        <v>85142849379.839661</v>
      </c>
      <c r="T181" s="578"/>
    </row>
    <row r="182" spans="1:20" s="1" customFormat="1">
      <c r="A182" s="522"/>
      <c r="B182" s="523"/>
      <c r="C182" s="523"/>
      <c r="D182" s="522"/>
      <c r="E182" s="522"/>
      <c r="F182" s="523"/>
      <c r="G182" s="571"/>
      <c r="H182" s="525"/>
      <c r="I182" s="525"/>
      <c r="J182" s="525"/>
      <c r="K182" s="357"/>
      <c r="L182" s="357"/>
      <c r="M182" s="519"/>
      <c r="N182" s="519"/>
      <c r="O182" s="519"/>
      <c r="P182" s="519"/>
      <c r="S182" s="618"/>
      <c r="T182" s="578"/>
    </row>
    <row r="183" spans="1:20" s="1" customFormat="1">
      <c r="A183" s="522"/>
      <c r="B183" s="523"/>
      <c r="C183" s="523"/>
      <c r="D183" s="522"/>
      <c r="E183" s="522"/>
      <c r="F183" s="523"/>
      <c r="G183" s="571"/>
      <c r="H183" s="525"/>
      <c r="I183" s="543"/>
      <c r="J183" s="525"/>
      <c r="K183" s="357"/>
      <c r="L183" s="357"/>
      <c r="M183" s="519"/>
      <c r="N183" s="519"/>
      <c r="O183" s="519"/>
      <c r="P183" s="519"/>
      <c r="S183" s="618"/>
      <c r="T183" s="578"/>
    </row>
    <row r="184" spans="1:20" s="1" customFormat="1">
      <c r="A184" s="522"/>
      <c r="B184" s="523"/>
      <c r="C184" s="523"/>
      <c r="D184" s="522"/>
      <c r="E184" s="522"/>
      <c r="F184" s="523"/>
      <c r="G184" s="571"/>
      <c r="H184" s="525"/>
      <c r="I184" s="543"/>
      <c r="J184" s="525"/>
      <c r="K184" s="357"/>
      <c r="L184" s="357"/>
      <c r="M184" s="519"/>
      <c r="N184" s="519"/>
      <c r="O184" s="519"/>
      <c r="P184" s="519"/>
      <c r="S184" s="618"/>
      <c r="T184" s="578"/>
    </row>
    <row r="185" spans="1:20" s="1" customFormat="1">
      <c r="A185" s="522"/>
      <c r="B185" s="523"/>
      <c r="C185" s="523"/>
      <c r="D185" s="522"/>
      <c r="E185" s="522"/>
      <c r="F185" s="523"/>
      <c r="G185" s="571"/>
      <c r="H185" s="525"/>
      <c r="I185" s="525"/>
      <c r="J185" s="525"/>
      <c r="K185" s="357"/>
      <c r="L185" s="357"/>
      <c r="M185" s="519"/>
      <c r="N185" s="519"/>
      <c r="O185" s="519"/>
      <c r="P185" s="519"/>
      <c r="S185" s="357"/>
      <c r="T185" s="578"/>
    </row>
    <row r="186" spans="1:20" s="1" customFormat="1">
      <c r="A186" s="522"/>
      <c r="B186" s="523"/>
      <c r="C186" s="523"/>
      <c r="D186" s="522"/>
      <c r="E186" s="522"/>
      <c r="F186" s="523"/>
      <c r="G186" s="571"/>
      <c r="H186" s="525"/>
      <c r="I186" s="525"/>
      <c r="J186" s="525"/>
      <c r="K186" s="357"/>
      <c r="L186" s="357"/>
      <c r="M186" s="519"/>
      <c r="N186" s="519"/>
      <c r="O186" s="519"/>
      <c r="P186" s="519"/>
      <c r="S186" s="357"/>
      <c r="T186" s="578"/>
    </row>
    <row r="187" spans="1:20" s="1" customFormat="1">
      <c r="A187" s="522"/>
      <c r="B187" s="523"/>
      <c r="C187" s="523"/>
      <c r="D187" s="522"/>
      <c r="E187" s="522"/>
      <c r="F187" s="523"/>
      <c r="G187" s="571"/>
      <c r="H187" s="525"/>
      <c r="I187" s="525"/>
      <c r="J187" s="525"/>
      <c r="K187" s="357"/>
      <c r="L187" s="357"/>
      <c r="M187" s="519"/>
      <c r="N187" s="519"/>
      <c r="O187" s="519"/>
      <c r="P187" s="519"/>
      <c r="S187" s="357"/>
      <c r="T187" s="578"/>
    </row>
    <row r="188" spans="1:20" s="1" customFormat="1">
      <c r="A188" s="522"/>
      <c r="B188" s="523"/>
      <c r="C188" s="523"/>
      <c r="D188" s="522"/>
      <c r="E188" s="522"/>
      <c r="F188" s="523"/>
      <c r="G188" s="571"/>
      <c r="H188" s="525"/>
      <c r="I188" s="525"/>
      <c r="J188" s="525"/>
      <c r="K188" s="357"/>
      <c r="L188" s="357"/>
      <c r="M188" s="519"/>
      <c r="N188" s="519"/>
      <c r="O188" s="519"/>
      <c r="P188" s="519"/>
      <c r="S188" s="357"/>
      <c r="T188" s="578"/>
    </row>
    <row r="189" spans="1:20" s="1" customFormat="1">
      <c r="A189" s="522"/>
      <c r="B189" s="523"/>
      <c r="C189" s="523"/>
      <c r="D189" s="522"/>
      <c r="E189" s="522"/>
      <c r="F189" s="523"/>
      <c r="G189" s="571"/>
      <c r="H189" s="525"/>
      <c r="I189" s="525"/>
      <c r="J189" s="525"/>
      <c r="K189" s="357"/>
      <c r="L189" s="357"/>
      <c r="M189" s="519"/>
      <c r="N189" s="519"/>
      <c r="O189" s="519"/>
      <c r="P189" s="519"/>
      <c r="S189" s="357"/>
      <c r="T189" s="578"/>
    </row>
    <row r="190" spans="1:20" s="1" customFormat="1">
      <c r="A190" s="522"/>
      <c r="B190" s="523"/>
      <c r="C190" s="523"/>
      <c r="D190" s="522"/>
      <c r="E190" s="522"/>
      <c r="F190" s="523"/>
      <c r="G190" s="571"/>
      <c r="H190" s="525"/>
      <c r="I190" s="525"/>
      <c r="J190" s="525"/>
      <c r="K190" s="357"/>
      <c r="L190" s="357"/>
      <c r="M190" s="519"/>
      <c r="N190" s="519"/>
      <c r="O190" s="519"/>
      <c r="P190" s="519"/>
      <c r="S190" s="357"/>
      <c r="T190" s="578"/>
    </row>
    <row r="191" spans="1:20" s="1" customFormat="1">
      <c r="A191" s="522"/>
      <c r="B191" s="523"/>
      <c r="C191" s="523"/>
      <c r="D191" s="522"/>
      <c r="E191" s="522"/>
      <c r="F191" s="523"/>
      <c r="G191" s="571"/>
      <c r="H191" s="525"/>
      <c r="I191" s="525"/>
      <c r="J191" s="525"/>
      <c r="K191" s="357"/>
      <c r="L191" s="357"/>
      <c r="M191" s="519"/>
      <c r="N191" s="519"/>
      <c r="O191" s="519"/>
      <c r="P191" s="519"/>
      <c r="S191" s="357"/>
      <c r="T191" s="578"/>
    </row>
    <row r="192" spans="1:20" s="1" customFormat="1">
      <c r="A192" s="522"/>
      <c r="B192" s="523"/>
      <c r="C192" s="523"/>
      <c r="D192" s="522"/>
      <c r="E192" s="522"/>
      <c r="F192" s="523"/>
      <c r="G192" s="571"/>
      <c r="H192" s="525"/>
      <c r="I192" s="525"/>
      <c r="J192" s="525"/>
      <c r="K192" s="357"/>
      <c r="L192" s="357"/>
      <c r="M192" s="519"/>
      <c r="N192" s="519"/>
      <c r="O192" s="519"/>
      <c r="P192" s="519"/>
      <c r="S192" s="357"/>
      <c r="T192" s="578"/>
    </row>
    <row r="193" spans="1:20" s="1" customFormat="1">
      <c r="A193" s="522"/>
      <c r="B193" s="523"/>
      <c r="C193" s="523"/>
      <c r="D193" s="522"/>
      <c r="E193" s="522"/>
      <c r="F193" s="523"/>
      <c r="G193" s="571"/>
      <c r="H193" s="525"/>
      <c r="I193" s="525"/>
      <c r="J193" s="525"/>
      <c r="K193" s="357"/>
      <c r="L193" s="357"/>
      <c r="M193" s="519"/>
      <c r="N193" s="519"/>
      <c r="O193" s="519"/>
      <c r="P193" s="519"/>
      <c r="S193" s="357"/>
      <c r="T193" s="578"/>
    </row>
    <row r="194" spans="1:20" s="1" customFormat="1">
      <c r="A194" s="522"/>
      <c r="B194" s="523"/>
      <c r="C194" s="523"/>
      <c r="D194" s="522"/>
      <c r="E194" s="522"/>
      <c r="F194" s="523"/>
      <c r="G194" s="571"/>
      <c r="H194" s="525"/>
      <c r="I194" s="525"/>
      <c r="J194" s="525"/>
      <c r="K194" s="357"/>
      <c r="L194" s="357"/>
      <c r="M194" s="519"/>
      <c r="N194" s="519"/>
      <c r="O194" s="519"/>
      <c r="P194" s="519"/>
      <c r="S194" s="357"/>
      <c r="T194" s="578"/>
    </row>
    <row r="195" spans="1:20" s="1" customFormat="1">
      <c r="A195" s="522"/>
      <c r="B195" s="523"/>
      <c r="C195" s="523"/>
      <c r="D195" s="522"/>
      <c r="E195" s="522"/>
      <c r="F195" s="523"/>
      <c r="G195" s="571"/>
      <c r="H195" s="525"/>
      <c r="I195" s="525"/>
      <c r="J195" s="525"/>
      <c r="K195" s="357"/>
      <c r="L195" s="357"/>
      <c r="M195" s="519"/>
      <c r="N195" s="519"/>
      <c r="O195" s="519"/>
      <c r="P195" s="519"/>
      <c r="S195" s="357"/>
      <c r="T195" s="578"/>
    </row>
    <row r="196" spans="1:20" s="1" customFormat="1">
      <c r="A196" s="522"/>
      <c r="B196" s="523"/>
      <c r="C196" s="523"/>
      <c r="D196" s="522"/>
      <c r="E196" s="522"/>
      <c r="F196" s="523"/>
      <c r="G196" s="571"/>
      <c r="H196" s="525"/>
      <c r="I196" s="525"/>
      <c r="J196" s="525"/>
      <c r="K196" s="357"/>
      <c r="L196" s="357"/>
      <c r="M196" s="519"/>
      <c r="N196" s="519"/>
      <c r="O196" s="519"/>
      <c r="P196" s="519"/>
      <c r="S196" s="357"/>
      <c r="T196" s="578"/>
    </row>
    <row r="197" spans="1:20" s="1" customFormat="1">
      <c r="A197" s="522"/>
      <c r="B197" s="523"/>
      <c r="C197" s="523"/>
      <c r="D197" s="522"/>
      <c r="E197" s="522"/>
      <c r="F197" s="523"/>
      <c r="G197" s="571"/>
      <c r="H197" s="525"/>
      <c r="I197" s="525"/>
      <c r="J197" s="525"/>
      <c r="K197" s="357"/>
      <c r="L197" s="357"/>
      <c r="M197" s="519"/>
      <c r="N197" s="519"/>
      <c r="O197" s="519"/>
      <c r="P197" s="519"/>
      <c r="S197" s="357"/>
      <c r="T197" s="578"/>
    </row>
    <row r="198" spans="1:20" s="1" customFormat="1">
      <c r="A198" s="522"/>
      <c r="B198" s="523"/>
      <c r="C198" s="523"/>
      <c r="D198" s="522"/>
      <c r="E198" s="522"/>
      <c r="F198" s="523"/>
      <c r="G198" s="571"/>
      <c r="H198" s="525"/>
      <c r="I198" s="525"/>
      <c r="J198" s="525"/>
      <c r="K198" s="357"/>
      <c r="L198" s="357"/>
      <c r="M198" s="519"/>
      <c r="N198" s="519"/>
      <c r="O198" s="519"/>
      <c r="P198" s="519"/>
      <c r="S198" s="357"/>
      <c r="T198" s="578"/>
    </row>
    <row r="199" spans="1:20" s="1" customFormat="1">
      <c r="A199" s="522"/>
      <c r="B199" s="523"/>
      <c r="C199" s="523"/>
      <c r="D199" s="522"/>
      <c r="E199" s="522"/>
      <c r="F199" s="523"/>
      <c r="G199" s="571"/>
      <c r="H199" s="525"/>
      <c r="I199" s="525"/>
      <c r="J199" s="525"/>
      <c r="K199" s="357"/>
      <c r="L199" s="357"/>
      <c r="M199" s="519"/>
      <c r="N199" s="519"/>
      <c r="O199" s="519"/>
      <c r="P199" s="519"/>
      <c r="S199" s="357"/>
      <c r="T199" s="578"/>
    </row>
    <row r="200" spans="1:20" s="1" customFormat="1">
      <c r="A200" s="522"/>
      <c r="B200" s="523"/>
      <c r="C200" s="523"/>
      <c r="D200" s="522"/>
      <c r="E200" s="522"/>
      <c r="F200" s="523"/>
      <c r="G200" s="571"/>
      <c r="H200" s="525"/>
      <c r="I200" s="525"/>
      <c r="J200" s="525"/>
      <c r="K200" s="357"/>
      <c r="L200" s="357"/>
      <c r="M200" s="519"/>
      <c r="N200" s="519"/>
      <c r="O200" s="519"/>
      <c r="P200" s="519"/>
      <c r="S200" s="357"/>
      <c r="T200" s="578"/>
    </row>
    <row r="201" spans="1:20" s="1" customFormat="1">
      <c r="A201" s="522"/>
      <c r="B201" s="523"/>
      <c r="C201" s="523"/>
      <c r="D201" s="522"/>
      <c r="E201" s="522"/>
      <c r="F201" s="523"/>
      <c r="G201" s="571"/>
      <c r="H201" s="525"/>
      <c r="I201" s="525"/>
      <c r="J201" s="525"/>
      <c r="K201" s="357"/>
      <c r="L201" s="357"/>
      <c r="M201" s="519"/>
      <c r="N201" s="519"/>
      <c r="O201" s="519"/>
      <c r="P201" s="519"/>
      <c r="S201" s="357"/>
      <c r="T201" s="578"/>
    </row>
    <row r="202" spans="1:20" s="1" customFormat="1">
      <c r="A202" s="522"/>
      <c r="B202" s="523"/>
      <c r="C202" s="523"/>
      <c r="D202" s="522"/>
      <c r="E202" s="522"/>
      <c r="F202" s="523"/>
      <c r="G202" s="571"/>
      <c r="H202" s="525"/>
      <c r="I202" s="525"/>
      <c r="J202" s="525"/>
      <c r="K202" s="357"/>
      <c r="L202" s="357"/>
      <c r="M202" s="519"/>
      <c r="N202" s="519"/>
      <c r="O202" s="519"/>
      <c r="P202" s="519"/>
      <c r="S202" s="357"/>
      <c r="T202" s="578"/>
    </row>
    <row r="203" spans="1:20" s="1" customFormat="1">
      <c r="A203" s="522"/>
      <c r="B203" s="523"/>
      <c r="C203" s="523"/>
      <c r="D203" s="522"/>
      <c r="E203" s="522"/>
      <c r="F203" s="523"/>
      <c r="G203" s="571"/>
      <c r="H203" s="525"/>
      <c r="I203" s="525"/>
      <c r="J203" s="525"/>
      <c r="K203" s="357"/>
      <c r="L203" s="357"/>
      <c r="M203" s="519"/>
      <c r="N203" s="519"/>
      <c r="O203" s="519"/>
      <c r="P203" s="519"/>
      <c r="S203" s="357"/>
      <c r="T203" s="578"/>
    </row>
    <row r="204" spans="1:20" s="1" customFormat="1">
      <c r="A204" s="522"/>
      <c r="B204" s="523"/>
      <c r="C204" s="523"/>
      <c r="D204" s="522"/>
      <c r="E204" s="522"/>
      <c r="F204" s="523"/>
      <c r="G204" s="571"/>
      <c r="H204" s="525"/>
      <c r="I204" s="525"/>
      <c r="J204" s="525"/>
      <c r="K204" s="357"/>
      <c r="L204" s="357"/>
      <c r="M204" s="519"/>
      <c r="N204" s="519"/>
      <c r="O204" s="519"/>
      <c r="P204" s="519"/>
      <c r="S204" s="357"/>
      <c r="T204" s="578"/>
    </row>
    <row r="205" spans="1:20" s="1" customFormat="1">
      <c r="A205" s="522"/>
      <c r="B205" s="523"/>
      <c r="C205" s="523"/>
      <c r="D205" s="522"/>
      <c r="E205" s="522"/>
      <c r="F205" s="523"/>
      <c r="G205" s="571"/>
      <c r="H205" s="525"/>
      <c r="I205" s="525"/>
      <c r="J205" s="525"/>
      <c r="K205" s="357"/>
      <c r="L205" s="357"/>
      <c r="M205" s="519"/>
      <c r="N205" s="519"/>
      <c r="O205" s="519"/>
      <c r="P205" s="519"/>
      <c r="S205" s="357"/>
      <c r="T205" s="578"/>
    </row>
    <row r="206" spans="1:20" s="1" customFormat="1">
      <c r="A206" s="522"/>
      <c r="B206" s="523"/>
      <c r="C206" s="523"/>
      <c r="D206" s="522"/>
      <c r="E206" s="522"/>
      <c r="F206" s="523"/>
      <c r="G206" s="571"/>
      <c r="H206" s="525"/>
      <c r="I206" s="525"/>
      <c r="J206" s="525"/>
      <c r="K206" s="357"/>
      <c r="L206" s="357"/>
      <c r="M206" s="519"/>
      <c r="N206" s="519"/>
      <c r="O206" s="519"/>
      <c r="P206" s="519"/>
      <c r="S206" s="357"/>
      <c r="T206" s="578"/>
    </row>
    <row r="207" spans="1:20" s="1" customFormat="1">
      <c r="A207" s="522"/>
      <c r="B207" s="523"/>
      <c r="C207" s="523"/>
      <c r="D207" s="522"/>
      <c r="E207" s="522"/>
      <c r="F207" s="523"/>
      <c r="G207" s="571"/>
      <c r="H207" s="525"/>
      <c r="I207" s="525"/>
      <c r="J207" s="525"/>
      <c r="K207" s="357"/>
      <c r="L207" s="357"/>
      <c r="M207" s="519"/>
      <c r="N207" s="519"/>
      <c r="O207" s="519"/>
      <c r="P207" s="519"/>
      <c r="S207" s="357"/>
      <c r="T207" s="578"/>
    </row>
    <row r="208" spans="1:20" s="1" customFormat="1">
      <c r="B208" s="353"/>
      <c r="C208" s="353"/>
      <c r="F208" s="353"/>
      <c r="G208" s="2"/>
      <c r="H208" s="143"/>
      <c r="I208" s="143"/>
      <c r="J208" s="143"/>
      <c r="K208" s="357"/>
      <c r="L208" s="357"/>
      <c r="M208" s="519"/>
      <c r="N208" s="519"/>
      <c r="O208" s="519"/>
      <c r="P208" s="519"/>
      <c r="S208" s="357"/>
      <c r="T208" s="578"/>
    </row>
    <row r="209" spans="2:20" s="1" customFormat="1">
      <c r="B209" s="353"/>
      <c r="C209" s="353"/>
      <c r="F209" s="353"/>
      <c r="G209" s="2"/>
      <c r="H209" s="143"/>
      <c r="I209" s="143"/>
      <c r="J209" s="143"/>
      <c r="K209" s="357"/>
      <c r="L209" s="357"/>
      <c r="M209" s="519"/>
      <c r="N209" s="519"/>
      <c r="O209" s="519"/>
      <c r="P209" s="519"/>
      <c r="S209" s="357"/>
      <c r="T209" s="578"/>
    </row>
    <row r="210" spans="2:20" s="1" customFormat="1">
      <c r="B210" s="353"/>
      <c r="C210" s="353"/>
      <c r="F210" s="353"/>
      <c r="G210" s="2"/>
      <c r="H210" s="143"/>
      <c r="I210" s="143"/>
      <c r="J210" s="143"/>
      <c r="K210" s="357"/>
      <c r="L210" s="357"/>
      <c r="M210" s="519"/>
      <c r="N210" s="519"/>
      <c r="O210" s="519"/>
      <c r="P210" s="519"/>
      <c r="S210" s="357"/>
      <c r="T210" s="578"/>
    </row>
    <row r="211" spans="2:20" s="1" customFormat="1">
      <c r="B211" s="353"/>
      <c r="C211" s="353"/>
      <c r="F211" s="353"/>
      <c r="G211" s="2"/>
      <c r="H211" s="143"/>
      <c r="I211" s="143"/>
      <c r="J211" s="143"/>
      <c r="K211" s="357"/>
      <c r="L211" s="357"/>
      <c r="M211" s="519"/>
      <c r="N211" s="519"/>
      <c r="O211" s="519"/>
      <c r="P211" s="519"/>
      <c r="S211" s="357"/>
      <c r="T211" s="578"/>
    </row>
    <row r="212" spans="2:20" s="1" customFormat="1">
      <c r="B212" s="353"/>
      <c r="C212" s="353"/>
      <c r="F212" s="353"/>
      <c r="G212" s="2"/>
      <c r="H212" s="143"/>
      <c r="I212" s="143"/>
      <c r="J212" s="143"/>
      <c r="K212" s="357"/>
      <c r="L212" s="357"/>
      <c r="M212" s="519"/>
      <c r="N212" s="519"/>
      <c r="O212" s="519"/>
      <c r="P212" s="519"/>
      <c r="S212" s="357"/>
      <c r="T212" s="578"/>
    </row>
    <row r="213" spans="2:20" s="1" customFormat="1">
      <c r="B213" s="353"/>
      <c r="C213" s="353"/>
      <c r="F213" s="353"/>
      <c r="G213" s="2"/>
      <c r="H213" s="143"/>
      <c r="I213" s="143"/>
      <c r="J213" s="143"/>
      <c r="K213" s="357"/>
      <c r="L213" s="357"/>
      <c r="M213" s="519"/>
      <c r="N213" s="519"/>
      <c r="O213" s="519"/>
      <c r="P213" s="519"/>
      <c r="S213" s="357"/>
      <c r="T213" s="578"/>
    </row>
    <row r="214" spans="2:20" s="1" customFormat="1">
      <c r="B214" s="353"/>
      <c r="C214" s="353"/>
      <c r="F214" s="353"/>
      <c r="G214" s="2"/>
      <c r="H214" s="143"/>
      <c r="I214" s="143"/>
      <c r="J214" s="143"/>
      <c r="K214" s="357"/>
      <c r="L214" s="357"/>
      <c r="M214" s="519"/>
      <c r="N214" s="519"/>
      <c r="O214" s="519"/>
      <c r="P214" s="519"/>
      <c r="S214" s="357"/>
      <c r="T214" s="578"/>
    </row>
    <row r="215" spans="2:20" s="1" customFormat="1">
      <c r="B215" s="353"/>
      <c r="C215" s="353"/>
      <c r="F215" s="353"/>
      <c r="G215" s="2"/>
      <c r="H215" s="143"/>
      <c r="I215" s="143"/>
      <c r="J215" s="143"/>
      <c r="K215" s="357"/>
      <c r="L215" s="357"/>
      <c r="M215" s="519"/>
      <c r="N215" s="519"/>
      <c r="O215" s="519"/>
      <c r="P215" s="519"/>
      <c r="S215" s="357"/>
      <c r="T215" s="578"/>
    </row>
    <row r="216" spans="2:20" s="1" customFormat="1">
      <c r="B216" s="353"/>
      <c r="C216" s="353"/>
      <c r="F216" s="353"/>
      <c r="G216" s="2"/>
      <c r="H216" s="143"/>
      <c r="I216" s="143"/>
      <c r="J216" s="143"/>
      <c r="K216" s="357"/>
      <c r="L216" s="357"/>
      <c r="M216" s="519"/>
      <c r="N216" s="519"/>
      <c r="O216" s="519"/>
      <c r="P216" s="519"/>
      <c r="S216" s="357"/>
      <c r="T216" s="578"/>
    </row>
    <row r="217" spans="2:20" s="1" customFormat="1">
      <c r="B217" s="353"/>
      <c r="C217" s="353"/>
      <c r="F217" s="353"/>
      <c r="G217" s="2"/>
      <c r="H217" s="143"/>
      <c r="I217" s="143"/>
      <c r="J217" s="143"/>
      <c r="K217" s="357"/>
      <c r="L217" s="357"/>
      <c r="M217" s="519"/>
      <c r="N217" s="519"/>
      <c r="O217" s="519"/>
      <c r="P217" s="519"/>
      <c r="S217" s="357"/>
      <c r="T217" s="578"/>
    </row>
    <row r="218" spans="2:20" s="1" customFormat="1">
      <c r="B218" s="353"/>
      <c r="C218" s="353"/>
      <c r="F218" s="353"/>
      <c r="G218" s="2"/>
      <c r="H218" s="143"/>
      <c r="I218" s="143"/>
      <c r="J218" s="143"/>
      <c r="K218" s="357"/>
      <c r="L218" s="357"/>
      <c r="M218" s="519"/>
      <c r="N218" s="519"/>
      <c r="O218" s="519"/>
      <c r="P218" s="519"/>
      <c r="S218" s="357"/>
      <c r="T218" s="578"/>
    </row>
    <row r="219" spans="2:20" s="1" customFormat="1">
      <c r="B219" s="353"/>
      <c r="C219" s="353"/>
      <c r="F219" s="353"/>
      <c r="G219" s="2"/>
      <c r="H219" s="143"/>
      <c r="I219" s="143"/>
      <c r="J219" s="143"/>
      <c r="K219" s="357"/>
      <c r="L219" s="357"/>
      <c r="M219" s="519"/>
      <c r="N219" s="519"/>
      <c r="O219" s="519"/>
      <c r="P219" s="519"/>
      <c r="S219" s="357"/>
      <c r="T219" s="578"/>
    </row>
    <row r="220" spans="2:20" s="1" customFormat="1">
      <c r="B220" s="353"/>
      <c r="C220" s="353"/>
      <c r="F220" s="353"/>
      <c r="G220" s="2"/>
      <c r="H220" s="143"/>
      <c r="I220" s="143"/>
      <c r="J220" s="143"/>
      <c r="K220" s="357"/>
      <c r="L220" s="357"/>
      <c r="M220" s="519"/>
      <c r="N220" s="519"/>
      <c r="O220" s="519"/>
      <c r="P220" s="519"/>
      <c r="S220" s="357"/>
      <c r="T220" s="578"/>
    </row>
    <row r="221" spans="2:20" s="1" customFormat="1">
      <c r="B221" s="353"/>
      <c r="C221" s="353"/>
      <c r="F221" s="353"/>
      <c r="G221" s="2"/>
      <c r="H221" s="143"/>
      <c r="I221" s="143"/>
      <c r="J221" s="143"/>
      <c r="K221" s="357"/>
      <c r="L221" s="357"/>
      <c r="M221" s="519"/>
      <c r="N221" s="519"/>
      <c r="O221" s="519"/>
      <c r="P221" s="519"/>
      <c r="S221" s="357"/>
      <c r="T221" s="578"/>
    </row>
    <row r="222" spans="2:20" s="1" customFormat="1">
      <c r="B222" s="353"/>
      <c r="C222" s="353"/>
      <c r="F222" s="353"/>
      <c r="G222" s="2"/>
      <c r="H222" s="143"/>
      <c r="I222" s="143"/>
      <c r="J222" s="143"/>
      <c r="K222" s="357"/>
      <c r="L222" s="357"/>
      <c r="M222" s="519"/>
      <c r="N222" s="519"/>
      <c r="O222" s="519"/>
      <c r="P222" s="519"/>
      <c r="S222" s="357"/>
      <c r="T222" s="578"/>
    </row>
    <row r="223" spans="2:20" s="1" customFormat="1">
      <c r="B223" s="353"/>
      <c r="C223" s="353"/>
      <c r="F223" s="353"/>
      <c r="G223" s="2"/>
      <c r="H223" s="143"/>
      <c r="I223" s="143"/>
      <c r="J223" s="143"/>
      <c r="K223" s="357"/>
      <c r="L223" s="357"/>
      <c r="M223" s="519"/>
      <c r="N223" s="519"/>
      <c r="O223" s="519"/>
      <c r="P223" s="519"/>
      <c r="S223" s="357"/>
      <c r="T223" s="578"/>
    </row>
    <row r="224" spans="2:20" s="1" customFormat="1">
      <c r="B224" s="353"/>
      <c r="C224" s="353"/>
      <c r="F224" s="353"/>
      <c r="G224" s="2"/>
      <c r="H224" s="143"/>
      <c r="I224" s="143"/>
      <c r="J224" s="143"/>
      <c r="K224" s="357"/>
      <c r="L224" s="357"/>
      <c r="M224" s="519"/>
      <c r="N224" s="519"/>
      <c r="O224" s="519"/>
      <c r="P224" s="519"/>
      <c r="S224" s="357"/>
      <c r="T224" s="578"/>
    </row>
    <row r="225" spans="2:20" s="1" customFormat="1">
      <c r="B225" s="353"/>
      <c r="C225" s="353"/>
      <c r="F225" s="353"/>
      <c r="G225" s="2"/>
      <c r="H225" s="143"/>
      <c r="I225" s="143"/>
      <c r="J225" s="143"/>
      <c r="K225" s="357"/>
      <c r="L225" s="357"/>
      <c r="M225" s="519"/>
      <c r="N225" s="519"/>
      <c r="O225" s="519"/>
      <c r="P225" s="519"/>
      <c r="S225" s="357"/>
      <c r="T225" s="578"/>
    </row>
    <row r="226" spans="2:20" s="1" customFormat="1">
      <c r="B226" s="353"/>
      <c r="C226" s="353"/>
      <c r="F226" s="353"/>
      <c r="G226" s="2"/>
      <c r="H226" s="143"/>
      <c r="I226" s="143"/>
      <c r="J226" s="143"/>
      <c r="K226" s="357"/>
      <c r="L226" s="357"/>
      <c r="M226" s="519"/>
      <c r="N226" s="519"/>
      <c r="O226" s="519"/>
      <c r="P226" s="519"/>
      <c r="S226" s="357"/>
      <c r="T226" s="578"/>
    </row>
    <row r="227" spans="2:20" s="1" customFormat="1">
      <c r="B227" s="353"/>
      <c r="C227" s="353"/>
      <c r="F227" s="353"/>
      <c r="G227" s="2"/>
      <c r="H227" s="143"/>
      <c r="I227" s="143"/>
      <c r="J227" s="143"/>
      <c r="K227" s="357"/>
      <c r="L227" s="357"/>
      <c r="M227" s="519"/>
      <c r="N227" s="519"/>
      <c r="O227" s="519"/>
      <c r="P227" s="519"/>
      <c r="S227" s="357"/>
      <c r="T227" s="578"/>
    </row>
    <row r="228" spans="2:20" s="1" customFormat="1">
      <c r="B228" s="353"/>
      <c r="C228" s="353"/>
      <c r="F228" s="353"/>
      <c r="G228" s="2"/>
      <c r="H228" s="143"/>
      <c r="I228" s="143"/>
      <c r="J228" s="143"/>
      <c r="K228" s="357"/>
      <c r="L228" s="357"/>
      <c r="M228" s="519"/>
      <c r="N228" s="519"/>
      <c r="O228" s="519"/>
      <c r="P228" s="519"/>
      <c r="S228" s="357"/>
      <c r="T228" s="578"/>
    </row>
    <row r="229" spans="2:20" s="1" customFormat="1">
      <c r="B229" s="353"/>
      <c r="C229" s="353"/>
      <c r="F229" s="353"/>
      <c r="G229" s="2"/>
      <c r="H229" s="143"/>
      <c r="I229" s="143"/>
      <c r="J229" s="143"/>
      <c r="K229" s="357"/>
      <c r="L229" s="357"/>
      <c r="M229" s="519"/>
      <c r="N229" s="519"/>
      <c r="O229" s="519"/>
      <c r="P229" s="519"/>
      <c r="S229" s="357"/>
      <c r="T229" s="578"/>
    </row>
    <row r="230" spans="2:20" s="1" customFormat="1">
      <c r="B230" s="353"/>
      <c r="C230" s="353"/>
      <c r="F230" s="353"/>
      <c r="G230" s="2"/>
      <c r="H230" s="143"/>
      <c r="I230" s="143"/>
      <c r="J230" s="143"/>
      <c r="K230" s="357"/>
      <c r="L230" s="357"/>
      <c r="M230" s="519"/>
      <c r="N230" s="519"/>
      <c r="O230" s="519"/>
      <c r="P230" s="519"/>
      <c r="S230" s="357"/>
      <c r="T230" s="578"/>
    </row>
    <row r="231" spans="2:20" s="1" customFormat="1">
      <c r="B231" s="353"/>
      <c r="C231" s="353"/>
      <c r="F231" s="353"/>
      <c r="G231" s="2"/>
      <c r="H231" s="143"/>
      <c r="I231" s="143"/>
      <c r="J231" s="143"/>
      <c r="K231" s="357"/>
      <c r="L231" s="357"/>
      <c r="M231" s="519"/>
      <c r="N231" s="519"/>
      <c r="O231" s="519"/>
      <c r="P231" s="519"/>
      <c r="S231" s="357"/>
      <c r="T231" s="578"/>
    </row>
    <row r="232" spans="2:20" s="1" customFormat="1">
      <c r="B232" s="353"/>
      <c r="C232" s="353"/>
      <c r="F232" s="353"/>
      <c r="G232" s="2"/>
      <c r="H232" s="143"/>
      <c r="I232" s="143"/>
      <c r="J232" s="143"/>
      <c r="K232" s="357"/>
      <c r="L232" s="357"/>
      <c r="M232" s="519"/>
      <c r="N232" s="519"/>
      <c r="O232" s="519"/>
      <c r="P232" s="519"/>
      <c r="S232" s="357"/>
      <c r="T232" s="578"/>
    </row>
    <row r="233" spans="2:20" s="1" customFormat="1">
      <c r="B233" s="353"/>
      <c r="C233" s="353"/>
      <c r="F233" s="353"/>
      <c r="G233" s="2"/>
      <c r="H233" s="143"/>
      <c r="I233" s="143"/>
      <c r="J233" s="143"/>
      <c r="K233" s="357"/>
      <c r="L233" s="357"/>
      <c r="M233" s="519"/>
      <c r="N233" s="519"/>
      <c r="O233" s="519"/>
      <c r="P233" s="519"/>
      <c r="S233" s="357"/>
      <c r="T233" s="578"/>
    </row>
    <row r="234" spans="2:20" s="1" customFormat="1">
      <c r="B234" s="353"/>
      <c r="C234" s="353"/>
      <c r="F234" s="353"/>
      <c r="G234" s="2"/>
      <c r="H234" s="143"/>
      <c r="I234" s="143"/>
      <c r="J234" s="143"/>
      <c r="K234" s="357"/>
      <c r="L234" s="357"/>
      <c r="M234" s="519"/>
      <c r="N234" s="519"/>
      <c r="O234" s="519"/>
      <c r="P234" s="519"/>
      <c r="S234" s="357"/>
      <c r="T234" s="578"/>
    </row>
    <row r="235" spans="2:20" s="1" customFormat="1">
      <c r="B235" s="353"/>
      <c r="C235" s="353"/>
      <c r="F235" s="353"/>
      <c r="G235" s="2"/>
      <c r="H235" s="143"/>
      <c r="I235" s="143"/>
      <c r="J235" s="143"/>
      <c r="K235" s="357"/>
      <c r="L235" s="357"/>
      <c r="M235" s="519"/>
      <c r="N235" s="519"/>
      <c r="O235" s="519"/>
      <c r="P235" s="519"/>
      <c r="S235" s="357"/>
      <c r="T235" s="578"/>
    </row>
    <row r="236" spans="2:20" s="1" customFormat="1">
      <c r="B236" s="353"/>
      <c r="C236" s="353"/>
      <c r="F236" s="353"/>
      <c r="G236" s="2"/>
      <c r="H236" s="143"/>
      <c r="I236" s="143"/>
      <c r="J236" s="143"/>
      <c r="K236" s="357"/>
      <c r="L236" s="357"/>
      <c r="M236" s="519"/>
      <c r="N236" s="519"/>
      <c r="O236" s="519"/>
      <c r="P236" s="519"/>
      <c r="S236" s="357"/>
      <c r="T236" s="578"/>
    </row>
    <row r="237" spans="2:20" s="1" customFormat="1">
      <c r="B237" s="353"/>
      <c r="C237" s="353"/>
      <c r="F237" s="353"/>
      <c r="G237" s="2"/>
      <c r="H237" s="143"/>
      <c r="I237" s="143"/>
      <c r="J237" s="143"/>
      <c r="K237" s="357"/>
      <c r="L237" s="357"/>
      <c r="M237" s="519"/>
      <c r="N237" s="519"/>
      <c r="O237" s="519"/>
      <c r="P237" s="519"/>
      <c r="S237" s="357"/>
      <c r="T237" s="578"/>
    </row>
    <row r="238" spans="2:20" s="1" customFormat="1">
      <c r="B238" s="353"/>
      <c r="C238" s="353"/>
      <c r="F238" s="353"/>
      <c r="G238" s="2"/>
      <c r="H238" s="143"/>
      <c r="I238" s="143"/>
      <c r="J238" s="143"/>
      <c r="K238" s="357"/>
      <c r="L238" s="357"/>
      <c r="M238" s="519"/>
      <c r="N238" s="519"/>
      <c r="O238" s="519"/>
      <c r="P238" s="519"/>
      <c r="S238" s="357"/>
      <c r="T238" s="578"/>
    </row>
    <row r="239" spans="2:20" s="1" customFormat="1">
      <c r="B239" s="353"/>
      <c r="C239" s="353"/>
      <c r="F239" s="353"/>
      <c r="G239" s="2"/>
      <c r="H239" s="143"/>
      <c r="I239" s="143"/>
      <c r="J239" s="143"/>
      <c r="K239" s="357"/>
      <c r="L239" s="357"/>
      <c r="M239" s="519"/>
      <c r="N239" s="519"/>
      <c r="O239" s="519"/>
      <c r="P239" s="519"/>
      <c r="S239" s="357"/>
      <c r="T239" s="578"/>
    </row>
    <row r="240" spans="2:20" s="1" customFormat="1">
      <c r="B240" s="353"/>
      <c r="C240" s="353"/>
      <c r="F240" s="353"/>
      <c r="G240" s="2"/>
      <c r="H240" s="143"/>
      <c r="I240" s="143"/>
      <c r="J240" s="143"/>
      <c r="K240" s="357"/>
      <c r="L240" s="357"/>
      <c r="M240" s="519"/>
      <c r="N240" s="519"/>
      <c r="O240" s="519"/>
      <c r="P240" s="519"/>
      <c r="S240" s="357"/>
      <c r="T240" s="578"/>
    </row>
    <row r="241" spans="2:20" s="1" customFormat="1">
      <c r="B241" s="353"/>
      <c r="C241" s="353"/>
      <c r="F241" s="353"/>
      <c r="G241" s="2"/>
      <c r="H241" s="143"/>
      <c r="I241" s="143"/>
      <c r="J241" s="143"/>
      <c r="K241" s="357"/>
      <c r="L241" s="357"/>
      <c r="M241" s="519"/>
      <c r="N241" s="519"/>
      <c r="O241" s="519"/>
      <c r="P241" s="519"/>
      <c r="S241" s="357"/>
      <c r="T241" s="578"/>
    </row>
    <row r="242" spans="2:20" s="1" customFormat="1">
      <c r="B242" s="353"/>
      <c r="C242" s="353"/>
      <c r="F242" s="353"/>
      <c r="G242" s="2"/>
      <c r="H242" s="143"/>
      <c r="I242" s="143"/>
      <c r="J242" s="143"/>
      <c r="K242" s="357"/>
      <c r="L242" s="357"/>
      <c r="M242" s="519"/>
      <c r="N242" s="519"/>
      <c r="O242" s="519"/>
      <c r="P242" s="519"/>
      <c r="S242" s="357"/>
      <c r="T242" s="578"/>
    </row>
  </sheetData>
  <mergeCells count="152">
    <mergeCell ref="J174:J177"/>
    <mergeCell ref="A175:H175"/>
    <mergeCell ref="A176:H176"/>
    <mergeCell ref="A177:H177"/>
    <mergeCell ref="B164:B173"/>
    <mergeCell ref="D170:G170"/>
    <mergeCell ref="D171:H171"/>
    <mergeCell ref="D172:H172"/>
    <mergeCell ref="D173:H173"/>
    <mergeCell ref="A174:H174"/>
    <mergeCell ref="D160:H160"/>
    <mergeCell ref="D161:H161"/>
    <mergeCell ref="B162:B163"/>
    <mergeCell ref="E162:E163"/>
    <mergeCell ref="F162:G162"/>
    <mergeCell ref="H162:J162"/>
    <mergeCell ref="A147:A148"/>
    <mergeCell ref="B147:B148"/>
    <mergeCell ref="E147:E148"/>
    <mergeCell ref="F147:G147"/>
    <mergeCell ref="H147:J147"/>
    <mergeCell ref="A149:A173"/>
    <mergeCell ref="B149:B161"/>
    <mergeCell ref="D158:G158"/>
    <mergeCell ref="J158:J161"/>
    <mergeCell ref="D159:H159"/>
    <mergeCell ref="F137:G137"/>
    <mergeCell ref="H137:J137"/>
    <mergeCell ref="B139:B146"/>
    <mergeCell ref="D143:G143"/>
    <mergeCell ref="J143:J146"/>
    <mergeCell ref="D144:H144"/>
    <mergeCell ref="D145:H145"/>
    <mergeCell ref="D146:H146"/>
    <mergeCell ref="A127:A146"/>
    <mergeCell ref="B127:B136"/>
    <mergeCell ref="D133:G133"/>
    <mergeCell ref="J133:J136"/>
    <mergeCell ref="D134:H134"/>
    <mergeCell ref="D135:H135"/>
    <mergeCell ref="D136:H136"/>
    <mergeCell ref="B137:B138"/>
    <mergeCell ref="D137:D138"/>
    <mergeCell ref="E137:E138"/>
    <mergeCell ref="A125:A126"/>
    <mergeCell ref="B125:B126"/>
    <mergeCell ref="D125:D126"/>
    <mergeCell ref="E125:E126"/>
    <mergeCell ref="F125:G125"/>
    <mergeCell ref="H125:J125"/>
    <mergeCell ref="A105:A124"/>
    <mergeCell ref="B105:B124"/>
    <mergeCell ref="D121:G121"/>
    <mergeCell ref="J121:J124"/>
    <mergeCell ref="D122:H122"/>
    <mergeCell ref="D123:H123"/>
    <mergeCell ref="D124:H124"/>
    <mergeCell ref="A103:A104"/>
    <mergeCell ref="B103:B104"/>
    <mergeCell ref="D103:D104"/>
    <mergeCell ref="E103:E104"/>
    <mergeCell ref="F103:G103"/>
    <mergeCell ref="H103:J103"/>
    <mergeCell ref="F93:G93"/>
    <mergeCell ref="H93:J93"/>
    <mergeCell ref="B95:B102"/>
    <mergeCell ref="D99:G99"/>
    <mergeCell ref="J99:J102"/>
    <mergeCell ref="D100:H100"/>
    <mergeCell ref="D101:H101"/>
    <mergeCell ref="D102:H102"/>
    <mergeCell ref="A82:A102"/>
    <mergeCell ref="B82:B92"/>
    <mergeCell ref="D89:G89"/>
    <mergeCell ref="J89:J92"/>
    <mergeCell ref="D90:H90"/>
    <mergeCell ref="D91:H91"/>
    <mergeCell ref="D92:H92"/>
    <mergeCell ref="B93:B94"/>
    <mergeCell ref="D93:D94"/>
    <mergeCell ref="E93:E94"/>
    <mergeCell ref="A80:A81"/>
    <mergeCell ref="B80:B81"/>
    <mergeCell ref="D80:D81"/>
    <mergeCell ref="E80:E81"/>
    <mergeCell ref="F80:G80"/>
    <mergeCell ref="H80:J80"/>
    <mergeCell ref="F66:G66"/>
    <mergeCell ref="H66:J66"/>
    <mergeCell ref="B68:B79"/>
    <mergeCell ref="D76:G76"/>
    <mergeCell ref="J76:J79"/>
    <mergeCell ref="D77:H77"/>
    <mergeCell ref="D78:H78"/>
    <mergeCell ref="D79:H79"/>
    <mergeCell ref="A51:A79"/>
    <mergeCell ref="B51:B65"/>
    <mergeCell ref="D62:G62"/>
    <mergeCell ref="J62:J65"/>
    <mergeCell ref="D63:H63"/>
    <mergeCell ref="D64:H64"/>
    <mergeCell ref="D65:H65"/>
    <mergeCell ref="B66:B67"/>
    <mergeCell ref="D66:D67"/>
    <mergeCell ref="E66:E67"/>
    <mergeCell ref="A49:A50"/>
    <mergeCell ref="B49:B50"/>
    <mergeCell ref="D49:D50"/>
    <mergeCell ref="E49:E50"/>
    <mergeCell ref="F49:G49"/>
    <mergeCell ref="H49:J49"/>
    <mergeCell ref="B41:B42"/>
    <mergeCell ref="D41:D42"/>
    <mergeCell ref="E41:E42"/>
    <mergeCell ref="F41:G41"/>
    <mergeCell ref="H41:J41"/>
    <mergeCell ref="B43:B48"/>
    <mergeCell ref="D45:G45"/>
    <mergeCell ref="J45:J48"/>
    <mergeCell ref="D46:H46"/>
    <mergeCell ref="D47:H47"/>
    <mergeCell ref="F25:G25"/>
    <mergeCell ref="H25:J25"/>
    <mergeCell ref="B27:B40"/>
    <mergeCell ref="D37:G37"/>
    <mergeCell ref="J37:J40"/>
    <mergeCell ref="D38:H38"/>
    <mergeCell ref="D39:H39"/>
    <mergeCell ref="D40:H40"/>
    <mergeCell ref="A9:A48"/>
    <mergeCell ref="B9:B23"/>
    <mergeCell ref="D21:G21"/>
    <mergeCell ref="J21:J23"/>
    <mergeCell ref="D22:H22"/>
    <mergeCell ref="D23:H23"/>
    <mergeCell ref="D24:H24"/>
    <mergeCell ref="B25:B26"/>
    <mergeCell ref="D25:D26"/>
    <mergeCell ref="E25:E26"/>
    <mergeCell ref="D48:H48"/>
    <mergeCell ref="A7:A8"/>
    <mergeCell ref="B7:B8"/>
    <mergeCell ref="D7:D8"/>
    <mergeCell ref="E7:E8"/>
    <mergeCell ref="F7:G7"/>
    <mergeCell ref="H7:J7"/>
    <mergeCell ref="A1:I3"/>
    <mergeCell ref="B4:J4"/>
    <mergeCell ref="A5:B5"/>
    <mergeCell ref="D5:E5"/>
    <mergeCell ref="H5:J5"/>
    <mergeCell ref="B6:J6"/>
  </mergeCells>
  <pageMargins left="0.70866141732283472" right="0.70866141732283472" top="0.74803149606299213" bottom="0.74803149606299213" header="0.31496062992125984" footer="0.31496062992125984"/>
  <pageSetup scale="48" orientation="landscape" verticalDpi="597" r:id="rId1"/>
  <rowBreaks count="7" manualBreakCount="7">
    <brk id="24" max="17" man="1"/>
    <brk id="48" max="17" man="1"/>
    <brk id="79" max="17" man="1"/>
    <brk id="102" max="17" man="1"/>
    <brk id="124" max="17" man="1"/>
    <brk id="146" max="17" man="1"/>
    <brk id="177" max="17" man="1"/>
  </rowBreaks>
  <colBreaks count="1" manualBreakCount="1">
    <brk id="1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workbookViewId="0">
      <selection activeCell="G12" sqref="G12"/>
    </sheetView>
  </sheetViews>
  <sheetFormatPr baseColWidth="10" defaultRowHeight="12.75"/>
  <cols>
    <col min="1" max="1" width="9.140625" style="440" customWidth="1"/>
    <col min="2" max="2" width="49" style="440" customWidth="1"/>
    <col min="3" max="4" width="20.5703125" style="440" customWidth="1"/>
    <col min="5" max="5" width="14.7109375" style="440" bestFit="1" customWidth="1"/>
    <col min="6" max="6" width="11.7109375" style="440" bestFit="1" customWidth="1"/>
    <col min="7" max="256" width="11.42578125" style="440"/>
    <col min="257" max="257" width="9.140625" style="440" customWidth="1"/>
    <col min="258" max="258" width="49" style="440" customWidth="1"/>
    <col min="259" max="260" width="20.5703125" style="440" customWidth="1"/>
    <col min="261" max="512" width="11.42578125" style="440"/>
    <col min="513" max="513" width="9.140625" style="440" customWidth="1"/>
    <col min="514" max="514" width="49" style="440" customWidth="1"/>
    <col min="515" max="516" width="20.5703125" style="440" customWidth="1"/>
    <col min="517" max="768" width="11.42578125" style="440"/>
    <col min="769" max="769" width="9.140625" style="440" customWidth="1"/>
    <col min="770" max="770" width="49" style="440" customWidth="1"/>
    <col min="771" max="772" width="20.5703125" style="440" customWidth="1"/>
    <col min="773" max="1024" width="11.42578125" style="440"/>
    <col min="1025" max="1025" width="9.140625" style="440" customWidth="1"/>
    <col min="1026" max="1026" width="49" style="440" customWidth="1"/>
    <col min="1027" max="1028" width="20.5703125" style="440" customWidth="1"/>
    <col min="1029" max="1280" width="11.42578125" style="440"/>
    <col min="1281" max="1281" width="9.140625" style="440" customWidth="1"/>
    <col min="1282" max="1282" width="49" style="440" customWidth="1"/>
    <col min="1283" max="1284" width="20.5703125" style="440" customWidth="1"/>
    <col min="1285" max="1536" width="11.42578125" style="440"/>
    <col min="1537" max="1537" width="9.140625" style="440" customWidth="1"/>
    <col min="1538" max="1538" width="49" style="440" customWidth="1"/>
    <col min="1539" max="1540" width="20.5703125" style="440" customWidth="1"/>
    <col min="1541" max="1792" width="11.42578125" style="440"/>
    <col min="1793" max="1793" width="9.140625" style="440" customWidth="1"/>
    <col min="1794" max="1794" width="49" style="440" customWidth="1"/>
    <col min="1795" max="1796" width="20.5703125" style="440" customWidth="1"/>
    <col min="1797" max="2048" width="11.42578125" style="440"/>
    <col min="2049" max="2049" width="9.140625" style="440" customWidth="1"/>
    <col min="2050" max="2050" width="49" style="440" customWidth="1"/>
    <col min="2051" max="2052" width="20.5703125" style="440" customWidth="1"/>
    <col min="2053" max="2304" width="11.42578125" style="440"/>
    <col min="2305" max="2305" width="9.140625" style="440" customWidth="1"/>
    <col min="2306" max="2306" width="49" style="440" customWidth="1"/>
    <col min="2307" max="2308" width="20.5703125" style="440" customWidth="1"/>
    <col min="2309" max="2560" width="11.42578125" style="440"/>
    <col min="2561" max="2561" width="9.140625" style="440" customWidth="1"/>
    <col min="2562" max="2562" width="49" style="440" customWidth="1"/>
    <col min="2563" max="2564" width="20.5703125" style="440" customWidth="1"/>
    <col min="2565" max="2816" width="11.42578125" style="440"/>
    <col min="2817" max="2817" width="9.140625" style="440" customWidth="1"/>
    <col min="2818" max="2818" width="49" style="440" customWidth="1"/>
    <col min="2819" max="2820" width="20.5703125" style="440" customWidth="1"/>
    <col min="2821" max="3072" width="11.42578125" style="440"/>
    <col min="3073" max="3073" width="9.140625" style="440" customWidth="1"/>
    <col min="3074" max="3074" width="49" style="440" customWidth="1"/>
    <col min="3075" max="3076" width="20.5703125" style="440" customWidth="1"/>
    <col min="3077" max="3328" width="11.42578125" style="440"/>
    <col min="3329" max="3329" width="9.140625" style="440" customWidth="1"/>
    <col min="3330" max="3330" width="49" style="440" customWidth="1"/>
    <col min="3331" max="3332" width="20.5703125" style="440" customWidth="1"/>
    <col min="3333" max="3584" width="11.42578125" style="440"/>
    <col min="3585" max="3585" width="9.140625" style="440" customWidth="1"/>
    <col min="3586" max="3586" width="49" style="440" customWidth="1"/>
    <col min="3587" max="3588" width="20.5703125" style="440" customWidth="1"/>
    <col min="3589" max="3840" width="11.42578125" style="440"/>
    <col min="3841" max="3841" width="9.140625" style="440" customWidth="1"/>
    <col min="3842" max="3842" width="49" style="440" customWidth="1"/>
    <col min="3843" max="3844" width="20.5703125" style="440" customWidth="1"/>
    <col min="3845" max="4096" width="11.42578125" style="440"/>
    <col min="4097" max="4097" width="9.140625" style="440" customWidth="1"/>
    <col min="4098" max="4098" width="49" style="440" customWidth="1"/>
    <col min="4099" max="4100" width="20.5703125" style="440" customWidth="1"/>
    <col min="4101" max="4352" width="11.42578125" style="440"/>
    <col min="4353" max="4353" width="9.140625" style="440" customWidth="1"/>
    <col min="4354" max="4354" width="49" style="440" customWidth="1"/>
    <col min="4355" max="4356" width="20.5703125" style="440" customWidth="1"/>
    <col min="4357" max="4608" width="11.42578125" style="440"/>
    <col min="4609" max="4609" width="9.140625" style="440" customWidth="1"/>
    <col min="4610" max="4610" width="49" style="440" customWidth="1"/>
    <col min="4611" max="4612" width="20.5703125" style="440" customWidth="1"/>
    <col min="4613" max="4864" width="11.42578125" style="440"/>
    <col min="4865" max="4865" width="9.140625" style="440" customWidth="1"/>
    <col min="4866" max="4866" width="49" style="440" customWidth="1"/>
    <col min="4867" max="4868" width="20.5703125" style="440" customWidth="1"/>
    <col min="4869" max="5120" width="11.42578125" style="440"/>
    <col min="5121" max="5121" width="9.140625" style="440" customWidth="1"/>
    <col min="5122" max="5122" width="49" style="440" customWidth="1"/>
    <col min="5123" max="5124" width="20.5703125" style="440" customWidth="1"/>
    <col min="5125" max="5376" width="11.42578125" style="440"/>
    <col min="5377" max="5377" width="9.140625" style="440" customWidth="1"/>
    <col min="5378" max="5378" width="49" style="440" customWidth="1"/>
    <col min="5379" max="5380" width="20.5703125" style="440" customWidth="1"/>
    <col min="5381" max="5632" width="11.42578125" style="440"/>
    <col min="5633" max="5633" width="9.140625" style="440" customWidth="1"/>
    <col min="5634" max="5634" width="49" style="440" customWidth="1"/>
    <col min="5635" max="5636" width="20.5703125" style="440" customWidth="1"/>
    <col min="5637" max="5888" width="11.42578125" style="440"/>
    <col min="5889" max="5889" width="9.140625" style="440" customWidth="1"/>
    <col min="5890" max="5890" width="49" style="440" customWidth="1"/>
    <col min="5891" max="5892" width="20.5703125" style="440" customWidth="1"/>
    <col min="5893" max="6144" width="11.42578125" style="440"/>
    <col min="6145" max="6145" width="9.140625" style="440" customWidth="1"/>
    <col min="6146" max="6146" width="49" style="440" customWidth="1"/>
    <col min="6147" max="6148" width="20.5703125" style="440" customWidth="1"/>
    <col min="6149" max="6400" width="11.42578125" style="440"/>
    <col min="6401" max="6401" width="9.140625" style="440" customWidth="1"/>
    <col min="6402" max="6402" width="49" style="440" customWidth="1"/>
    <col min="6403" max="6404" width="20.5703125" style="440" customWidth="1"/>
    <col min="6405" max="6656" width="11.42578125" style="440"/>
    <col min="6657" max="6657" width="9.140625" style="440" customWidth="1"/>
    <col min="6658" max="6658" width="49" style="440" customWidth="1"/>
    <col min="6659" max="6660" width="20.5703125" style="440" customWidth="1"/>
    <col min="6661" max="6912" width="11.42578125" style="440"/>
    <col min="6913" max="6913" width="9.140625" style="440" customWidth="1"/>
    <col min="6914" max="6914" width="49" style="440" customWidth="1"/>
    <col min="6915" max="6916" width="20.5703125" style="440" customWidth="1"/>
    <col min="6917" max="7168" width="11.42578125" style="440"/>
    <col min="7169" max="7169" width="9.140625" style="440" customWidth="1"/>
    <col min="7170" max="7170" width="49" style="440" customWidth="1"/>
    <col min="7171" max="7172" width="20.5703125" style="440" customWidth="1"/>
    <col min="7173" max="7424" width="11.42578125" style="440"/>
    <col min="7425" max="7425" width="9.140625" style="440" customWidth="1"/>
    <col min="7426" max="7426" width="49" style="440" customWidth="1"/>
    <col min="7427" max="7428" width="20.5703125" style="440" customWidth="1"/>
    <col min="7429" max="7680" width="11.42578125" style="440"/>
    <col min="7681" max="7681" width="9.140625" style="440" customWidth="1"/>
    <col min="7682" max="7682" width="49" style="440" customWidth="1"/>
    <col min="7683" max="7684" width="20.5703125" style="440" customWidth="1"/>
    <col min="7685" max="7936" width="11.42578125" style="440"/>
    <col min="7937" max="7937" width="9.140625" style="440" customWidth="1"/>
    <col min="7938" max="7938" width="49" style="440" customWidth="1"/>
    <col min="7939" max="7940" width="20.5703125" style="440" customWidth="1"/>
    <col min="7941" max="8192" width="11.42578125" style="440"/>
    <col min="8193" max="8193" width="9.140625" style="440" customWidth="1"/>
    <col min="8194" max="8194" width="49" style="440" customWidth="1"/>
    <col min="8195" max="8196" width="20.5703125" style="440" customWidth="1"/>
    <col min="8197" max="8448" width="11.42578125" style="440"/>
    <col min="8449" max="8449" width="9.140625" style="440" customWidth="1"/>
    <col min="8450" max="8450" width="49" style="440" customWidth="1"/>
    <col min="8451" max="8452" width="20.5703125" style="440" customWidth="1"/>
    <col min="8453" max="8704" width="11.42578125" style="440"/>
    <col min="8705" max="8705" width="9.140625" style="440" customWidth="1"/>
    <col min="8706" max="8706" width="49" style="440" customWidth="1"/>
    <col min="8707" max="8708" width="20.5703125" style="440" customWidth="1"/>
    <col min="8709" max="8960" width="11.42578125" style="440"/>
    <col min="8961" max="8961" width="9.140625" style="440" customWidth="1"/>
    <col min="8962" max="8962" width="49" style="440" customWidth="1"/>
    <col min="8963" max="8964" width="20.5703125" style="440" customWidth="1"/>
    <col min="8965" max="9216" width="11.42578125" style="440"/>
    <col min="9217" max="9217" width="9.140625" style="440" customWidth="1"/>
    <col min="9218" max="9218" width="49" style="440" customWidth="1"/>
    <col min="9219" max="9220" width="20.5703125" style="440" customWidth="1"/>
    <col min="9221" max="9472" width="11.42578125" style="440"/>
    <col min="9473" max="9473" width="9.140625" style="440" customWidth="1"/>
    <col min="9474" max="9474" width="49" style="440" customWidth="1"/>
    <col min="9475" max="9476" width="20.5703125" style="440" customWidth="1"/>
    <col min="9477" max="9728" width="11.42578125" style="440"/>
    <col min="9729" max="9729" width="9.140625" style="440" customWidth="1"/>
    <col min="9730" max="9730" width="49" style="440" customWidth="1"/>
    <col min="9731" max="9732" width="20.5703125" style="440" customWidth="1"/>
    <col min="9733" max="9984" width="11.42578125" style="440"/>
    <col min="9985" max="9985" width="9.140625" style="440" customWidth="1"/>
    <col min="9986" max="9986" width="49" style="440" customWidth="1"/>
    <col min="9987" max="9988" width="20.5703125" style="440" customWidth="1"/>
    <col min="9989" max="10240" width="11.42578125" style="440"/>
    <col min="10241" max="10241" width="9.140625" style="440" customWidth="1"/>
    <col min="10242" max="10242" width="49" style="440" customWidth="1"/>
    <col min="10243" max="10244" width="20.5703125" style="440" customWidth="1"/>
    <col min="10245" max="10496" width="11.42578125" style="440"/>
    <col min="10497" max="10497" width="9.140625" style="440" customWidth="1"/>
    <col min="10498" max="10498" width="49" style="440" customWidth="1"/>
    <col min="10499" max="10500" width="20.5703125" style="440" customWidth="1"/>
    <col min="10501" max="10752" width="11.42578125" style="440"/>
    <col min="10753" max="10753" width="9.140625" style="440" customWidth="1"/>
    <col min="10754" max="10754" width="49" style="440" customWidth="1"/>
    <col min="10755" max="10756" width="20.5703125" style="440" customWidth="1"/>
    <col min="10757" max="11008" width="11.42578125" style="440"/>
    <col min="11009" max="11009" width="9.140625" style="440" customWidth="1"/>
    <col min="11010" max="11010" width="49" style="440" customWidth="1"/>
    <col min="11011" max="11012" width="20.5703125" style="440" customWidth="1"/>
    <col min="11013" max="11264" width="11.42578125" style="440"/>
    <col min="11265" max="11265" width="9.140625" style="440" customWidth="1"/>
    <col min="11266" max="11266" width="49" style="440" customWidth="1"/>
    <col min="11267" max="11268" width="20.5703125" style="440" customWidth="1"/>
    <col min="11269" max="11520" width="11.42578125" style="440"/>
    <col min="11521" max="11521" width="9.140625" style="440" customWidth="1"/>
    <col min="11522" max="11522" width="49" style="440" customWidth="1"/>
    <col min="11523" max="11524" width="20.5703125" style="440" customWidth="1"/>
    <col min="11525" max="11776" width="11.42578125" style="440"/>
    <col min="11777" max="11777" width="9.140625" style="440" customWidth="1"/>
    <col min="11778" max="11778" width="49" style="440" customWidth="1"/>
    <col min="11779" max="11780" width="20.5703125" style="440" customWidth="1"/>
    <col min="11781" max="12032" width="11.42578125" style="440"/>
    <col min="12033" max="12033" width="9.140625" style="440" customWidth="1"/>
    <col min="12034" max="12034" width="49" style="440" customWidth="1"/>
    <col min="12035" max="12036" width="20.5703125" style="440" customWidth="1"/>
    <col min="12037" max="12288" width="11.42578125" style="440"/>
    <col min="12289" max="12289" width="9.140625" style="440" customWidth="1"/>
    <col min="12290" max="12290" width="49" style="440" customWidth="1"/>
    <col min="12291" max="12292" width="20.5703125" style="440" customWidth="1"/>
    <col min="12293" max="12544" width="11.42578125" style="440"/>
    <col min="12545" max="12545" width="9.140625" style="440" customWidth="1"/>
    <col min="12546" max="12546" width="49" style="440" customWidth="1"/>
    <col min="12547" max="12548" width="20.5703125" style="440" customWidth="1"/>
    <col min="12549" max="12800" width="11.42578125" style="440"/>
    <col min="12801" max="12801" width="9.140625" style="440" customWidth="1"/>
    <col min="12802" max="12802" width="49" style="440" customWidth="1"/>
    <col min="12803" max="12804" width="20.5703125" style="440" customWidth="1"/>
    <col min="12805" max="13056" width="11.42578125" style="440"/>
    <col min="13057" max="13057" width="9.140625" style="440" customWidth="1"/>
    <col min="13058" max="13058" width="49" style="440" customWidth="1"/>
    <col min="13059" max="13060" width="20.5703125" style="440" customWidth="1"/>
    <col min="13061" max="13312" width="11.42578125" style="440"/>
    <col min="13313" max="13313" width="9.140625" style="440" customWidth="1"/>
    <col min="13314" max="13314" width="49" style="440" customWidth="1"/>
    <col min="13315" max="13316" width="20.5703125" style="440" customWidth="1"/>
    <col min="13317" max="13568" width="11.42578125" style="440"/>
    <col min="13569" max="13569" width="9.140625" style="440" customWidth="1"/>
    <col min="13570" max="13570" width="49" style="440" customWidth="1"/>
    <col min="13571" max="13572" width="20.5703125" style="440" customWidth="1"/>
    <col min="13573" max="13824" width="11.42578125" style="440"/>
    <col min="13825" max="13825" width="9.140625" style="440" customWidth="1"/>
    <col min="13826" max="13826" width="49" style="440" customWidth="1"/>
    <col min="13827" max="13828" width="20.5703125" style="440" customWidth="1"/>
    <col min="13829" max="14080" width="11.42578125" style="440"/>
    <col min="14081" max="14081" width="9.140625" style="440" customWidth="1"/>
    <col min="14082" max="14082" width="49" style="440" customWidth="1"/>
    <col min="14083" max="14084" width="20.5703125" style="440" customWidth="1"/>
    <col min="14085" max="14336" width="11.42578125" style="440"/>
    <col min="14337" max="14337" width="9.140625" style="440" customWidth="1"/>
    <col min="14338" max="14338" width="49" style="440" customWidth="1"/>
    <col min="14339" max="14340" width="20.5703125" style="440" customWidth="1"/>
    <col min="14341" max="14592" width="11.42578125" style="440"/>
    <col min="14593" max="14593" width="9.140625" style="440" customWidth="1"/>
    <col min="14594" max="14594" width="49" style="440" customWidth="1"/>
    <col min="14595" max="14596" width="20.5703125" style="440" customWidth="1"/>
    <col min="14597" max="14848" width="11.42578125" style="440"/>
    <col min="14849" max="14849" width="9.140625" style="440" customWidth="1"/>
    <col min="14850" max="14850" width="49" style="440" customWidth="1"/>
    <col min="14851" max="14852" width="20.5703125" style="440" customWidth="1"/>
    <col min="14853" max="15104" width="11.42578125" style="440"/>
    <col min="15105" max="15105" width="9.140625" style="440" customWidth="1"/>
    <col min="15106" max="15106" width="49" style="440" customWidth="1"/>
    <col min="15107" max="15108" width="20.5703125" style="440" customWidth="1"/>
    <col min="15109" max="15360" width="11.42578125" style="440"/>
    <col min="15361" max="15361" width="9.140625" style="440" customWidth="1"/>
    <col min="15362" max="15362" width="49" style="440" customWidth="1"/>
    <col min="15363" max="15364" width="20.5703125" style="440" customWidth="1"/>
    <col min="15365" max="15616" width="11.42578125" style="440"/>
    <col min="15617" max="15617" width="9.140625" style="440" customWidth="1"/>
    <col min="15618" max="15618" width="49" style="440" customWidth="1"/>
    <col min="15619" max="15620" width="20.5703125" style="440" customWidth="1"/>
    <col min="15621" max="15872" width="11.42578125" style="440"/>
    <col min="15873" max="15873" width="9.140625" style="440" customWidth="1"/>
    <col min="15874" max="15874" width="49" style="440" customWidth="1"/>
    <col min="15875" max="15876" width="20.5703125" style="440" customWidth="1"/>
    <col min="15877" max="16128" width="11.42578125" style="440"/>
    <col min="16129" max="16129" width="9.140625" style="440" customWidth="1"/>
    <col min="16130" max="16130" width="49" style="440" customWidth="1"/>
    <col min="16131" max="16132" width="20.5703125" style="440" customWidth="1"/>
    <col min="16133" max="16384" width="11.42578125" style="440"/>
  </cols>
  <sheetData>
    <row r="1" spans="1:8" ht="130.5" customHeight="1">
      <c r="A1" s="439"/>
      <c r="B1" s="439"/>
      <c r="C1" s="439"/>
      <c r="D1" s="439"/>
    </row>
    <row r="2" spans="1:8" s="442" customFormat="1">
      <c r="A2" s="925" t="s">
        <v>494</v>
      </c>
      <c r="B2" s="925"/>
      <c r="C2" s="925"/>
      <c r="D2" s="925"/>
      <c r="E2" s="441"/>
      <c r="F2" s="441"/>
      <c r="G2" s="441"/>
    </row>
    <row r="3" spans="1:8" s="442" customFormat="1">
      <c r="A3" s="925" t="s">
        <v>197</v>
      </c>
      <c r="B3" s="925"/>
      <c r="C3" s="925"/>
      <c r="D3" s="925"/>
      <c r="E3" s="441"/>
      <c r="F3" s="441"/>
      <c r="G3" s="441"/>
    </row>
    <row r="4" spans="1:8" s="442" customFormat="1" ht="15.75" customHeight="1" thickBot="1">
      <c r="A4" s="926" t="s">
        <v>510</v>
      </c>
      <c r="B4" s="926"/>
      <c r="C4" s="443" t="s">
        <v>246</v>
      </c>
      <c r="D4" s="443"/>
      <c r="E4" s="444"/>
      <c r="F4" s="444"/>
      <c r="G4" s="444"/>
    </row>
    <row r="5" spans="1:8" s="445" customFormat="1" ht="21" customHeight="1">
      <c r="A5" s="645"/>
      <c r="B5" s="644" t="s">
        <v>198</v>
      </c>
      <c r="C5" s="644" t="s">
        <v>199</v>
      </c>
      <c r="D5" s="644" t="s">
        <v>200</v>
      </c>
      <c r="E5" s="453"/>
      <c r="F5" s="453"/>
      <c r="G5" s="453"/>
      <c r="H5" s="453"/>
    </row>
    <row r="6" spans="1:8" s="442" customFormat="1">
      <c r="A6" s="621"/>
      <c r="B6" s="643"/>
      <c r="C6" s="620"/>
      <c r="D6" s="620"/>
      <c r="E6" s="446" t="s">
        <v>246</v>
      </c>
      <c r="F6" s="446" t="s">
        <v>246</v>
      </c>
      <c r="G6" s="446"/>
      <c r="H6" s="446"/>
    </row>
    <row r="7" spans="1:8" s="442" customFormat="1">
      <c r="A7" s="629"/>
      <c r="B7" s="628"/>
      <c r="C7" s="627"/>
      <c r="D7" s="627"/>
      <c r="E7" s="446" t="s">
        <v>246</v>
      </c>
      <c r="F7" s="446"/>
      <c r="G7" s="446"/>
      <c r="H7" s="446"/>
    </row>
    <row r="8" spans="1:8" s="442" customFormat="1">
      <c r="A8" s="642"/>
      <c r="B8" s="641"/>
      <c r="C8" s="640"/>
      <c r="D8" s="640"/>
      <c r="E8" s="446" t="s">
        <v>246</v>
      </c>
      <c r="F8" s="446"/>
      <c r="G8" s="446"/>
      <c r="H8" s="446"/>
    </row>
    <row r="9" spans="1:8" s="447" customFormat="1" ht="11.25">
      <c r="A9" s="632"/>
      <c r="B9" s="634"/>
      <c r="C9" s="633"/>
      <c r="D9" s="633"/>
      <c r="E9" s="636" t="s">
        <v>246</v>
      </c>
      <c r="F9" s="636"/>
      <c r="G9" s="636"/>
      <c r="H9" s="636"/>
    </row>
    <row r="10" spans="1:8" s="447" customFormat="1" ht="11.25">
      <c r="A10" s="632"/>
      <c r="B10" s="634"/>
      <c r="C10" s="633"/>
      <c r="D10" s="633"/>
      <c r="E10" s="636"/>
      <c r="F10" s="636"/>
      <c r="G10" s="636"/>
      <c r="H10" s="636"/>
    </row>
    <row r="11" spans="1:8" s="447" customFormat="1" ht="11.25">
      <c r="A11" s="632"/>
      <c r="B11" s="634"/>
      <c r="C11" s="633"/>
      <c r="D11" s="633"/>
      <c r="E11" s="636"/>
      <c r="F11" s="636"/>
      <c r="G11" s="636"/>
      <c r="H11" s="636"/>
    </row>
    <row r="12" spans="1:8" s="442" customFormat="1">
      <c r="A12" s="642"/>
      <c r="B12" s="641"/>
      <c r="C12" s="640"/>
      <c r="D12" s="640"/>
      <c r="E12" s="446"/>
      <c r="F12" s="446"/>
      <c r="G12" s="446"/>
      <c r="H12" s="446" t="s">
        <v>246</v>
      </c>
    </row>
    <row r="13" spans="1:8" s="448" customFormat="1" ht="12">
      <c r="A13" s="632"/>
      <c r="B13" s="639"/>
      <c r="C13" s="638"/>
      <c r="D13" s="638"/>
      <c r="E13" s="616"/>
      <c r="F13" s="616"/>
      <c r="G13" s="616"/>
      <c r="H13" s="616"/>
    </row>
    <row r="14" spans="1:8" s="447" customFormat="1" ht="11.25">
      <c r="A14" s="632"/>
      <c r="B14" s="634"/>
      <c r="C14" s="633"/>
      <c r="D14" s="633"/>
      <c r="E14" s="636"/>
      <c r="F14" s="636"/>
      <c r="G14" s="636"/>
      <c r="H14" s="636"/>
    </row>
    <row r="15" spans="1:8" s="447" customFormat="1" ht="11.25">
      <c r="A15" s="632"/>
      <c r="B15" s="634"/>
      <c r="C15" s="633"/>
      <c r="D15" s="633"/>
      <c r="E15" s="636"/>
      <c r="F15" s="636"/>
      <c r="G15" s="636"/>
      <c r="H15" s="636"/>
    </row>
    <row r="16" spans="1:8" s="447" customFormat="1" ht="11.25">
      <c r="A16" s="632"/>
      <c r="B16" s="634"/>
      <c r="C16" s="633"/>
      <c r="D16" s="633"/>
      <c r="E16" s="636"/>
      <c r="F16" s="636"/>
      <c r="G16" s="636"/>
      <c r="H16" s="636"/>
    </row>
    <row r="17" spans="1:8" s="448" customFormat="1" ht="12">
      <c r="A17" s="632"/>
      <c r="B17" s="639"/>
      <c r="C17" s="638"/>
      <c r="D17" s="638"/>
      <c r="E17" s="616"/>
      <c r="F17" s="616"/>
      <c r="G17" s="616"/>
      <c r="H17" s="616"/>
    </row>
    <row r="18" spans="1:8" s="448" customFormat="1" ht="12">
      <c r="A18" s="632"/>
      <c r="B18" s="639"/>
      <c r="C18" s="638"/>
      <c r="D18" s="638"/>
      <c r="E18" s="616"/>
      <c r="F18" s="616"/>
      <c r="G18" s="616"/>
      <c r="H18" s="616"/>
    </row>
    <row r="19" spans="1:8" s="448" customFormat="1" ht="12">
      <c r="A19" s="632"/>
      <c r="B19" s="639"/>
      <c r="C19" s="638"/>
      <c r="D19" s="638"/>
      <c r="E19" s="616"/>
      <c r="F19" s="616"/>
      <c r="G19" s="616"/>
      <c r="H19" s="616"/>
    </row>
    <row r="20" spans="1:8" s="448" customFormat="1" ht="12">
      <c r="A20" s="632"/>
      <c r="B20" s="639"/>
      <c r="C20" s="638"/>
      <c r="D20" s="638"/>
      <c r="E20" s="616"/>
      <c r="F20" s="616"/>
      <c r="G20" s="616"/>
      <c r="H20" s="616"/>
    </row>
    <row r="21" spans="1:8" s="447" customFormat="1" ht="11.25">
      <c r="A21" s="632"/>
      <c r="B21" s="634"/>
      <c r="C21" s="633"/>
      <c r="D21" s="633"/>
      <c r="E21" s="636"/>
      <c r="F21" s="636"/>
      <c r="G21" s="636"/>
      <c r="H21" s="636"/>
    </row>
    <row r="22" spans="1:8" s="447" customFormat="1" ht="11.25">
      <c r="A22" s="632"/>
      <c r="B22" s="634"/>
      <c r="C22" s="633"/>
      <c r="D22" s="633"/>
      <c r="E22" s="636"/>
      <c r="F22" s="636"/>
      <c r="G22" s="636"/>
      <c r="H22" s="636"/>
    </row>
    <row r="23" spans="1:8" s="447" customFormat="1" ht="11.25">
      <c r="A23" s="632"/>
      <c r="B23" s="634"/>
      <c r="C23" s="633"/>
      <c r="D23" s="633"/>
      <c r="E23" s="636"/>
      <c r="F23" s="636"/>
      <c r="G23" s="636"/>
      <c r="H23" s="636"/>
    </row>
    <row r="24" spans="1:8" s="447" customFormat="1" ht="11.25">
      <c r="A24" s="632"/>
      <c r="B24" s="634"/>
      <c r="C24" s="633"/>
      <c r="D24" s="633"/>
      <c r="E24" s="636"/>
      <c r="F24" s="636"/>
      <c r="G24" s="636"/>
      <c r="H24" s="636"/>
    </row>
    <row r="25" spans="1:8" s="448" customFormat="1" ht="12">
      <c r="A25" s="632"/>
      <c r="B25" s="639"/>
      <c r="C25" s="638"/>
      <c r="D25" s="638"/>
      <c r="E25" s="616"/>
      <c r="F25" s="616"/>
      <c r="G25" s="616"/>
      <c r="H25" s="616"/>
    </row>
    <row r="26" spans="1:8" s="447" customFormat="1" ht="11.25">
      <c r="A26" s="632"/>
      <c r="B26" s="634"/>
      <c r="C26" s="633"/>
      <c r="D26" s="633"/>
      <c r="E26" s="636"/>
      <c r="F26" s="636"/>
      <c r="G26" s="636"/>
      <c r="H26" s="636"/>
    </row>
    <row r="27" spans="1:8" s="447" customFormat="1" ht="11.25">
      <c r="A27" s="632"/>
      <c r="B27" s="634"/>
      <c r="C27" s="633"/>
      <c r="D27" s="633"/>
      <c r="E27" s="636"/>
      <c r="F27" s="636"/>
      <c r="G27" s="636"/>
      <c r="H27" s="636"/>
    </row>
    <row r="28" spans="1:8" s="447" customFormat="1" ht="11.25">
      <c r="A28" s="632"/>
      <c r="B28" s="634"/>
      <c r="C28" s="633"/>
      <c r="D28" s="633"/>
      <c r="E28" s="636"/>
      <c r="F28" s="636"/>
      <c r="G28" s="636"/>
      <c r="H28" s="636"/>
    </row>
    <row r="29" spans="1:8" s="447" customFormat="1" ht="11.25">
      <c r="A29" s="632"/>
      <c r="B29" s="634"/>
      <c r="C29" s="633"/>
      <c r="D29" s="633"/>
      <c r="E29" s="636"/>
      <c r="F29" s="636"/>
      <c r="G29" s="636"/>
      <c r="H29" s="636"/>
    </row>
    <row r="30" spans="1:8" s="447" customFormat="1" ht="11.25">
      <c r="A30" s="632"/>
      <c r="B30" s="634"/>
      <c r="C30" s="633"/>
      <c r="D30" s="633"/>
      <c r="E30" s="636"/>
      <c r="F30" s="636"/>
      <c r="G30" s="636"/>
      <c r="H30" s="636"/>
    </row>
    <row r="31" spans="1:8" s="447" customFormat="1" ht="11.25">
      <c r="A31" s="632"/>
      <c r="B31" s="634"/>
      <c r="C31" s="633"/>
      <c r="D31" s="633"/>
      <c r="E31" s="636"/>
      <c r="F31" s="636"/>
      <c r="G31" s="636"/>
      <c r="H31" s="636"/>
    </row>
    <row r="32" spans="1:8" s="447" customFormat="1" ht="11.25">
      <c r="A32" s="632"/>
      <c r="B32" s="634"/>
      <c r="C32" s="633"/>
      <c r="D32" s="633"/>
      <c r="E32" s="636"/>
      <c r="F32" s="636"/>
      <c r="G32" s="636"/>
      <c r="H32" s="636"/>
    </row>
    <row r="33" spans="1:8" s="442" customFormat="1">
      <c r="A33" s="629"/>
      <c r="B33" s="628"/>
      <c r="C33" s="627"/>
      <c r="D33" s="627"/>
      <c r="E33" s="446"/>
      <c r="F33" s="446"/>
      <c r="G33" s="446"/>
      <c r="H33" s="446"/>
    </row>
    <row r="34" spans="1:8" s="448" customFormat="1" ht="12">
      <c r="A34" s="632"/>
      <c r="B34" s="631"/>
      <c r="C34" s="630"/>
      <c r="D34" s="630"/>
      <c r="E34" s="616"/>
      <c r="F34" s="616"/>
      <c r="G34" s="616"/>
      <c r="H34" s="616"/>
    </row>
    <row r="35" spans="1:8" s="447" customFormat="1" ht="11.25">
      <c r="A35" s="635"/>
      <c r="B35" s="634"/>
      <c r="C35" s="633"/>
      <c r="D35" s="633"/>
      <c r="E35" s="636"/>
      <c r="F35" s="636"/>
      <c r="G35" s="636"/>
      <c r="H35" s="636"/>
    </row>
    <row r="36" spans="1:8" s="447" customFormat="1" ht="11.25">
      <c r="A36" s="635"/>
      <c r="B36" s="634"/>
      <c r="C36" s="633"/>
      <c r="D36" s="633"/>
      <c r="E36" s="636"/>
      <c r="F36" s="636"/>
      <c r="G36" s="636"/>
      <c r="H36" s="636"/>
    </row>
    <row r="37" spans="1:8" s="448" customFormat="1" ht="12">
      <c r="A37" s="632"/>
      <c r="B37" s="631"/>
      <c r="C37" s="630"/>
      <c r="D37" s="630"/>
      <c r="E37" s="616"/>
      <c r="F37" s="616"/>
      <c r="G37" s="616"/>
      <c r="H37" s="616"/>
    </row>
    <row r="38" spans="1:8" s="447" customFormat="1" ht="11.25">
      <c r="A38" s="635"/>
      <c r="B38" s="634"/>
      <c r="C38" s="633"/>
      <c r="D38" s="633"/>
      <c r="E38" s="636"/>
      <c r="F38" s="636"/>
      <c r="G38" s="636"/>
      <c r="H38" s="636"/>
    </row>
    <row r="39" spans="1:8" s="447" customFormat="1" ht="11.25">
      <c r="A39" s="635"/>
      <c r="B39" s="634"/>
      <c r="C39" s="633"/>
      <c r="D39" s="633"/>
    </row>
    <row r="40" spans="1:8" s="448" customFormat="1" ht="12">
      <c r="A40" s="632"/>
      <c r="B40" s="631"/>
      <c r="C40" s="637"/>
      <c r="D40" s="637"/>
    </row>
    <row r="41" spans="1:8" s="448" customFormat="1" ht="12">
      <c r="A41" s="632"/>
      <c r="B41" s="631"/>
      <c r="C41" s="637"/>
      <c r="D41" s="637"/>
    </row>
    <row r="42" spans="1:8" s="447" customFormat="1" ht="11.25">
      <c r="A42" s="635"/>
      <c r="B42" s="634"/>
      <c r="C42" s="633"/>
      <c r="D42" s="633"/>
    </row>
    <row r="43" spans="1:8" s="447" customFormat="1" ht="11.25">
      <c r="A43" s="635"/>
      <c r="B43" s="634"/>
      <c r="C43" s="633"/>
      <c r="D43" s="633"/>
      <c r="E43" s="636"/>
    </row>
    <row r="44" spans="1:8" s="447" customFormat="1" ht="11.25">
      <c r="A44" s="635"/>
      <c r="B44" s="634"/>
      <c r="C44" s="633"/>
      <c r="D44" s="633"/>
    </row>
    <row r="45" spans="1:8" s="447" customFormat="1" ht="11.25">
      <c r="A45" s="635"/>
      <c r="B45" s="634"/>
      <c r="C45" s="633"/>
      <c r="D45" s="633"/>
    </row>
    <row r="46" spans="1:8" s="447" customFormat="1" ht="11.25">
      <c r="A46" s="635"/>
      <c r="B46" s="634"/>
      <c r="C46" s="633"/>
      <c r="D46" s="633"/>
    </row>
    <row r="47" spans="1:8" s="448" customFormat="1" ht="12">
      <c r="A47" s="632"/>
      <c r="B47" s="631"/>
      <c r="C47" s="630"/>
      <c r="D47" s="630"/>
    </row>
    <row r="48" spans="1:8" s="442" customFormat="1">
      <c r="A48" s="629"/>
      <c r="B48" s="628"/>
      <c r="C48" s="627"/>
      <c r="D48" s="627"/>
    </row>
    <row r="49" spans="1:6" s="442" customFormat="1">
      <c r="A49" s="621"/>
      <c r="B49" s="626"/>
      <c r="C49" s="620"/>
      <c r="D49" s="620"/>
    </row>
    <row r="50" spans="1:6" s="448" customFormat="1" ht="12">
      <c r="A50" s="624"/>
      <c r="B50" s="623"/>
      <c r="C50" s="625"/>
      <c r="D50" s="625"/>
      <c r="E50" s="616" t="s">
        <v>246</v>
      </c>
    </row>
    <row r="51" spans="1:6" s="448" customFormat="1" ht="12">
      <c r="A51" s="624"/>
      <c r="B51" s="623"/>
      <c r="C51" s="622"/>
      <c r="D51" s="622"/>
    </row>
    <row r="52" spans="1:6" s="448" customFormat="1" ht="12">
      <c r="A52" s="624"/>
      <c r="B52" s="623"/>
      <c r="C52" s="622"/>
      <c r="D52" s="622"/>
      <c r="E52" s="616" t="s">
        <v>246</v>
      </c>
      <c r="F52" s="616" t="s">
        <v>246</v>
      </c>
    </row>
    <row r="53" spans="1:6" s="442" customFormat="1">
      <c r="A53" s="624"/>
      <c r="B53" s="623"/>
      <c r="C53" s="622"/>
      <c r="D53" s="622"/>
    </row>
    <row r="54" spans="1:6" ht="23.25" customHeight="1">
      <c r="A54" s="621"/>
      <c r="B54" s="621" t="s">
        <v>245</v>
      </c>
      <c r="C54" s="620">
        <f>SUM(C6+C49)</f>
        <v>0</v>
      </c>
      <c r="D54" s="620">
        <f>SUM(D6+D49)</f>
        <v>0</v>
      </c>
    </row>
    <row r="55" spans="1:6" ht="7.5" customHeight="1"/>
    <row r="56" spans="1:6">
      <c r="C56" s="449" t="s">
        <v>246</v>
      </c>
      <c r="D56" s="449" t="s">
        <v>246</v>
      </c>
      <c r="E56" s="440" t="s">
        <v>246</v>
      </c>
    </row>
    <row r="57" spans="1:6">
      <c r="C57" s="449" t="s">
        <v>246</v>
      </c>
      <c r="D57" s="449" t="s">
        <v>246</v>
      </c>
    </row>
    <row r="58" spans="1:6">
      <c r="C58" s="449" t="s">
        <v>246</v>
      </c>
      <c r="D58" s="440" t="s">
        <v>246</v>
      </c>
      <c r="E58" s="440" t="s">
        <v>246</v>
      </c>
    </row>
    <row r="59" spans="1:6">
      <c r="C59" s="449" t="s">
        <v>246</v>
      </c>
    </row>
  </sheetData>
  <mergeCells count="3">
    <mergeCell ref="A2:D2"/>
    <mergeCell ref="A3:D3"/>
    <mergeCell ref="A4:B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9"/>
  <sheetViews>
    <sheetView topLeftCell="A2" workbookViewId="0">
      <selection activeCell="D16" sqref="D16"/>
    </sheetView>
  </sheetViews>
  <sheetFormatPr baseColWidth="10" defaultRowHeight="12.75"/>
  <cols>
    <col min="1" max="1" width="46" style="450" customWidth="1"/>
    <col min="2" max="2" width="17.85546875" style="450" customWidth="1"/>
    <col min="3" max="3" width="16.7109375" style="450" customWidth="1"/>
    <col min="4" max="4" width="14" style="450" customWidth="1"/>
    <col min="5" max="7" width="13.5703125" style="450" customWidth="1"/>
    <col min="8" max="8" width="18.28515625" style="450" customWidth="1"/>
    <col min="9" max="9" width="16.85546875" style="450" customWidth="1"/>
    <col min="10" max="10" width="16.28515625" style="450" customWidth="1"/>
    <col min="11" max="11" width="16.7109375" style="450" customWidth="1"/>
    <col min="12" max="252" width="11.42578125" style="450"/>
    <col min="253" max="253" width="46" style="450" customWidth="1"/>
    <col min="254" max="254" width="14.42578125" style="450" customWidth="1"/>
    <col min="255" max="256" width="14" style="450" customWidth="1"/>
    <col min="257" max="259" width="13.5703125" style="450" customWidth="1"/>
    <col min="260" max="260" width="14.28515625" style="450" customWidth="1"/>
    <col min="261" max="262" width="14" style="450" customWidth="1"/>
    <col min="263" max="508" width="11.42578125" style="450"/>
    <col min="509" max="509" width="46" style="450" customWidth="1"/>
    <col min="510" max="510" width="14.42578125" style="450" customWidth="1"/>
    <col min="511" max="512" width="14" style="450" customWidth="1"/>
    <col min="513" max="515" width="13.5703125" style="450" customWidth="1"/>
    <col min="516" max="516" width="14.28515625" style="450" customWidth="1"/>
    <col min="517" max="518" width="14" style="450" customWidth="1"/>
    <col min="519" max="764" width="11.42578125" style="450"/>
    <col min="765" max="765" width="46" style="450" customWidth="1"/>
    <col min="766" max="766" width="14.42578125" style="450" customWidth="1"/>
    <col min="767" max="768" width="14" style="450" customWidth="1"/>
    <col min="769" max="771" width="13.5703125" style="450" customWidth="1"/>
    <col min="772" max="772" width="14.28515625" style="450" customWidth="1"/>
    <col min="773" max="774" width="14" style="450" customWidth="1"/>
    <col min="775" max="1020" width="11.42578125" style="450"/>
    <col min="1021" max="1021" width="46" style="450" customWidth="1"/>
    <col min="1022" max="1022" width="14.42578125" style="450" customWidth="1"/>
    <col min="1023" max="1024" width="14" style="450" customWidth="1"/>
    <col min="1025" max="1027" width="13.5703125" style="450" customWidth="1"/>
    <col min="1028" max="1028" width="14.28515625" style="450" customWidth="1"/>
    <col min="1029" max="1030" width="14" style="450" customWidth="1"/>
    <col min="1031" max="1276" width="11.42578125" style="450"/>
    <col min="1277" max="1277" width="46" style="450" customWidth="1"/>
    <col min="1278" max="1278" width="14.42578125" style="450" customWidth="1"/>
    <col min="1279" max="1280" width="14" style="450" customWidth="1"/>
    <col min="1281" max="1283" width="13.5703125" style="450" customWidth="1"/>
    <col min="1284" max="1284" width="14.28515625" style="450" customWidth="1"/>
    <col min="1285" max="1286" width="14" style="450" customWidth="1"/>
    <col min="1287" max="1532" width="11.42578125" style="450"/>
    <col min="1533" max="1533" width="46" style="450" customWidth="1"/>
    <col min="1534" max="1534" width="14.42578125" style="450" customWidth="1"/>
    <col min="1535" max="1536" width="14" style="450" customWidth="1"/>
    <col min="1537" max="1539" width="13.5703125" style="450" customWidth="1"/>
    <col min="1540" max="1540" width="14.28515625" style="450" customWidth="1"/>
    <col min="1541" max="1542" width="14" style="450" customWidth="1"/>
    <col min="1543" max="1788" width="11.42578125" style="450"/>
    <col min="1789" max="1789" width="46" style="450" customWidth="1"/>
    <col min="1790" max="1790" width="14.42578125" style="450" customWidth="1"/>
    <col min="1791" max="1792" width="14" style="450" customWidth="1"/>
    <col min="1793" max="1795" width="13.5703125" style="450" customWidth="1"/>
    <col min="1796" max="1796" width="14.28515625" style="450" customWidth="1"/>
    <col min="1797" max="1798" width="14" style="450" customWidth="1"/>
    <col min="1799" max="2044" width="11.42578125" style="450"/>
    <col min="2045" max="2045" width="46" style="450" customWidth="1"/>
    <col min="2046" max="2046" width="14.42578125" style="450" customWidth="1"/>
    <col min="2047" max="2048" width="14" style="450" customWidth="1"/>
    <col min="2049" max="2051" width="13.5703125" style="450" customWidth="1"/>
    <col min="2052" max="2052" width="14.28515625" style="450" customWidth="1"/>
    <col min="2053" max="2054" width="14" style="450" customWidth="1"/>
    <col min="2055" max="2300" width="11.42578125" style="450"/>
    <col min="2301" max="2301" width="46" style="450" customWidth="1"/>
    <col min="2302" max="2302" width="14.42578125" style="450" customWidth="1"/>
    <col min="2303" max="2304" width="14" style="450" customWidth="1"/>
    <col min="2305" max="2307" width="13.5703125" style="450" customWidth="1"/>
    <col min="2308" max="2308" width="14.28515625" style="450" customWidth="1"/>
    <col min="2309" max="2310" width="14" style="450" customWidth="1"/>
    <col min="2311" max="2556" width="11.42578125" style="450"/>
    <col min="2557" max="2557" width="46" style="450" customWidth="1"/>
    <col min="2558" max="2558" width="14.42578125" style="450" customWidth="1"/>
    <col min="2559" max="2560" width="14" style="450" customWidth="1"/>
    <col min="2561" max="2563" width="13.5703125" style="450" customWidth="1"/>
    <col min="2564" max="2564" width="14.28515625" style="450" customWidth="1"/>
    <col min="2565" max="2566" width="14" style="450" customWidth="1"/>
    <col min="2567" max="2812" width="11.42578125" style="450"/>
    <col min="2813" max="2813" width="46" style="450" customWidth="1"/>
    <col min="2814" max="2814" width="14.42578125" style="450" customWidth="1"/>
    <col min="2815" max="2816" width="14" style="450" customWidth="1"/>
    <col min="2817" max="2819" width="13.5703125" style="450" customWidth="1"/>
    <col min="2820" max="2820" width="14.28515625" style="450" customWidth="1"/>
    <col min="2821" max="2822" width="14" style="450" customWidth="1"/>
    <col min="2823" max="3068" width="11.42578125" style="450"/>
    <col min="3069" max="3069" width="46" style="450" customWidth="1"/>
    <col min="3070" max="3070" width="14.42578125" style="450" customWidth="1"/>
    <col min="3071" max="3072" width="14" style="450" customWidth="1"/>
    <col min="3073" max="3075" width="13.5703125" style="450" customWidth="1"/>
    <col min="3076" max="3076" width="14.28515625" style="450" customWidth="1"/>
    <col min="3077" max="3078" width="14" style="450" customWidth="1"/>
    <col min="3079" max="3324" width="11.42578125" style="450"/>
    <col min="3325" max="3325" width="46" style="450" customWidth="1"/>
    <col min="3326" max="3326" width="14.42578125" style="450" customWidth="1"/>
    <col min="3327" max="3328" width="14" style="450" customWidth="1"/>
    <col min="3329" max="3331" width="13.5703125" style="450" customWidth="1"/>
    <col min="3332" max="3332" width="14.28515625" style="450" customWidth="1"/>
    <col min="3333" max="3334" width="14" style="450" customWidth="1"/>
    <col min="3335" max="3580" width="11.42578125" style="450"/>
    <col min="3581" max="3581" width="46" style="450" customWidth="1"/>
    <col min="3582" max="3582" width="14.42578125" style="450" customWidth="1"/>
    <col min="3583" max="3584" width="14" style="450" customWidth="1"/>
    <col min="3585" max="3587" width="13.5703125" style="450" customWidth="1"/>
    <col min="3588" max="3588" width="14.28515625" style="450" customWidth="1"/>
    <col min="3589" max="3590" width="14" style="450" customWidth="1"/>
    <col min="3591" max="3836" width="11.42578125" style="450"/>
    <col min="3837" max="3837" width="46" style="450" customWidth="1"/>
    <col min="3838" max="3838" width="14.42578125" style="450" customWidth="1"/>
    <col min="3839" max="3840" width="14" style="450" customWidth="1"/>
    <col min="3841" max="3843" width="13.5703125" style="450" customWidth="1"/>
    <col min="3844" max="3844" width="14.28515625" style="450" customWidth="1"/>
    <col min="3845" max="3846" width="14" style="450" customWidth="1"/>
    <col min="3847" max="4092" width="11.42578125" style="450"/>
    <col min="4093" max="4093" width="46" style="450" customWidth="1"/>
    <col min="4094" max="4094" width="14.42578125" style="450" customWidth="1"/>
    <col min="4095" max="4096" width="14" style="450" customWidth="1"/>
    <col min="4097" max="4099" width="13.5703125" style="450" customWidth="1"/>
    <col min="4100" max="4100" width="14.28515625" style="450" customWidth="1"/>
    <col min="4101" max="4102" width="14" style="450" customWidth="1"/>
    <col min="4103" max="4348" width="11.42578125" style="450"/>
    <col min="4349" max="4349" width="46" style="450" customWidth="1"/>
    <col min="4350" max="4350" width="14.42578125" style="450" customWidth="1"/>
    <col min="4351" max="4352" width="14" style="450" customWidth="1"/>
    <col min="4353" max="4355" width="13.5703125" style="450" customWidth="1"/>
    <col min="4356" max="4356" width="14.28515625" style="450" customWidth="1"/>
    <col min="4357" max="4358" width="14" style="450" customWidth="1"/>
    <col min="4359" max="4604" width="11.42578125" style="450"/>
    <col min="4605" max="4605" width="46" style="450" customWidth="1"/>
    <col min="4606" max="4606" width="14.42578125" style="450" customWidth="1"/>
    <col min="4607" max="4608" width="14" style="450" customWidth="1"/>
    <col min="4609" max="4611" width="13.5703125" style="450" customWidth="1"/>
    <col min="4612" max="4612" width="14.28515625" style="450" customWidth="1"/>
    <col min="4613" max="4614" width="14" style="450" customWidth="1"/>
    <col min="4615" max="4860" width="11.42578125" style="450"/>
    <col min="4861" max="4861" width="46" style="450" customWidth="1"/>
    <col min="4862" max="4862" width="14.42578125" style="450" customWidth="1"/>
    <col min="4863" max="4864" width="14" style="450" customWidth="1"/>
    <col min="4865" max="4867" width="13.5703125" style="450" customWidth="1"/>
    <col min="4868" max="4868" width="14.28515625" style="450" customWidth="1"/>
    <col min="4869" max="4870" width="14" style="450" customWidth="1"/>
    <col min="4871" max="5116" width="11.42578125" style="450"/>
    <col min="5117" max="5117" width="46" style="450" customWidth="1"/>
    <col min="5118" max="5118" width="14.42578125" style="450" customWidth="1"/>
    <col min="5119" max="5120" width="14" style="450" customWidth="1"/>
    <col min="5121" max="5123" width="13.5703125" style="450" customWidth="1"/>
    <col min="5124" max="5124" width="14.28515625" style="450" customWidth="1"/>
    <col min="5125" max="5126" width="14" style="450" customWidth="1"/>
    <col min="5127" max="5372" width="11.42578125" style="450"/>
    <col min="5373" max="5373" width="46" style="450" customWidth="1"/>
    <col min="5374" max="5374" width="14.42578125" style="450" customWidth="1"/>
    <col min="5375" max="5376" width="14" style="450" customWidth="1"/>
    <col min="5377" max="5379" width="13.5703125" style="450" customWidth="1"/>
    <col min="5380" max="5380" width="14.28515625" style="450" customWidth="1"/>
    <col min="5381" max="5382" width="14" style="450" customWidth="1"/>
    <col min="5383" max="5628" width="11.42578125" style="450"/>
    <col min="5629" max="5629" width="46" style="450" customWidth="1"/>
    <col min="5630" max="5630" width="14.42578125" style="450" customWidth="1"/>
    <col min="5631" max="5632" width="14" style="450" customWidth="1"/>
    <col min="5633" max="5635" width="13.5703125" style="450" customWidth="1"/>
    <col min="5636" max="5636" width="14.28515625" style="450" customWidth="1"/>
    <col min="5637" max="5638" width="14" style="450" customWidth="1"/>
    <col min="5639" max="5884" width="11.42578125" style="450"/>
    <col min="5885" max="5885" width="46" style="450" customWidth="1"/>
    <col min="5886" max="5886" width="14.42578125" style="450" customWidth="1"/>
    <col min="5887" max="5888" width="14" style="450" customWidth="1"/>
    <col min="5889" max="5891" width="13.5703125" style="450" customWidth="1"/>
    <col min="5892" max="5892" width="14.28515625" style="450" customWidth="1"/>
    <col min="5893" max="5894" width="14" style="450" customWidth="1"/>
    <col min="5895" max="6140" width="11.42578125" style="450"/>
    <col min="6141" max="6141" width="46" style="450" customWidth="1"/>
    <col min="6142" max="6142" width="14.42578125" style="450" customWidth="1"/>
    <col min="6143" max="6144" width="14" style="450" customWidth="1"/>
    <col min="6145" max="6147" width="13.5703125" style="450" customWidth="1"/>
    <col min="6148" max="6148" width="14.28515625" style="450" customWidth="1"/>
    <col min="6149" max="6150" width="14" style="450" customWidth="1"/>
    <col min="6151" max="6396" width="11.42578125" style="450"/>
    <col min="6397" max="6397" width="46" style="450" customWidth="1"/>
    <col min="6398" max="6398" width="14.42578125" style="450" customWidth="1"/>
    <col min="6399" max="6400" width="14" style="450" customWidth="1"/>
    <col min="6401" max="6403" width="13.5703125" style="450" customWidth="1"/>
    <col min="6404" max="6404" width="14.28515625" style="450" customWidth="1"/>
    <col min="6405" max="6406" width="14" style="450" customWidth="1"/>
    <col min="6407" max="6652" width="11.42578125" style="450"/>
    <col min="6653" max="6653" width="46" style="450" customWidth="1"/>
    <col min="6654" max="6654" width="14.42578125" style="450" customWidth="1"/>
    <col min="6655" max="6656" width="14" style="450" customWidth="1"/>
    <col min="6657" max="6659" width="13.5703125" style="450" customWidth="1"/>
    <col min="6660" max="6660" width="14.28515625" style="450" customWidth="1"/>
    <col min="6661" max="6662" width="14" style="450" customWidth="1"/>
    <col min="6663" max="6908" width="11.42578125" style="450"/>
    <col min="6909" max="6909" width="46" style="450" customWidth="1"/>
    <col min="6910" max="6910" width="14.42578125" style="450" customWidth="1"/>
    <col min="6911" max="6912" width="14" style="450" customWidth="1"/>
    <col min="6913" max="6915" width="13.5703125" style="450" customWidth="1"/>
    <col min="6916" max="6916" width="14.28515625" style="450" customWidth="1"/>
    <col min="6917" max="6918" width="14" style="450" customWidth="1"/>
    <col min="6919" max="7164" width="11.42578125" style="450"/>
    <col min="7165" max="7165" width="46" style="450" customWidth="1"/>
    <col min="7166" max="7166" width="14.42578125" style="450" customWidth="1"/>
    <col min="7167" max="7168" width="14" style="450" customWidth="1"/>
    <col min="7169" max="7171" width="13.5703125" style="450" customWidth="1"/>
    <col min="7172" max="7172" width="14.28515625" style="450" customWidth="1"/>
    <col min="7173" max="7174" width="14" style="450" customWidth="1"/>
    <col min="7175" max="7420" width="11.42578125" style="450"/>
    <col min="7421" max="7421" width="46" style="450" customWidth="1"/>
    <col min="7422" max="7422" width="14.42578125" style="450" customWidth="1"/>
    <col min="7423" max="7424" width="14" style="450" customWidth="1"/>
    <col min="7425" max="7427" width="13.5703125" style="450" customWidth="1"/>
    <col min="7428" max="7428" width="14.28515625" style="450" customWidth="1"/>
    <col min="7429" max="7430" width="14" style="450" customWidth="1"/>
    <col min="7431" max="7676" width="11.42578125" style="450"/>
    <col min="7677" max="7677" width="46" style="450" customWidth="1"/>
    <col min="7678" max="7678" width="14.42578125" style="450" customWidth="1"/>
    <col min="7679" max="7680" width="14" style="450" customWidth="1"/>
    <col min="7681" max="7683" width="13.5703125" style="450" customWidth="1"/>
    <col min="7684" max="7684" width="14.28515625" style="450" customWidth="1"/>
    <col min="7685" max="7686" width="14" style="450" customWidth="1"/>
    <col min="7687" max="7932" width="11.42578125" style="450"/>
    <col min="7933" max="7933" width="46" style="450" customWidth="1"/>
    <col min="7934" max="7934" width="14.42578125" style="450" customWidth="1"/>
    <col min="7935" max="7936" width="14" style="450" customWidth="1"/>
    <col min="7937" max="7939" width="13.5703125" style="450" customWidth="1"/>
    <col min="7940" max="7940" width="14.28515625" style="450" customWidth="1"/>
    <col min="7941" max="7942" width="14" style="450" customWidth="1"/>
    <col min="7943" max="8188" width="11.42578125" style="450"/>
    <col min="8189" max="8189" width="46" style="450" customWidth="1"/>
    <col min="8190" max="8190" width="14.42578125" style="450" customWidth="1"/>
    <col min="8191" max="8192" width="14" style="450" customWidth="1"/>
    <col min="8193" max="8195" width="13.5703125" style="450" customWidth="1"/>
    <col min="8196" max="8196" width="14.28515625" style="450" customWidth="1"/>
    <col min="8197" max="8198" width="14" style="450" customWidth="1"/>
    <col min="8199" max="8444" width="11.42578125" style="450"/>
    <col min="8445" max="8445" width="46" style="450" customWidth="1"/>
    <col min="8446" max="8446" width="14.42578125" style="450" customWidth="1"/>
    <col min="8447" max="8448" width="14" style="450" customWidth="1"/>
    <col min="8449" max="8451" width="13.5703125" style="450" customWidth="1"/>
    <col min="8452" max="8452" width="14.28515625" style="450" customWidth="1"/>
    <col min="8453" max="8454" width="14" style="450" customWidth="1"/>
    <col min="8455" max="8700" width="11.42578125" style="450"/>
    <col min="8701" max="8701" width="46" style="450" customWidth="1"/>
    <col min="8702" max="8702" width="14.42578125" style="450" customWidth="1"/>
    <col min="8703" max="8704" width="14" style="450" customWidth="1"/>
    <col min="8705" max="8707" width="13.5703125" style="450" customWidth="1"/>
    <col min="8708" max="8708" width="14.28515625" style="450" customWidth="1"/>
    <col min="8709" max="8710" width="14" style="450" customWidth="1"/>
    <col min="8711" max="8956" width="11.42578125" style="450"/>
    <col min="8957" max="8957" width="46" style="450" customWidth="1"/>
    <col min="8958" max="8958" width="14.42578125" style="450" customWidth="1"/>
    <col min="8959" max="8960" width="14" style="450" customWidth="1"/>
    <col min="8961" max="8963" width="13.5703125" style="450" customWidth="1"/>
    <col min="8964" max="8964" width="14.28515625" style="450" customWidth="1"/>
    <col min="8965" max="8966" width="14" style="450" customWidth="1"/>
    <col min="8967" max="9212" width="11.42578125" style="450"/>
    <col min="9213" max="9213" width="46" style="450" customWidth="1"/>
    <col min="9214" max="9214" width="14.42578125" style="450" customWidth="1"/>
    <col min="9215" max="9216" width="14" style="450" customWidth="1"/>
    <col min="9217" max="9219" width="13.5703125" style="450" customWidth="1"/>
    <col min="9220" max="9220" width="14.28515625" style="450" customWidth="1"/>
    <col min="9221" max="9222" width="14" style="450" customWidth="1"/>
    <col min="9223" max="9468" width="11.42578125" style="450"/>
    <col min="9469" max="9469" width="46" style="450" customWidth="1"/>
    <col min="9470" max="9470" width="14.42578125" style="450" customWidth="1"/>
    <col min="9471" max="9472" width="14" style="450" customWidth="1"/>
    <col min="9473" max="9475" width="13.5703125" style="450" customWidth="1"/>
    <col min="9476" max="9476" width="14.28515625" style="450" customWidth="1"/>
    <col min="9477" max="9478" width="14" style="450" customWidth="1"/>
    <col min="9479" max="9724" width="11.42578125" style="450"/>
    <col min="9725" max="9725" width="46" style="450" customWidth="1"/>
    <col min="9726" max="9726" width="14.42578125" style="450" customWidth="1"/>
    <col min="9727" max="9728" width="14" style="450" customWidth="1"/>
    <col min="9729" max="9731" width="13.5703125" style="450" customWidth="1"/>
    <col min="9732" max="9732" width="14.28515625" style="450" customWidth="1"/>
    <col min="9733" max="9734" width="14" style="450" customWidth="1"/>
    <col min="9735" max="9980" width="11.42578125" style="450"/>
    <col min="9981" max="9981" width="46" style="450" customWidth="1"/>
    <col min="9982" max="9982" width="14.42578125" style="450" customWidth="1"/>
    <col min="9983" max="9984" width="14" style="450" customWidth="1"/>
    <col min="9985" max="9987" width="13.5703125" style="450" customWidth="1"/>
    <col min="9988" max="9988" width="14.28515625" style="450" customWidth="1"/>
    <col min="9989" max="9990" width="14" style="450" customWidth="1"/>
    <col min="9991" max="10236" width="11.42578125" style="450"/>
    <col min="10237" max="10237" width="46" style="450" customWidth="1"/>
    <col min="10238" max="10238" width="14.42578125" style="450" customWidth="1"/>
    <col min="10239" max="10240" width="14" style="450" customWidth="1"/>
    <col min="10241" max="10243" width="13.5703125" style="450" customWidth="1"/>
    <col min="10244" max="10244" width="14.28515625" style="450" customWidth="1"/>
    <col min="10245" max="10246" width="14" style="450" customWidth="1"/>
    <col min="10247" max="10492" width="11.42578125" style="450"/>
    <col min="10493" max="10493" width="46" style="450" customWidth="1"/>
    <col min="10494" max="10494" width="14.42578125" style="450" customWidth="1"/>
    <col min="10495" max="10496" width="14" style="450" customWidth="1"/>
    <col min="10497" max="10499" width="13.5703125" style="450" customWidth="1"/>
    <col min="10500" max="10500" width="14.28515625" style="450" customWidth="1"/>
    <col min="10501" max="10502" width="14" style="450" customWidth="1"/>
    <col min="10503" max="10748" width="11.42578125" style="450"/>
    <col min="10749" max="10749" width="46" style="450" customWidth="1"/>
    <col min="10750" max="10750" width="14.42578125" style="450" customWidth="1"/>
    <col min="10751" max="10752" width="14" style="450" customWidth="1"/>
    <col min="10753" max="10755" width="13.5703125" style="450" customWidth="1"/>
    <col min="10756" max="10756" width="14.28515625" style="450" customWidth="1"/>
    <col min="10757" max="10758" width="14" style="450" customWidth="1"/>
    <col min="10759" max="11004" width="11.42578125" style="450"/>
    <col min="11005" max="11005" width="46" style="450" customWidth="1"/>
    <col min="11006" max="11006" width="14.42578125" style="450" customWidth="1"/>
    <col min="11007" max="11008" width="14" style="450" customWidth="1"/>
    <col min="11009" max="11011" width="13.5703125" style="450" customWidth="1"/>
    <col min="11012" max="11012" width="14.28515625" style="450" customWidth="1"/>
    <col min="11013" max="11014" width="14" style="450" customWidth="1"/>
    <col min="11015" max="11260" width="11.42578125" style="450"/>
    <col min="11261" max="11261" width="46" style="450" customWidth="1"/>
    <col min="11262" max="11262" width="14.42578125" style="450" customWidth="1"/>
    <col min="11263" max="11264" width="14" style="450" customWidth="1"/>
    <col min="11265" max="11267" width="13.5703125" style="450" customWidth="1"/>
    <col min="11268" max="11268" width="14.28515625" style="450" customWidth="1"/>
    <col min="11269" max="11270" width="14" style="450" customWidth="1"/>
    <col min="11271" max="11516" width="11.42578125" style="450"/>
    <col min="11517" max="11517" width="46" style="450" customWidth="1"/>
    <col min="11518" max="11518" width="14.42578125" style="450" customWidth="1"/>
    <col min="11519" max="11520" width="14" style="450" customWidth="1"/>
    <col min="11521" max="11523" width="13.5703125" style="450" customWidth="1"/>
    <col min="11524" max="11524" width="14.28515625" style="450" customWidth="1"/>
    <col min="11525" max="11526" width="14" style="450" customWidth="1"/>
    <col min="11527" max="11772" width="11.42578125" style="450"/>
    <col min="11773" max="11773" width="46" style="450" customWidth="1"/>
    <col min="11774" max="11774" width="14.42578125" style="450" customWidth="1"/>
    <col min="11775" max="11776" width="14" style="450" customWidth="1"/>
    <col min="11777" max="11779" width="13.5703125" style="450" customWidth="1"/>
    <col min="11780" max="11780" width="14.28515625" style="450" customWidth="1"/>
    <col min="11781" max="11782" width="14" style="450" customWidth="1"/>
    <col min="11783" max="12028" width="11.42578125" style="450"/>
    <col min="12029" max="12029" width="46" style="450" customWidth="1"/>
    <col min="12030" max="12030" width="14.42578125" style="450" customWidth="1"/>
    <col min="12031" max="12032" width="14" style="450" customWidth="1"/>
    <col min="12033" max="12035" width="13.5703125" style="450" customWidth="1"/>
    <col min="12036" max="12036" width="14.28515625" style="450" customWidth="1"/>
    <col min="12037" max="12038" width="14" style="450" customWidth="1"/>
    <col min="12039" max="12284" width="11.42578125" style="450"/>
    <col min="12285" max="12285" width="46" style="450" customWidth="1"/>
    <col min="12286" max="12286" width="14.42578125" style="450" customWidth="1"/>
    <col min="12287" max="12288" width="14" style="450" customWidth="1"/>
    <col min="12289" max="12291" width="13.5703125" style="450" customWidth="1"/>
    <col min="12292" max="12292" width="14.28515625" style="450" customWidth="1"/>
    <col min="12293" max="12294" width="14" style="450" customWidth="1"/>
    <col min="12295" max="12540" width="11.42578125" style="450"/>
    <col min="12541" max="12541" width="46" style="450" customWidth="1"/>
    <col min="12542" max="12542" width="14.42578125" style="450" customWidth="1"/>
    <col min="12543" max="12544" width="14" style="450" customWidth="1"/>
    <col min="12545" max="12547" width="13.5703125" style="450" customWidth="1"/>
    <col min="12548" max="12548" width="14.28515625" style="450" customWidth="1"/>
    <col min="12549" max="12550" width="14" style="450" customWidth="1"/>
    <col min="12551" max="12796" width="11.42578125" style="450"/>
    <col min="12797" max="12797" width="46" style="450" customWidth="1"/>
    <col min="12798" max="12798" width="14.42578125" style="450" customWidth="1"/>
    <col min="12799" max="12800" width="14" style="450" customWidth="1"/>
    <col min="12801" max="12803" width="13.5703125" style="450" customWidth="1"/>
    <col min="12804" max="12804" width="14.28515625" style="450" customWidth="1"/>
    <col min="12805" max="12806" width="14" style="450" customWidth="1"/>
    <col min="12807" max="13052" width="11.42578125" style="450"/>
    <col min="13053" max="13053" width="46" style="450" customWidth="1"/>
    <col min="13054" max="13054" width="14.42578125" style="450" customWidth="1"/>
    <col min="13055" max="13056" width="14" style="450" customWidth="1"/>
    <col min="13057" max="13059" width="13.5703125" style="450" customWidth="1"/>
    <col min="13060" max="13060" width="14.28515625" style="450" customWidth="1"/>
    <col min="13061" max="13062" width="14" style="450" customWidth="1"/>
    <col min="13063" max="13308" width="11.42578125" style="450"/>
    <col min="13309" max="13309" width="46" style="450" customWidth="1"/>
    <col min="13310" max="13310" width="14.42578125" style="450" customWidth="1"/>
    <col min="13311" max="13312" width="14" style="450" customWidth="1"/>
    <col min="13313" max="13315" width="13.5703125" style="450" customWidth="1"/>
    <col min="13316" max="13316" width="14.28515625" style="450" customWidth="1"/>
    <col min="13317" max="13318" width="14" style="450" customWidth="1"/>
    <col min="13319" max="13564" width="11.42578125" style="450"/>
    <col min="13565" max="13565" width="46" style="450" customWidth="1"/>
    <col min="13566" max="13566" width="14.42578125" style="450" customWidth="1"/>
    <col min="13567" max="13568" width="14" style="450" customWidth="1"/>
    <col min="13569" max="13571" width="13.5703125" style="450" customWidth="1"/>
    <col min="13572" max="13572" width="14.28515625" style="450" customWidth="1"/>
    <col min="13573" max="13574" width="14" style="450" customWidth="1"/>
    <col min="13575" max="13820" width="11.42578125" style="450"/>
    <col min="13821" max="13821" width="46" style="450" customWidth="1"/>
    <col min="13822" max="13822" width="14.42578125" style="450" customWidth="1"/>
    <col min="13823" max="13824" width="14" style="450" customWidth="1"/>
    <col min="13825" max="13827" width="13.5703125" style="450" customWidth="1"/>
    <col min="13828" max="13828" width="14.28515625" style="450" customWidth="1"/>
    <col min="13829" max="13830" width="14" style="450" customWidth="1"/>
    <col min="13831" max="14076" width="11.42578125" style="450"/>
    <col min="14077" max="14077" width="46" style="450" customWidth="1"/>
    <col min="14078" max="14078" width="14.42578125" style="450" customWidth="1"/>
    <col min="14079" max="14080" width="14" style="450" customWidth="1"/>
    <col min="14081" max="14083" width="13.5703125" style="450" customWidth="1"/>
    <col min="14084" max="14084" width="14.28515625" style="450" customWidth="1"/>
    <col min="14085" max="14086" width="14" style="450" customWidth="1"/>
    <col min="14087" max="14332" width="11.42578125" style="450"/>
    <col min="14333" max="14333" width="46" style="450" customWidth="1"/>
    <col min="14334" max="14334" width="14.42578125" style="450" customWidth="1"/>
    <col min="14335" max="14336" width="14" style="450" customWidth="1"/>
    <col min="14337" max="14339" width="13.5703125" style="450" customWidth="1"/>
    <col min="14340" max="14340" width="14.28515625" style="450" customWidth="1"/>
    <col min="14341" max="14342" width="14" style="450" customWidth="1"/>
    <col min="14343" max="14588" width="11.42578125" style="450"/>
    <col min="14589" max="14589" width="46" style="450" customWidth="1"/>
    <col min="14590" max="14590" width="14.42578125" style="450" customWidth="1"/>
    <col min="14591" max="14592" width="14" style="450" customWidth="1"/>
    <col min="14593" max="14595" width="13.5703125" style="450" customWidth="1"/>
    <col min="14596" max="14596" width="14.28515625" style="450" customWidth="1"/>
    <col min="14597" max="14598" width="14" style="450" customWidth="1"/>
    <col min="14599" max="14844" width="11.42578125" style="450"/>
    <col min="14845" max="14845" width="46" style="450" customWidth="1"/>
    <col min="14846" max="14846" width="14.42578125" style="450" customWidth="1"/>
    <col min="14847" max="14848" width="14" style="450" customWidth="1"/>
    <col min="14849" max="14851" width="13.5703125" style="450" customWidth="1"/>
    <col min="14852" max="14852" width="14.28515625" style="450" customWidth="1"/>
    <col min="14853" max="14854" width="14" style="450" customWidth="1"/>
    <col min="14855" max="15100" width="11.42578125" style="450"/>
    <col min="15101" max="15101" width="46" style="450" customWidth="1"/>
    <col min="15102" max="15102" width="14.42578125" style="450" customWidth="1"/>
    <col min="15103" max="15104" width="14" style="450" customWidth="1"/>
    <col min="15105" max="15107" width="13.5703125" style="450" customWidth="1"/>
    <col min="15108" max="15108" width="14.28515625" style="450" customWidth="1"/>
    <col min="15109" max="15110" width="14" style="450" customWidth="1"/>
    <col min="15111" max="15356" width="11.42578125" style="450"/>
    <col min="15357" max="15357" width="46" style="450" customWidth="1"/>
    <col min="15358" max="15358" width="14.42578125" style="450" customWidth="1"/>
    <col min="15359" max="15360" width="14" style="450" customWidth="1"/>
    <col min="15361" max="15363" width="13.5703125" style="450" customWidth="1"/>
    <col min="15364" max="15364" width="14.28515625" style="450" customWidth="1"/>
    <col min="15365" max="15366" width="14" style="450" customWidth="1"/>
    <col min="15367" max="15612" width="11.42578125" style="450"/>
    <col min="15613" max="15613" width="46" style="450" customWidth="1"/>
    <col min="15614" max="15614" width="14.42578125" style="450" customWidth="1"/>
    <col min="15615" max="15616" width="14" style="450" customWidth="1"/>
    <col min="15617" max="15619" width="13.5703125" style="450" customWidth="1"/>
    <col min="15620" max="15620" width="14.28515625" style="450" customWidth="1"/>
    <col min="15621" max="15622" width="14" style="450" customWidth="1"/>
    <col min="15623" max="15868" width="11.42578125" style="450"/>
    <col min="15869" max="15869" width="46" style="450" customWidth="1"/>
    <col min="15870" max="15870" width="14.42578125" style="450" customWidth="1"/>
    <col min="15871" max="15872" width="14" style="450" customWidth="1"/>
    <col min="15873" max="15875" width="13.5703125" style="450" customWidth="1"/>
    <col min="15876" max="15876" width="14.28515625" style="450" customWidth="1"/>
    <col min="15877" max="15878" width="14" style="450" customWidth="1"/>
    <col min="15879" max="16124" width="11.42578125" style="450"/>
    <col min="16125" max="16125" width="46" style="450" customWidth="1"/>
    <col min="16126" max="16126" width="14.42578125" style="450" customWidth="1"/>
    <col min="16127" max="16128" width="14" style="450" customWidth="1"/>
    <col min="16129" max="16131" width="13.5703125" style="450" customWidth="1"/>
    <col min="16132" max="16132" width="14.28515625" style="450" customWidth="1"/>
    <col min="16133" max="16134" width="14" style="450" customWidth="1"/>
    <col min="16135" max="16384" width="11.42578125" style="450"/>
  </cols>
  <sheetData>
    <row r="1" spans="1:35" ht="130.5" customHeight="1" thickBot="1">
      <c r="A1" s="927"/>
      <c r="B1" s="927"/>
      <c r="C1" s="927"/>
      <c r="D1" s="927"/>
      <c r="E1" s="927"/>
      <c r="F1" s="927"/>
      <c r="G1" s="927"/>
      <c r="H1" s="927"/>
      <c r="I1" s="927"/>
      <c r="J1" s="619"/>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row>
    <row r="2" spans="1:35">
      <c r="A2" s="928" t="s">
        <v>506</v>
      </c>
      <c r="B2" s="929"/>
      <c r="C2" s="929"/>
      <c r="D2" s="929"/>
      <c r="E2" s="929"/>
      <c r="F2" s="929"/>
      <c r="G2" s="929"/>
      <c r="H2" s="929"/>
      <c r="I2" s="929"/>
      <c r="J2" s="930"/>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row>
    <row r="3" spans="1:35" ht="13.5" thickBot="1">
      <c r="A3" s="931" t="str">
        <f>+'[3]INGRESOS '!A3:D3</f>
        <v>CORPORACION AUTONOMA REGIONAL DEL ALTO MAGDALENA CAM</v>
      </c>
      <c r="B3" s="932"/>
      <c r="C3" s="932"/>
      <c r="D3" s="932"/>
      <c r="E3" s="932"/>
      <c r="F3" s="932"/>
      <c r="G3" s="932"/>
      <c r="H3" s="932"/>
      <c r="I3" s="932"/>
      <c r="J3" s="933"/>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row>
    <row r="4" spans="1:35" ht="24.75" customHeight="1" thickBot="1">
      <c r="A4" s="705" t="s">
        <v>598</v>
      </c>
      <c r="B4" s="934"/>
      <c r="C4" s="934"/>
      <c r="D4" s="934"/>
      <c r="E4" s="934"/>
      <c r="F4" s="934"/>
      <c r="G4" s="934"/>
      <c r="H4" s="934"/>
      <c r="I4" s="934"/>
      <c r="J4" s="935"/>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row>
    <row r="5" spans="1:35" ht="33" customHeight="1">
      <c r="A5" s="936" t="s">
        <v>251</v>
      </c>
      <c r="B5" s="937" t="s">
        <v>252</v>
      </c>
      <c r="C5" s="938"/>
      <c r="D5" s="939"/>
      <c r="E5" s="937" t="s">
        <v>253</v>
      </c>
      <c r="F5" s="938"/>
      <c r="G5" s="939"/>
      <c r="H5" s="937" t="s">
        <v>254</v>
      </c>
      <c r="I5" s="938"/>
      <c r="J5" s="939"/>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row>
    <row r="6" spans="1:35" ht="21.75" customHeight="1" thickBot="1">
      <c r="A6" s="936"/>
      <c r="B6" s="704" t="s">
        <v>496</v>
      </c>
      <c r="C6" s="703" t="s">
        <v>497</v>
      </c>
      <c r="D6" s="702" t="s">
        <v>500</v>
      </c>
      <c r="E6" s="704" t="s">
        <v>496</v>
      </c>
      <c r="F6" s="703" t="s">
        <v>497</v>
      </c>
      <c r="G6" s="702" t="s">
        <v>500</v>
      </c>
      <c r="H6" s="704" t="s">
        <v>496</v>
      </c>
      <c r="I6" s="703" t="s">
        <v>497</v>
      </c>
      <c r="J6" s="702" t="s">
        <v>500</v>
      </c>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row>
    <row r="7" spans="1:35" s="445" customFormat="1" ht="13.5" thickBot="1">
      <c r="A7" s="648"/>
      <c r="B7" s="647"/>
      <c r="C7" s="678"/>
      <c r="D7" s="677"/>
      <c r="E7" s="647"/>
      <c r="F7" s="678"/>
      <c r="G7" s="678"/>
      <c r="H7" s="676"/>
      <c r="I7" s="676"/>
      <c r="J7" s="676"/>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row>
    <row r="8" spans="1:35" s="445" customFormat="1">
      <c r="A8" s="697"/>
      <c r="B8" s="694"/>
      <c r="C8" s="696"/>
      <c r="D8" s="695"/>
      <c r="E8" s="694"/>
      <c r="F8" s="696"/>
      <c r="G8" s="695"/>
      <c r="H8" s="694"/>
      <c r="I8" s="676"/>
      <c r="J8" s="676"/>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row>
    <row r="9" spans="1:35">
      <c r="A9" s="685"/>
      <c r="B9" s="676"/>
      <c r="C9" s="684"/>
      <c r="D9" s="683"/>
      <c r="E9" s="676"/>
      <c r="F9" s="684"/>
      <c r="G9" s="683"/>
      <c r="H9" s="676"/>
      <c r="I9" s="676"/>
      <c r="J9" s="676"/>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row>
    <row r="10" spans="1:35">
      <c r="A10" s="685"/>
      <c r="B10" s="676"/>
      <c r="C10" s="684"/>
      <c r="D10" s="683"/>
      <c r="E10" s="676"/>
      <c r="F10" s="684"/>
      <c r="G10" s="683"/>
      <c r="H10" s="676"/>
      <c r="I10" s="676"/>
      <c r="J10" s="676"/>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row>
    <row r="11" spans="1:35" ht="13.5" thickBot="1">
      <c r="A11" s="701"/>
      <c r="B11" s="698"/>
      <c r="C11" s="700"/>
      <c r="D11" s="699"/>
      <c r="E11" s="698"/>
      <c r="F11" s="700"/>
      <c r="G11" s="699"/>
      <c r="H11" s="698"/>
      <c r="I11" s="676"/>
      <c r="J11" s="676"/>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row>
    <row r="12" spans="1:35" s="445" customFormat="1">
      <c r="A12" s="697"/>
      <c r="B12" s="694"/>
      <c r="C12" s="694"/>
      <c r="D12" s="694"/>
      <c r="E12" s="694"/>
      <c r="F12" s="696"/>
      <c r="G12" s="695"/>
      <c r="H12" s="694"/>
      <c r="I12" s="676"/>
      <c r="J12" s="676"/>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row>
    <row r="13" spans="1:35" s="451" customFormat="1" ht="12">
      <c r="A13" s="689"/>
      <c r="B13" s="686"/>
      <c r="C13" s="688"/>
      <c r="D13" s="687"/>
      <c r="E13" s="686"/>
      <c r="F13" s="688"/>
      <c r="G13" s="687"/>
      <c r="H13" s="686"/>
      <c r="I13" s="676"/>
      <c r="J13" s="676"/>
      <c r="K13" s="586"/>
      <c r="L13" s="586"/>
      <c r="M13" s="586"/>
      <c r="N13" s="586"/>
      <c r="O13" s="586"/>
      <c r="P13" s="586"/>
      <c r="Q13" s="586"/>
      <c r="R13" s="586"/>
      <c r="S13" s="586"/>
      <c r="T13" s="586"/>
      <c r="U13" s="586"/>
      <c r="V13" s="586"/>
      <c r="W13" s="586"/>
      <c r="X13" s="586"/>
      <c r="Y13" s="586"/>
      <c r="Z13" s="586"/>
      <c r="AA13" s="586"/>
      <c r="AB13" s="586"/>
      <c r="AC13" s="586"/>
      <c r="AD13" s="586"/>
      <c r="AE13" s="586"/>
      <c r="AF13" s="586"/>
      <c r="AG13" s="586"/>
      <c r="AH13" s="586"/>
      <c r="AI13" s="586"/>
    </row>
    <row r="14" spans="1:35" s="452" customFormat="1" ht="11.25">
      <c r="A14" s="685"/>
      <c r="B14" s="676"/>
      <c r="C14" s="684"/>
      <c r="D14" s="683"/>
      <c r="E14" s="676"/>
      <c r="F14" s="684"/>
      <c r="G14" s="683"/>
      <c r="H14" s="676"/>
      <c r="I14" s="676"/>
      <c r="J14" s="676"/>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row>
    <row r="15" spans="1:35" s="452" customFormat="1" ht="11.25">
      <c r="A15" s="685"/>
      <c r="B15" s="676"/>
      <c r="C15" s="684"/>
      <c r="D15" s="683"/>
      <c r="E15" s="676"/>
      <c r="F15" s="684"/>
      <c r="G15" s="683"/>
      <c r="H15" s="676"/>
      <c r="I15" s="676"/>
      <c r="J15" s="676"/>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row>
    <row r="16" spans="1:35" s="452" customFormat="1" ht="11.25">
      <c r="A16" s="685"/>
      <c r="B16" s="676"/>
      <c r="C16" s="684"/>
      <c r="D16" s="683"/>
      <c r="E16" s="676"/>
      <c r="F16" s="684"/>
      <c r="G16" s="683"/>
      <c r="H16" s="676"/>
      <c r="I16" s="676"/>
      <c r="J16" s="676"/>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row>
    <row r="17" spans="1:35" s="451" customFormat="1" ht="12">
      <c r="A17" s="689"/>
      <c r="B17" s="686"/>
      <c r="C17" s="688"/>
      <c r="D17" s="687"/>
      <c r="E17" s="686"/>
      <c r="F17" s="688"/>
      <c r="G17" s="687"/>
      <c r="H17" s="686"/>
      <c r="I17" s="676"/>
      <c r="J17" s="67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row>
    <row r="18" spans="1:35" s="452" customFormat="1" ht="11.25">
      <c r="A18" s="685"/>
      <c r="B18" s="676"/>
      <c r="C18" s="684"/>
      <c r="D18" s="683"/>
      <c r="E18" s="676"/>
      <c r="F18" s="684"/>
      <c r="G18" s="683"/>
      <c r="H18" s="676"/>
      <c r="I18" s="676"/>
      <c r="J18" s="676"/>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row>
    <row r="19" spans="1:35" s="452" customFormat="1" ht="11.25">
      <c r="A19" s="685"/>
      <c r="B19" s="676"/>
      <c r="C19" s="684"/>
      <c r="D19" s="683"/>
      <c r="E19" s="676"/>
      <c r="F19" s="684"/>
      <c r="G19" s="683"/>
      <c r="H19" s="676"/>
      <c r="I19" s="676"/>
      <c r="J19" s="676"/>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row>
    <row r="20" spans="1:35" s="445" customFormat="1">
      <c r="A20" s="693"/>
      <c r="B20" s="690"/>
      <c r="C20" s="692"/>
      <c r="D20" s="691"/>
      <c r="E20" s="690"/>
      <c r="F20" s="692"/>
      <c r="G20" s="691"/>
      <c r="H20" s="690"/>
      <c r="I20" s="676"/>
      <c r="J20" s="676"/>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row>
    <row r="21" spans="1:35" s="451" customFormat="1" ht="12">
      <c r="A21" s="689"/>
      <c r="B21" s="686"/>
      <c r="C21" s="688"/>
      <c r="D21" s="687"/>
      <c r="E21" s="686"/>
      <c r="F21" s="688"/>
      <c r="G21" s="687"/>
      <c r="H21" s="686"/>
      <c r="I21" s="676"/>
      <c r="J21" s="676"/>
      <c r="K21" s="586"/>
      <c r="L21" s="586"/>
      <c r="M21" s="586"/>
      <c r="N21" s="586"/>
      <c r="O21" s="586"/>
      <c r="P21" s="586"/>
      <c r="Q21" s="586"/>
      <c r="R21" s="586"/>
      <c r="S21" s="586"/>
      <c r="T21" s="586"/>
      <c r="U21" s="586"/>
      <c r="V21" s="586"/>
      <c r="W21" s="586"/>
      <c r="X21" s="586"/>
      <c r="Y21" s="586"/>
      <c r="Z21" s="586"/>
      <c r="AA21" s="586"/>
      <c r="AB21" s="586"/>
      <c r="AC21" s="586"/>
      <c r="AD21" s="586"/>
      <c r="AE21" s="586"/>
      <c r="AF21" s="586"/>
      <c r="AG21" s="586"/>
      <c r="AH21" s="586"/>
      <c r="AI21" s="586"/>
    </row>
    <row r="22" spans="1:35">
      <c r="A22" s="685"/>
      <c r="B22" s="676"/>
      <c r="C22" s="684"/>
      <c r="D22" s="683"/>
      <c r="E22" s="676"/>
      <c r="F22" s="684"/>
      <c r="G22" s="683"/>
      <c r="H22" s="676"/>
      <c r="I22" s="676"/>
      <c r="J22" s="676"/>
      <c r="K22" s="454"/>
      <c r="L22" s="454"/>
      <c r="M22" s="454"/>
      <c r="N22" s="454"/>
      <c r="O22" s="454"/>
      <c r="P22" s="454"/>
      <c r="Q22" s="454"/>
      <c r="R22" s="454"/>
      <c r="S22" s="454"/>
      <c r="T22" s="454"/>
      <c r="U22" s="454"/>
      <c r="V22" s="454"/>
      <c r="W22" s="454"/>
      <c r="X22" s="454"/>
      <c r="Y22" s="454"/>
      <c r="Z22" s="454"/>
      <c r="AA22" s="454"/>
      <c r="AB22" s="454"/>
      <c r="AC22" s="454"/>
      <c r="AD22" s="454"/>
      <c r="AE22" s="454"/>
      <c r="AF22" s="454"/>
      <c r="AG22" s="454"/>
      <c r="AH22" s="454"/>
      <c r="AI22" s="454"/>
    </row>
    <row r="23" spans="1:35" s="451" customFormat="1" thickBot="1">
      <c r="A23" s="682"/>
      <c r="B23" s="679"/>
      <c r="C23" s="681"/>
      <c r="D23" s="680"/>
      <c r="E23" s="679"/>
      <c r="F23" s="681"/>
      <c r="G23" s="680"/>
      <c r="H23" s="679"/>
      <c r="I23" s="676"/>
      <c r="J23" s="676"/>
      <c r="K23" s="586"/>
      <c r="L23" s="586"/>
      <c r="M23" s="586"/>
      <c r="N23" s="586"/>
      <c r="O23" s="586"/>
      <c r="P23" s="586"/>
      <c r="Q23" s="586"/>
      <c r="R23" s="586"/>
      <c r="S23" s="586"/>
      <c r="T23" s="586"/>
      <c r="U23" s="586"/>
      <c r="V23" s="586"/>
      <c r="W23" s="586"/>
      <c r="X23" s="586"/>
      <c r="Y23" s="586"/>
      <c r="Z23" s="586"/>
      <c r="AA23" s="586"/>
      <c r="AB23" s="586"/>
      <c r="AC23" s="586"/>
      <c r="AD23" s="586"/>
      <c r="AE23" s="586"/>
      <c r="AF23" s="586"/>
      <c r="AG23" s="586"/>
      <c r="AH23" s="586"/>
      <c r="AI23" s="586"/>
    </row>
    <row r="24" spans="1:35" s="445" customFormat="1" ht="13.5" thickBot="1">
      <c r="A24" s="648"/>
      <c r="B24" s="647"/>
      <c r="C24" s="647"/>
      <c r="D24" s="647"/>
      <c r="E24" s="647"/>
      <c r="F24" s="678"/>
      <c r="G24" s="677"/>
      <c r="H24" s="647"/>
      <c r="I24" s="676"/>
      <c r="J24" s="676"/>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row>
    <row r="25" spans="1:35" ht="13.5" thickBot="1">
      <c r="A25" s="675"/>
      <c r="B25" s="674"/>
      <c r="C25" s="673"/>
      <c r="D25" s="672"/>
      <c r="E25" s="674"/>
      <c r="F25" s="673"/>
      <c r="G25" s="672"/>
      <c r="H25" s="674"/>
      <c r="I25" s="673"/>
      <c r="J25" s="672"/>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row>
    <row r="26" spans="1:35" s="445" customFormat="1" ht="13.5" thickBot="1">
      <c r="A26" s="648"/>
      <c r="B26" s="647"/>
      <c r="C26" s="647"/>
      <c r="D26" s="647"/>
      <c r="E26" s="647"/>
      <c r="F26" s="647"/>
      <c r="G26" s="647"/>
      <c r="H26" s="647"/>
      <c r="I26" s="647"/>
      <c r="J26" s="647"/>
      <c r="K26" s="453"/>
      <c r="L26" s="453"/>
      <c r="M26" s="453"/>
      <c r="N26" s="453"/>
      <c r="O26" s="453"/>
      <c r="P26" s="453"/>
      <c r="Q26" s="453"/>
      <c r="R26" s="453"/>
      <c r="S26" s="453"/>
      <c r="T26" s="453"/>
      <c r="U26" s="453"/>
      <c r="V26" s="453"/>
      <c r="W26" s="453"/>
      <c r="X26" s="453"/>
      <c r="Y26" s="453"/>
      <c r="Z26" s="453"/>
      <c r="AA26" s="453"/>
      <c r="AB26" s="453"/>
      <c r="AC26" s="453"/>
      <c r="AD26" s="453"/>
      <c r="AE26" s="453"/>
      <c r="AF26" s="453"/>
      <c r="AG26" s="453"/>
      <c r="AH26" s="453"/>
      <c r="AI26" s="453"/>
    </row>
    <row r="27" spans="1:35">
      <c r="A27" s="654"/>
      <c r="B27" s="654"/>
      <c r="C27" s="654"/>
      <c r="D27" s="654"/>
      <c r="E27" s="654"/>
      <c r="F27" s="654"/>
      <c r="G27" s="654"/>
      <c r="H27" s="655"/>
      <c r="I27" s="654"/>
      <c r="J27" s="653"/>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row>
    <row r="28" spans="1:35">
      <c r="A28" s="671"/>
      <c r="B28" s="670"/>
      <c r="C28" s="669"/>
      <c r="D28" s="668"/>
      <c r="E28" s="654"/>
      <c r="F28" s="654"/>
      <c r="G28" s="654"/>
      <c r="H28" s="655"/>
      <c r="I28" s="654"/>
      <c r="J28" s="653"/>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row>
    <row r="29" spans="1:35">
      <c r="A29" s="662"/>
      <c r="B29" s="655"/>
      <c r="C29" s="654"/>
      <c r="D29" s="653"/>
      <c r="E29" s="654"/>
      <c r="F29" s="654"/>
      <c r="G29" s="654"/>
      <c r="H29" s="655"/>
      <c r="I29" s="654"/>
      <c r="J29" s="653"/>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row>
    <row r="30" spans="1:35">
      <c r="A30" s="662"/>
      <c r="B30" s="655"/>
      <c r="C30" s="654"/>
      <c r="D30" s="653"/>
      <c r="E30" s="654"/>
      <c r="F30" s="654"/>
      <c r="G30" s="654"/>
      <c r="H30" s="655"/>
      <c r="I30" s="654"/>
      <c r="J30" s="653"/>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row>
    <row r="31" spans="1:35">
      <c r="A31" s="662"/>
      <c r="B31" s="655"/>
      <c r="C31" s="654"/>
      <c r="D31" s="653"/>
      <c r="E31" s="654"/>
      <c r="F31" s="654"/>
      <c r="G31" s="654"/>
      <c r="H31" s="655"/>
      <c r="I31" s="654"/>
      <c r="J31" s="653"/>
      <c r="K31" s="454"/>
      <c r="L31" s="454"/>
      <c r="M31" s="454"/>
      <c r="N31" s="454"/>
      <c r="O31" s="454"/>
      <c r="P31" s="454"/>
      <c r="Q31" s="454"/>
      <c r="R31" s="454"/>
      <c r="S31" s="454"/>
      <c r="T31" s="454"/>
      <c r="U31" s="454"/>
      <c r="V31" s="454"/>
      <c r="W31" s="454"/>
      <c r="X31" s="454"/>
      <c r="Y31" s="454"/>
      <c r="Z31" s="454"/>
      <c r="AA31" s="454"/>
      <c r="AB31" s="454"/>
      <c r="AC31" s="454"/>
      <c r="AD31" s="454"/>
      <c r="AE31" s="454"/>
      <c r="AF31" s="454"/>
      <c r="AG31" s="454"/>
      <c r="AH31" s="454"/>
      <c r="AI31" s="454"/>
    </row>
    <row r="32" spans="1:35">
      <c r="A32" s="667"/>
      <c r="B32" s="666"/>
      <c r="C32" s="665"/>
      <c r="D32" s="664"/>
      <c r="E32" s="654"/>
      <c r="F32" s="654"/>
      <c r="G32" s="654"/>
      <c r="H32" s="655"/>
      <c r="I32" s="654"/>
      <c r="J32" s="653"/>
      <c r="K32" s="454"/>
      <c r="L32" s="454"/>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row>
    <row r="33" spans="1:35">
      <c r="A33" s="662"/>
      <c r="B33" s="655"/>
      <c r="C33" s="654"/>
      <c r="D33" s="653"/>
      <c r="E33" s="654"/>
      <c r="F33" s="654"/>
      <c r="G33" s="654"/>
      <c r="H33" s="655"/>
      <c r="I33" s="654"/>
      <c r="J33" s="653"/>
      <c r="K33" s="454"/>
      <c r="L33" s="454"/>
      <c r="M33" s="454"/>
      <c r="N33" s="454"/>
      <c r="O33" s="454"/>
      <c r="P33" s="454"/>
      <c r="Q33" s="454"/>
      <c r="R33" s="454"/>
      <c r="S33" s="454"/>
      <c r="T33" s="454"/>
      <c r="U33" s="454"/>
      <c r="V33" s="454"/>
      <c r="W33" s="454"/>
      <c r="X33" s="454"/>
      <c r="Y33" s="454"/>
      <c r="Z33" s="454"/>
      <c r="AA33" s="454"/>
      <c r="AB33" s="454"/>
      <c r="AC33" s="454"/>
      <c r="AD33" s="454"/>
      <c r="AE33" s="454"/>
      <c r="AF33" s="454"/>
      <c r="AG33" s="454"/>
      <c r="AH33" s="454"/>
      <c r="AI33" s="454"/>
    </row>
    <row r="34" spans="1:35">
      <c r="A34" s="662"/>
      <c r="B34" s="655"/>
      <c r="C34" s="654"/>
      <c r="D34" s="653"/>
      <c r="E34" s="654"/>
      <c r="F34" s="654"/>
      <c r="G34" s="654"/>
      <c r="H34" s="655"/>
      <c r="I34" s="654"/>
      <c r="J34" s="653"/>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row>
    <row r="35" spans="1:35">
      <c r="A35" s="663"/>
      <c r="B35" s="654"/>
      <c r="C35" s="654"/>
      <c r="D35" s="654"/>
      <c r="E35" s="654"/>
      <c r="F35" s="654"/>
      <c r="G35" s="654"/>
      <c r="H35" s="655"/>
      <c r="I35" s="654"/>
      <c r="J35" s="653"/>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row>
    <row r="36" spans="1:35">
      <c r="A36" s="659"/>
      <c r="B36" s="659"/>
      <c r="C36" s="659"/>
      <c r="D36" s="659"/>
      <c r="E36" s="654"/>
      <c r="F36" s="654"/>
      <c r="G36" s="654"/>
      <c r="H36" s="655"/>
      <c r="I36" s="654"/>
      <c r="J36" s="653"/>
      <c r="K36" s="454"/>
      <c r="L36" s="454"/>
      <c r="M36" s="454"/>
      <c r="N36" s="454"/>
      <c r="O36" s="454"/>
      <c r="P36" s="454"/>
      <c r="Q36" s="454"/>
      <c r="R36" s="454"/>
      <c r="S36" s="454"/>
      <c r="T36" s="454"/>
      <c r="U36" s="454"/>
      <c r="V36" s="454"/>
      <c r="W36" s="454"/>
      <c r="X36" s="454"/>
      <c r="Y36" s="454"/>
      <c r="Z36" s="454"/>
      <c r="AA36" s="454"/>
      <c r="AB36" s="454"/>
      <c r="AC36" s="454"/>
      <c r="AD36" s="454"/>
      <c r="AE36" s="454"/>
      <c r="AF36" s="454"/>
      <c r="AG36" s="454"/>
      <c r="AH36" s="454"/>
      <c r="AI36" s="454"/>
    </row>
    <row r="37" spans="1:35">
      <c r="A37" s="662"/>
      <c r="B37" s="654"/>
      <c r="C37" s="654"/>
      <c r="D37" s="654"/>
      <c r="E37" s="654"/>
      <c r="F37" s="654"/>
      <c r="G37" s="654"/>
      <c r="H37" s="655"/>
      <c r="I37" s="654"/>
      <c r="J37" s="653"/>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row>
    <row r="38" spans="1:35">
      <c r="A38" s="662"/>
      <c r="B38" s="654"/>
      <c r="C38" s="654"/>
      <c r="D38" s="654"/>
      <c r="E38" s="654"/>
      <c r="F38" s="654"/>
      <c r="G38" s="654"/>
      <c r="H38" s="655"/>
      <c r="I38" s="654"/>
      <c r="J38" s="653"/>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row>
    <row r="39" spans="1:35">
      <c r="A39" s="663"/>
      <c r="B39" s="654"/>
      <c r="C39" s="654"/>
      <c r="D39" s="654"/>
      <c r="E39" s="654"/>
      <c r="F39" s="654"/>
      <c r="G39" s="654"/>
      <c r="H39" s="655"/>
      <c r="I39" s="654"/>
      <c r="J39" s="653"/>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row>
    <row r="40" spans="1:35">
      <c r="A40" s="659"/>
      <c r="B40" s="659"/>
      <c r="C40" s="659"/>
      <c r="D40" s="659"/>
      <c r="E40" s="654"/>
      <c r="F40" s="654"/>
      <c r="G40" s="654"/>
      <c r="H40" s="655"/>
      <c r="I40" s="654"/>
      <c r="J40" s="653"/>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row>
    <row r="41" spans="1:35">
      <c r="A41" s="662"/>
      <c r="B41" s="654"/>
      <c r="C41" s="654"/>
      <c r="D41" s="654"/>
      <c r="E41" s="654"/>
      <c r="F41" s="654"/>
      <c r="G41" s="654"/>
      <c r="H41" s="655"/>
      <c r="I41" s="654"/>
      <c r="J41" s="653"/>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row>
    <row r="42" spans="1:35">
      <c r="A42" s="662"/>
      <c r="B42" s="654"/>
      <c r="C42" s="654"/>
      <c r="D42" s="654"/>
      <c r="E42" s="654"/>
      <c r="F42" s="654"/>
      <c r="G42" s="654"/>
      <c r="H42" s="655"/>
      <c r="I42" s="654"/>
      <c r="J42" s="653"/>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row>
    <row r="43" spans="1:35">
      <c r="A43" s="659"/>
      <c r="B43" s="659"/>
      <c r="C43" s="659"/>
      <c r="D43" s="659"/>
      <c r="E43" s="654"/>
      <c r="F43" s="654"/>
      <c r="G43" s="654"/>
      <c r="H43" s="655"/>
      <c r="I43" s="654"/>
      <c r="J43" s="653"/>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row>
    <row r="44" spans="1:35">
      <c r="A44" s="662"/>
      <c r="B44" s="654"/>
      <c r="C44" s="654"/>
      <c r="D44" s="654"/>
      <c r="E44" s="654"/>
      <c r="F44" s="654"/>
      <c r="G44" s="654"/>
      <c r="H44" s="655"/>
      <c r="I44" s="654"/>
      <c r="J44" s="653"/>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row>
    <row r="45" spans="1:35">
      <c r="A45" s="659"/>
      <c r="B45" s="659"/>
      <c r="C45" s="659"/>
      <c r="D45" s="659"/>
      <c r="E45" s="654"/>
      <c r="F45" s="654"/>
      <c r="G45" s="654"/>
      <c r="H45" s="655"/>
      <c r="I45" s="654"/>
      <c r="J45" s="653"/>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row>
    <row r="46" spans="1:35">
      <c r="A46" s="661"/>
      <c r="B46" s="654"/>
      <c r="C46" s="654"/>
      <c r="D46" s="654"/>
      <c r="E46" s="654"/>
      <c r="F46" s="654"/>
      <c r="G46" s="654"/>
      <c r="H46" s="655"/>
      <c r="I46" s="654"/>
      <c r="J46" s="653"/>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row>
    <row r="47" spans="1:35">
      <c r="A47" s="661"/>
      <c r="B47" s="654"/>
      <c r="C47" s="654"/>
      <c r="D47" s="654"/>
      <c r="E47" s="654"/>
      <c r="F47" s="654"/>
      <c r="G47" s="654"/>
      <c r="H47" s="655"/>
      <c r="I47" s="654"/>
      <c r="J47" s="653"/>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row>
    <row r="48" spans="1:35">
      <c r="A48" s="654"/>
      <c r="B48" s="654"/>
      <c r="C48" s="654"/>
      <c r="D48" s="654"/>
      <c r="E48" s="654"/>
      <c r="F48" s="654"/>
      <c r="G48" s="654"/>
      <c r="H48" s="655"/>
      <c r="I48" s="654"/>
      <c r="J48" s="653"/>
      <c r="K48" s="454"/>
      <c r="L48" s="454"/>
      <c r="M48" s="454"/>
      <c r="N48" s="454"/>
      <c r="O48" s="454"/>
      <c r="P48" s="454"/>
      <c r="Q48" s="454"/>
      <c r="R48" s="454"/>
      <c r="S48" s="454"/>
      <c r="T48" s="454"/>
      <c r="U48" s="454"/>
      <c r="V48" s="454"/>
      <c r="W48" s="454"/>
      <c r="X48" s="454"/>
      <c r="Y48" s="454"/>
      <c r="Z48" s="454"/>
      <c r="AA48" s="454"/>
      <c r="AB48" s="454"/>
      <c r="AC48" s="454"/>
      <c r="AD48" s="454"/>
      <c r="AE48" s="454"/>
      <c r="AF48" s="454"/>
      <c r="AG48" s="454"/>
      <c r="AH48" s="454"/>
      <c r="AI48" s="454"/>
    </row>
    <row r="49" spans="1:35">
      <c r="A49" s="659"/>
      <c r="B49" s="654"/>
      <c r="C49" s="654"/>
      <c r="D49" s="654"/>
      <c r="E49" s="654"/>
      <c r="F49" s="654"/>
      <c r="G49" s="654"/>
      <c r="H49" s="655"/>
      <c r="I49" s="654"/>
      <c r="J49" s="653"/>
      <c r="K49" s="454"/>
      <c r="L49" s="454"/>
      <c r="M49" s="454"/>
      <c r="N49" s="454"/>
      <c r="O49" s="454"/>
      <c r="P49" s="454"/>
      <c r="Q49" s="454"/>
      <c r="R49" s="454"/>
      <c r="S49" s="454"/>
      <c r="T49" s="454"/>
      <c r="U49" s="454"/>
      <c r="V49" s="454"/>
      <c r="W49" s="454"/>
      <c r="X49" s="454"/>
      <c r="Y49" s="454"/>
      <c r="Z49" s="454"/>
      <c r="AA49" s="454"/>
      <c r="AB49" s="454"/>
      <c r="AC49" s="454"/>
      <c r="AD49" s="454"/>
      <c r="AE49" s="454"/>
      <c r="AF49" s="454"/>
      <c r="AG49" s="454"/>
      <c r="AH49" s="454"/>
      <c r="AI49" s="454"/>
    </row>
    <row r="50" spans="1:35">
      <c r="A50" s="654"/>
      <c r="B50" s="654"/>
      <c r="C50" s="654"/>
      <c r="D50" s="654"/>
      <c r="E50" s="654"/>
      <c r="F50" s="654"/>
      <c r="G50" s="654"/>
      <c r="H50" s="655"/>
      <c r="I50" s="654"/>
      <c r="J50" s="653"/>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row>
    <row r="51" spans="1:35">
      <c r="A51" s="659"/>
      <c r="B51" s="659"/>
      <c r="C51" s="659"/>
      <c r="D51" s="659"/>
      <c r="E51" s="659"/>
      <c r="F51" s="659"/>
      <c r="G51" s="659"/>
      <c r="H51" s="655"/>
      <c r="I51" s="654"/>
      <c r="J51" s="653"/>
      <c r="K51" s="454"/>
      <c r="L51" s="454"/>
      <c r="M51" s="454"/>
      <c r="N51" s="454"/>
      <c r="O51" s="454"/>
      <c r="P51" s="454"/>
      <c r="Q51" s="454"/>
      <c r="R51" s="454"/>
      <c r="S51" s="454"/>
      <c r="T51" s="454"/>
      <c r="U51" s="454"/>
      <c r="V51" s="454"/>
      <c r="W51" s="454"/>
      <c r="X51" s="454"/>
      <c r="Y51" s="454"/>
      <c r="Z51" s="454"/>
      <c r="AA51" s="454"/>
      <c r="AB51" s="454"/>
      <c r="AC51" s="454"/>
      <c r="AD51" s="454"/>
      <c r="AE51" s="454"/>
      <c r="AF51" s="454"/>
      <c r="AG51" s="454"/>
      <c r="AH51" s="454"/>
      <c r="AI51" s="454"/>
    </row>
    <row r="52" spans="1:35">
      <c r="A52" s="656"/>
      <c r="B52" s="654"/>
      <c r="C52" s="654"/>
      <c r="D52" s="654"/>
      <c r="E52" s="654"/>
      <c r="F52" s="654"/>
      <c r="G52" s="654"/>
      <c r="H52" s="655"/>
      <c r="I52" s="654"/>
      <c r="J52" s="653"/>
      <c r="K52" s="454"/>
      <c r="L52" s="454"/>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row>
    <row r="53" spans="1:35">
      <c r="A53" s="656"/>
      <c r="B53" s="654"/>
      <c r="C53" s="654"/>
      <c r="D53" s="654"/>
      <c r="E53" s="654"/>
      <c r="F53" s="654"/>
      <c r="G53" s="654"/>
      <c r="H53" s="655"/>
      <c r="I53" s="654"/>
      <c r="J53" s="653"/>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454"/>
      <c r="AH53" s="454"/>
      <c r="AI53" s="454"/>
    </row>
    <row r="54" spans="1:35">
      <c r="A54" s="656"/>
      <c r="B54" s="654"/>
      <c r="C54" s="654"/>
      <c r="D54" s="654"/>
      <c r="E54" s="654"/>
      <c r="F54" s="654"/>
      <c r="G54" s="654"/>
      <c r="H54" s="655"/>
      <c r="I54" s="654"/>
      <c r="J54" s="653"/>
      <c r="K54" s="454"/>
      <c r="L54" s="454"/>
      <c r="M54" s="454"/>
      <c r="N54" s="454"/>
      <c r="O54" s="454"/>
      <c r="P54" s="454"/>
      <c r="Q54" s="454"/>
      <c r="R54" s="454"/>
      <c r="S54" s="454"/>
      <c r="T54" s="454"/>
      <c r="U54" s="454"/>
      <c r="V54" s="454"/>
      <c r="W54" s="454"/>
      <c r="X54" s="454"/>
      <c r="Y54" s="454"/>
      <c r="Z54" s="454"/>
      <c r="AA54" s="454"/>
      <c r="AB54" s="454"/>
      <c r="AC54" s="454"/>
      <c r="AD54" s="454"/>
      <c r="AE54" s="454"/>
      <c r="AF54" s="454"/>
      <c r="AG54" s="454"/>
      <c r="AH54" s="454"/>
      <c r="AI54" s="454"/>
    </row>
    <row r="55" spans="1:35">
      <c r="A55" s="656"/>
      <c r="B55" s="654"/>
      <c r="C55" s="654"/>
      <c r="D55" s="654"/>
      <c r="E55" s="654"/>
      <c r="F55" s="654"/>
      <c r="G55" s="654"/>
      <c r="H55" s="655"/>
      <c r="I55" s="654"/>
      <c r="J55" s="653"/>
      <c r="K55" s="454"/>
      <c r="L55" s="454"/>
      <c r="M55" s="454"/>
      <c r="N55" s="454"/>
      <c r="O55" s="454"/>
      <c r="P55" s="454"/>
      <c r="Q55" s="454"/>
      <c r="R55" s="454"/>
      <c r="S55" s="454"/>
      <c r="T55" s="454"/>
      <c r="U55" s="454"/>
      <c r="V55" s="454"/>
      <c r="W55" s="454"/>
      <c r="X55" s="454"/>
      <c r="Y55" s="454"/>
      <c r="Z55" s="454"/>
      <c r="AA55" s="454"/>
      <c r="AB55" s="454"/>
      <c r="AC55" s="454"/>
      <c r="AD55" s="454"/>
      <c r="AE55" s="454"/>
      <c r="AF55" s="454"/>
      <c r="AG55" s="454"/>
      <c r="AH55" s="454"/>
      <c r="AI55" s="454"/>
    </row>
    <row r="56" spans="1:35">
      <c r="A56" s="659"/>
      <c r="B56" s="659"/>
      <c r="C56" s="659"/>
      <c r="D56" s="659"/>
      <c r="E56" s="659"/>
      <c r="F56" s="659"/>
      <c r="G56" s="659"/>
      <c r="H56" s="658"/>
      <c r="I56" s="654"/>
      <c r="J56" s="657"/>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row>
    <row r="57" spans="1:35">
      <c r="A57" s="656"/>
      <c r="B57" s="654"/>
      <c r="C57" s="654"/>
      <c r="D57" s="654"/>
      <c r="E57" s="654"/>
      <c r="F57" s="654"/>
      <c r="G57" s="654"/>
      <c r="H57" s="655"/>
      <c r="I57" s="654"/>
      <c r="J57" s="653"/>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4"/>
    </row>
    <row r="58" spans="1:35">
      <c r="A58" s="656"/>
      <c r="B58" s="654"/>
      <c r="C58" s="654"/>
      <c r="D58" s="654"/>
      <c r="E58" s="654"/>
      <c r="F58" s="654"/>
      <c r="G58" s="654"/>
      <c r="H58" s="655"/>
      <c r="I58" s="654"/>
      <c r="J58" s="653"/>
      <c r="K58" s="454"/>
      <c r="L58" s="454"/>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row>
    <row r="59" spans="1:35">
      <c r="A59" s="656"/>
      <c r="B59" s="654"/>
      <c r="C59" s="654"/>
      <c r="D59" s="654"/>
      <c r="E59" s="654"/>
      <c r="F59" s="654"/>
      <c r="G59" s="654"/>
      <c r="H59" s="655"/>
      <c r="I59" s="654"/>
      <c r="J59" s="653"/>
      <c r="K59" s="454"/>
      <c r="L59" s="454"/>
      <c r="M59" s="454"/>
      <c r="N59" s="454"/>
      <c r="O59" s="454"/>
      <c r="P59" s="454"/>
      <c r="Q59" s="454"/>
      <c r="R59" s="454"/>
      <c r="S59" s="454"/>
      <c r="T59" s="454"/>
      <c r="U59" s="454"/>
      <c r="V59" s="454"/>
      <c r="W59" s="454"/>
      <c r="X59" s="454"/>
      <c r="Y59" s="454"/>
      <c r="Z59" s="454"/>
      <c r="AA59" s="454"/>
      <c r="AB59" s="454"/>
      <c r="AC59" s="454"/>
      <c r="AD59" s="454"/>
      <c r="AE59" s="454"/>
      <c r="AF59" s="454"/>
      <c r="AG59" s="454"/>
      <c r="AH59" s="454"/>
      <c r="AI59" s="454"/>
    </row>
    <row r="60" spans="1:35">
      <c r="A60" s="659"/>
      <c r="B60" s="659"/>
      <c r="C60" s="659"/>
      <c r="D60" s="659"/>
      <c r="E60" s="659"/>
      <c r="F60" s="659"/>
      <c r="G60" s="659"/>
      <c r="H60" s="659"/>
      <c r="I60" s="654"/>
      <c r="J60" s="659"/>
      <c r="K60" s="454"/>
      <c r="L60" s="454"/>
      <c r="M60" s="454"/>
      <c r="N60" s="454"/>
      <c r="O60" s="454"/>
      <c r="P60" s="454"/>
      <c r="Q60" s="454"/>
      <c r="R60" s="454"/>
      <c r="S60" s="454"/>
      <c r="T60" s="454"/>
      <c r="U60" s="454"/>
      <c r="V60" s="454"/>
      <c r="W60" s="454"/>
      <c r="X60" s="454"/>
      <c r="Y60" s="454"/>
      <c r="Z60" s="454"/>
      <c r="AA60" s="454"/>
      <c r="AB60" s="454"/>
      <c r="AC60" s="454"/>
      <c r="AD60" s="454"/>
      <c r="AE60" s="454"/>
      <c r="AF60" s="454"/>
      <c r="AG60" s="454"/>
      <c r="AH60" s="454"/>
      <c r="AI60" s="454"/>
    </row>
    <row r="61" spans="1:35">
      <c r="A61" s="656"/>
      <c r="B61" s="654"/>
      <c r="C61" s="654"/>
      <c r="D61" s="654"/>
      <c r="E61" s="654"/>
      <c r="F61" s="654"/>
      <c r="G61" s="654"/>
      <c r="H61" s="655"/>
      <c r="I61" s="654"/>
      <c r="J61" s="653"/>
      <c r="K61" s="454"/>
      <c r="L61" s="454"/>
      <c r="M61" s="454"/>
      <c r="N61" s="454"/>
      <c r="O61" s="454"/>
      <c r="P61" s="454"/>
      <c r="Q61" s="454"/>
      <c r="R61" s="454"/>
      <c r="S61" s="454"/>
      <c r="T61" s="454"/>
      <c r="U61" s="454"/>
      <c r="V61" s="454"/>
      <c r="W61" s="454"/>
      <c r="X61" s="454"/>
      <c r="Y61" s="454"/>
      <c r="Z61" s="454"/>
      <c r="AA61" s="454"/>
      <c r="AB61" s="454"/>
      <c r="AC61" s="454"/>
      <c r="AD61" s="454"/>
      <c r="AE61" s="454"/>
      <c r="AF61" s="454"/>
      <c r="AG61" s="454"/>
      <c r="AH61" s="454"/>
      <c r="AI61" s="454"/>
    </row>
    <row r="62" spans="1:35">
      <c r="A62" s="656"/>
      <c r="B62" s="654"/>
      <c r="C62" s="654"/>
      <c r="D62" s="654"/>
      <c r="E62" s="654"/>
      <c r="F62" s="654"/>
      <c r="G62" s="654"/>
      <c r="H62" s="655"/>
      <c r="I62" s="654"/>
      <c r="J62" s="653"/>
      <c r="K62" s="454"/>
      <c r="L62" s="454"/>
      <c r="M62" s="454"/>
      <c r="N62" s="454"/>
      <c r="O62" s="454"/>
      <c r="P62" s="454"/>
      <c r="Q62" s="454"/>
      <c r="R62" s="454"/>
      <c r="S62" s="454"/>
      <c r="T62" s="454"/>
      <c r="U62" s="454"/>
      <c r="V62" s="454"/>
      <c r="W62" s="454"/>
      <c r="X62" s="454"/>
      <c r="Y62" s="454"/>
      <c r="Z62" s="454"/>
      <c r="AA62" s="454"/>
      <c r="AB62" s="454"/>
      <c r="AC62" s="454"/>
      <c r="AD62" s="454"/>
      <c r="AE62" s="454"/>
      <c r="AF62" s="454"/>
      <c r="AG62" s="454"/>
      <c r="AH62" s="454"/>
      <c r="AI62" s="454"/>
    </row>
    <row r="63" spans="1:35">
      <c r="A63" s="656"/>
      <c r="B63" s="654"/>
      <c r="C63" s="654"/>
      <c r="D63" s="654"/>
      <c r="E63" s="654"/>
      <c r="F63" s="654"/>
      <c r="G63" s="654"/>
      <c r="H63" s="655"/>
      <c r="I63" s="654"/>
      <c r="J63" s="653"/>
      <c r="K63" s="454"/>
      <c r="L63" s="454"/>
      <c r="M63" s="454"/>
      <c r="N63" s="454"/>
      <c r="O63" s="454"/>
      <c r="P63" s="454"/>
      <c r="Q63" s="454"/>
      <c r="R63" s="454"/>
      <c r="S63" s="454"/>
      <c r="T63" s="454"/>
      <c r="U63" s="454"/>
      <c r="V63" s="454"/>
      <c r="W63" s="454"/>
      <c r="X63" s="454"/>
      <c r="Y63" s="454"/>
      <c r="Z63" s="454"/>
      <c r="AA63" s="454"/>
      <c r="AB63" s="454"/>
      <c r="AC63" s="454"/>
      <c r="AD63" s="454"/>
      <c r="AE63" s="454"/>
      <c r="AF63" s="454"/>
      <c r="AG63" s="454"/>
      <c r="AH63" s="454"/>
      <c r="AI63" s="454"/>
    </row>
    <row r="64" spans="1:35">
      <c r="A64" s="660"/>
      <c r="B64" s="654"/>
      <c r="C64" s="654"/>
      <c r="D64" s="654"/>
      <c r="E64" s="654"/>
      <c r="F64" s="654"/>
      <c r="G64" s="654"/>
      <c r="H64" s="658"/>
      <c r="I64" s="654"/>
      <c r="J64" s="657"/>
      <c r="K64" s="454"/>
      <c r="L64" s="454"/>
      <c r="M64" s="454"/>
      <c r="N64" s="454"/>
      <c r="O64" s="454"/>
      <c r="P64" s="454"/>
      <c r="Q64" s="454"/>
      <c r="R64" s="454"/>
      <c r="S64" s="454"/>
      <c r="T64" s="454"/>
      <c r="U64" s="454"/>
      <c r="V64" s="454"/>
      <c r="W64" s="454"/>
      <c r="X64" s="454"/>
      <c r="Y64" s="454"/>
      <c r="Z64" s="454"/>
      <c r="AA64" s="454"/>
      <c r="AB64" s="454"/>
      <c r="AC64" s="454"/>
      <c r="AD64" s="454"/>
      <c r="AE64" s="454"/>
      <c r="AF64" s="454"/>
      <c r="AG64" s="454"/>
      <c r="AH64" s="454"/>
      <c r="AI64" s="454"/>
    </row>
    <row r="65" spans="1:35">
      <c r="A65" s="660"/>
      <c r="B65" s="654"/>
      <c r="C65" s="654"/>
      <c r="D65" s="654"/>
      <c r="E65" s="654"/>
      <c r="F65" s="654"/>
      <c r="G65" s="654"/>
      <c r="H65" s="658"/>
      <c r="I65" s="654"/>
      <c r="J65" s="657"/>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454"/>
    </row>
    <row r="66" spans="1:35">
      <c r="A66" s="659"/>
      <c r="B66" s="659"/>
      <c r="C66" s="659"/>
      <c r="D66" s="659"/>
      <c r="E66" s="659"/>
      <c r="F66" s="659"/>
      <c r="G66" s="659"/>
      <c r="H66" s="658"/>
      <c r="I66" s="654"/>
      <c r="J66" s="657"/>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row>
    <row r="67" spans="1:35">
      <c r="A67" s="656"/>
      <c r="B67" s="654"/>
      <c r="C67" s="654"/>
      <c r="D67" s="654"/>
      <c r="E67" s="654"/>
      <c r="F67" s="654"/>
      <c r="G67" s="654"/>
      <c r="H67" s="655"/>
      <c r="I67" s="654"/>
      <c r="J67" s="653"/>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row>
    <row r="68" spans="1:35">
      <c r="A68" s="659"/>
      <c r="B68" s="659"/>
      <c r="C68" s="659"/>
      <c r="D68" s="659"/>
      <c r="E68" s="659"/>
      <c r="F68" s="659"/>
      <c r="G68" s="659"/>
      <c r="H68" s="658"/>
      <c r="I68" s="654"/>
      <c r="J68" s="657"/>
      <c r="K68" s="454"/>
      <c r="L68" s="454"/>
      <c r="M68" s="454"/>
      <c r="N68" s="454"/>
      <c r="O68" s="454"/>
      <c r="P68" s="454"/>
      <c r="Q68" s="454"/>
      <c r="R68" s="454"/>
      <c r="S68" s="454"/>
      <c r="T68" s="454"/>
      <c r="U68" s="454"/>
      <c r="V68" s="454"/>
      <c r="W68" s="454"/>
      <c r="X68" s="454"/>
      <c r="Y68" s="454"/>
      <c r="Z68" s="454"/>
      <c r="AA68" s="454"/>
      <c r="AB68" s="454"/>
      <c r="AC68" s="454"/>
      <c r="AD68" s="454"/>
      <c r="AE68" s="454"/>
      <c r="AF68" s="454"/>
      <c r="AG68" s="454"/>
      <c r="AH68" s="454"/>
      <c r="AI68" s="454"/>
    </row>
    <row r="69" spans="1:35">
      <c r="A69" s="656"/>
      <c r="B69" s="654"/>
      <c r="C69" s="654"/>
      <c r="D69" s="654"/>
      <c r="E69" s="654"/>
      <c r="F69" s="654"/>
      <c r="G69" s="654"/>
      <c r="H69" s="655"/>
      <c r="I69" s="654"/>
      <c r="J69" s="653"/>
      <c r="K69" s="454"/>
      <c r="L69" s="454"/>
      <c r="M69" s="454"/>
      <c r="N69" s="454"/>
      <c r="O69" s="454"/>
      <c r="P69" s="454"/>
      <c r="Q69" s="454"/>
      <c r="R69" s="454"/>
      <c r="S69" s="454"/>
      <c r="T69" s="454"/>
      <c r="U69" s="454"/>
      <c r="V69" s="454"/>
      <c r="W69" s="454"/>
      <c r="X69" s="454"/>
      <c r="Y69" s="454"/>
      <c r="Z69" s="454"/>
      <c r="AA69" s="454"/>
      <c r="AB69" s="454"/>
      <c r="AC69" s="454"/>
      <c r="AD69" s="454"/>
      <c r="AE69" s="454"/>
      <c r="AF69" s="454"/>
      <c r="AG69" s="454"/>
      <c r="AH69" s="454"/>
      <c r="AI69" s="454"/>
    </row>
    <row r="70" spans="1:35">
      <c r="A70" s="656"/>
      <c r="B70" s="654"/>
      <c r="C70" s="654"/>
      <c r="D70" s="654"/>
      <c r="E70" s="654"/>
      <c r="F70" s="654"/>
      <c r="G70" s="654"/>
      <c r="H70" s="655"/>
      <c r="I70" s="654"/>
      <c r="J70" s="653"/>
      <c r="K70" s="454"/>
      <c r="L70" s="454"/>
      <c r="M70" s="454"/>
      <c r="N70" s="454"/>
      <c r="O70" s="454"/>
      <c r="P70" s="454"/>
      <c r="Q70" s="454"/>
      <c r="R70" s="454"/>
      <c r="S70" s="454"/>
      <c r="T70" s="454"/>
      <c r="U70" s="454"/>
      <c r="V70" s="454"/>
      <c r="W70" s="454"/>
      <c r="X70" s="454"/>
      <c r="Y70" s="454"/>
      <c r="Z70" s="454"/>
      <c r="AA70" s="454"/>
      <c r="AB70" s="454"/>
      <c r="AC70" s="454"/>
      <c r="AD70" s="454"/>
      <c r="AE70" s="454"/>
      <c r="AF70" s="454"/>
      <c r="AG70" s="454"/>
      <c r="AH70" s="454"/>
      <c r="AI70" s="454"/>
    </row>
    <row r="71" spans="1:35">
      <c r="A71" s="656"/>
      <c r="B71" s="654"/>
      <c r="C71" s="654"/>
      <c r="D71" s="654"/>
      <c r="E71" s="654"/>
      <c r="F71" s="654"/>
      <c r="G71" s="654"/>
      <c r="H71" s="655"/>
      <c r="I71" s="654"/>
      <c r="J71" s="653"/>
      <c r="K71" s="454"/>
      <c r="L71" s="454"/>
      <c r="M71" s="454"/>
      <c r="N71" s="454"/>
      <c r="O71" s="454"/>
      <c r="P71" s="454"/>
      <c r="Q71" s="454"/>
      <c r="R71" s="454"/>
      <c r="S71" s="454"/>
      <c r="T71" s="454"/>
      <c r="U71" s="454"/>
      <c r="V71" s="454"/>
      <c r="W71" s="454"/>
      <c r="X71" s="454"/>
      <c r="Y71" s="454"/>
      <c r="Z71" s="454"/>
      <c r="AA71" s="454"/>
      <c r="AB71" s="454"/>
      <c r="AC71" s="454"/>
      <c r="AD71" s="454"/>
      <c r="AE71" s="454"/>
      <c r="AF71" s="454"/>
      <c r="AG71" s="454"/>
      <c r="AH71" s="454"/>
      <c r="AI71" s="454"/>
    </row>
    <row r="72" spans="1:35">
      <c r="A72" s="659"/>
      <c r="B72" s="659"/>
      <c r="C72" s="659"/>
      <c r="D72" s="659"/>
      <c r="E72" s="659"/>
      <c r="F72" s="659"/>
      <c r="G72" s="659"/>
      <c r="H72" s="658"/>
      <c r="I72" s="654"/>
      <c r="J72" s="657"/>
      <c r="K72" s="454"/>
      <c r="L72" s="454"/>
      <c r="M72" s="454"/>
      <c r="N72" s="454"/>
      <c r="O72" s="454"/>
      <c r="P72" s="454"/>
      <c r="Q72" s="454"/>
      <c r="R72" s="454"/>
      <c r="S72" s="454"/>
      <c r="T72" s="454"/>
      <c r="U72" s="454"/>
      <c r="V72" s="454"/>
      <c r="W72" s="454"/>
      <c r="X72" s="454"/>
      <c r="Y72" s="454"/>
      <c r="Z72" s="454"/>
      <c r="AA72" s="454"/>
      <c r="AB72" s="454"/>
      <c r="AC72" s="454"/>
      <c r="AD72" s="454"/>
      <c r="AE72" s="454"/>
      <c r="AF72" s="454"/>
      <c r="AG72" s="454"/>
      <c r="AH72" s="454"/>
      <c r="AI72" s="454"/>
    </row>
    <row r="73" spans="1:35">
      <c r="A73" s="656"/>
      <c r="B73" s="654"/>
      <c r="C73" s="654"/>
      <c r="D73" s="654"/>
      <c r="E73" s="654"/>
      <c r="F73" s="654"/>
      <c r="G73" s="654"/>
      <c r="H73" s="655"/>
      <c r="I73" s="654"/>
      <c r="J73" s="653"/>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4"/>
      <c r="AH73" s="454"/>
      <c r="AI73" s="454"/>
    </row>
    <row r="74" spans="1:35">
      <c r="A74" s="656"/>
      <c r="B74" s="654"/>
      <c r="C74" s="654"/>
      <c r="D74" s="654"/>
      <c r="E74" s="654"/>
      <c r="F74" s="654"/>
      <c r="G74" s="654"/>
      <c r="H74" s="655"/>
      <c r="I74" s="654"/>
      <c r="J74" s="653"/>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454"/>
    </row>
    <row r="75" spans="1:35">
      <c r="A75" s="654"/>
      <c r="B75" s="654"/>
      <c r="C75" s="654"/>
      <c r="D75" s="654"/>
      <c r="E75" s="654"/>
      <c r="F75" s="654"/>
      <c r="G75" s="654"/>
      <c r="H75" s="655"/>
      <c r="I75" s="654"/>
      <c r="J75" s="653"/>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454"/>
    </row>
    <row r="76" spans="1:35" ht="13.5" thickBot="1">
      <c r="A76" s="652"/>
      <c r="B76" s="651"/>
      <c r="C76" s="650"/>
      <c r="D76" s="649"/>
      <c r="E76" s="651"/>
      <c r="F76" s="650"/>
      <c r="G76" s="649"/>
      <c r="H76" s="651">
        <f>+B76+E76</f>
        <v>0</v>
      </c>
      <c r="I76" s="650">
        <f t="shared" ref="I76" si="0">+C76+F76</f>
        <v>0</v>
      </c>
      <c r="J76" s="649">
        <f t="shared" ref="J76" si="1">+D76+G76</f>
        <v>0</v>
      </c>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454"/>
    </row>
    <row r="77" spans="1:35" ht="13.5" thickBot="1">
      <c r="A77" s="648" t="s">
        <v>507</v>
      </c>
      <c r="B77" s="647">
        <f t="shared" ref="B77:J77" si="2">+B26</f>
        <v>0</v>
      </c>
      <c r="C77" s="647">
        <f t="shared" si="2"/>
        <v>0</v>
      </c>
      <c r="D77" s="647">
        <f t="shared" si="2"/>
        <v>0</v>
      </c>
      <c r="E77" s="647">
        <f t="shared" si="2"/>
        <v>0</v>
      </c>
      <c r="F77" s="647">
        <f t="shared" si="2"/>
        <v>0</v>
      </c>
      <c r="G77" s="647">
        <f t="shared" si="2"/>
        <v>0</v>
      </c>
      <c r="H77" s="647">
        <f t="shared" si="2"/>
        <v>0</v>
      </c>
      <c r="I77" s="647">
        <f t="shared" si="2"/>
        <v>0</v>
      </c>
      <c r="J77" s="647">
        <f t="shared" si="2"/>
        <v>0</v>
      </c>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454"/>
    </row>
    <row r="78" spans="1:35">
      <c r="B78" s="454" t="s">
        <v>246</v>
      </c>
      <c r="E78" s="454" t="s">
        <v>246</v>
      </c>
      <c r="H78" s="454" t="s">
        <v>246</v>
      </c>
      <c r="I78" s="454" t="s">
        <v>246</v>
      </c>
      <c r="J78" s="454" t="s">
        <v>246</v>
      </c>
      <c r="K78" s="454"/>
      <c r="L78" s="454"/>
      <c r="M78" s="454"/>
      <c r="N78" s="454"/>
      <c r="O78" s="454"/>
      <c r="P78" s="454"/>
      <c r="Q78" s="454"/>
      <c r="R78" s="454"/>
      <c r="S78" s="454"/>
      <c r="T78" s="454"/>
      <c r="U78" s="454"/>
      <c r="V78" s="454"/>
      <c r="W78" s="454"/>
      <c r="X78" s="454"/>
      <c r="Y78" s="454"/>
      <c r="Z78" s="454"/>
      <c r="AA78" s="454"/>
      <c r="AB78" s="454"/>
      <c r="AC78" s="454"/>
      <c r="AD78" s="454"/>
      <c r="AE78" s="454"/>
      <c r="AF78" s="454"/>
      <c r="AG78" s="454"/>
      <c r="AH78" s="454"/>
      <c r="AI78" s="454"/>
    </row>
    <row r="79" spans="1:35">
      <c r="B79" s="454"/>
      <c r="C79" s="454"/>
      <c r="D79" s="454" t="s">
        <v>246</v>
      </c>
      <c r="E79" s="454"/>
      <c r="G79" s="454" t="s">
        <v>246</v>
      </c>
      <c r="H79" s="454"/>
      <c r="I79" s="454"/>
      <c r="J79" s="454"/>
    </row>
    <row r="80" spans="1:35">
      <c r="B80" s="454"/>
      <c r="C80" s="454"/>
      <c r="D80" s="454" t="s">
        <v>246</v>
      </c>
      <c r="E80" s="454"/>
      <c r="H80" s="646"/>
      <c r="J80" s="454"/>
    </row>
    <row r="81" spans="2:10">
      <c r="B81" s="454"/>
      <c r="C81" s="454"/>
      <c r="D81" s="454" t="s">
        <v>246</v>
      </c>
      <c r="E81" s="454"/>
      <c r="H81" s="454"/>
    </row>
    <row r="82" spans="2:10">
      <c r="B82" s="454"/>
      <c r="C82" s="454"/>
      <c r="D82" s="454" t="s">
        <v>495</v>
      </c>
      <c r="E82" s="454"/>
      <c r="H82" s="646"/>
      <c r="J82" s="450" t="s">
        <v>246</v>
      </c>
    </row>
    <row r="83" spans="2:10">
      <c r="B83" s="454"/>
      <c r="C83" s="454"/>
      <c r="D83" s="454"/>
      <c r="E83" s="454"/>
      <c r="H83" s="454"/>
    </row>
    <row r="84" spans="2:10">
      <c r="B84" s="454"/>
      <c r="C84" s="454"/>
      <c r="D84" s="454"/>
      <c r="E84" s="454"/>
    </row>
    <row r="85" spans="2:10">
      <c r="B85" s="454"/>
      <c r="C85" s="454"/>
      <c r="D85" s="454"/>
      <c r="E85" s="454"/>
    </row>
    <row r="86" spans="2:10">
      <c r="B86" s="454"/>
      <c r="C86" s="454"/>
      <c r="D86" s="454"/>
      <c r="E86" s="454"/>
    </row>
    <row r="87" spans="2:10">
      <c r="B87" s="454"/>
      <c r="C87" s="454"/>
      <c r="D87" s="454"/>
      <c r="E87" s="454"/>
    </row>
    <row r="88" spans="2:10">
      <c r="B88" s="454"/>
      <c r="C88" s="454"/>
      <c r="D88" s="454"/>
      <c r="E88" s="454"/>
    </row>
    <row r="89" spans="2:10">
      <c r="B89" s="454"/>
      <c r="C89" s="454"/>
      <c r="D89" s="454"/>
      <c r="E89" s="454"/>
    </row>
  </sheetData>
  <mergeCells count="8">
    <mergeCell ref="A1:I1"/>
    <mergeCell ref="A2:J2"/>
    <mergeCell ref="A3:J3"/>
    <mergeCell ref="B4:J4"/>
    <mergeCell ref="A5:A6"/>
    <mergeCell ref="B5:D5"/>
    <mergeCell ref="E5:G5"/>
    <mergeCell ref="H5:J5"/>
  </mergeCells>
  <pageMargins left="0.23622047244094491" right="0.23622047244094491" top="0.15748031496062992" bottom="0.15748031496062992"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heetViews>
  <sheetFormatPr baseColWidth="10" defaultRowHeight="12.75"/>
  <cols>
    <col min="1" max="1" width="9.140625" style="440" customWidth="1"/>
    <col min="2" max="2" width="49" style="440" customWidth="1"/>
    <col min="3" max="4" width="20.5703125" style="440" customWidth="1"/>
    <col min="5" max="5" width="11.7109375" style="440" bestFit="1" customWidth="1"/>
    <col min="6" max="256" width="11.42578125" style="440"/>
    <col min="257" max="257" width="9.140625" style="440" customWidth="1"/>
    <col min="258" max="258" width="49" style="440" customWidth="1"/>
    <col min="259" max="260" width="20.5703125" style="440" customWidth="1"/>
    <col min="261" max="512" width="11.42578125" style="440"/>
    <col min="513" max="513" width="9.140625" style="440" customWidth="1"/>
    <col min="514" max="514" width="49" style="440" customWidth="1"/>
    <col min="515" max="516" width="20.5703125" style="440" customWidth="1"/>
    <col min="517" max="768" width="11.42578125" style="440"/>
    <col min="769" max="769" width="9.140625" style="440" customWidth="1"/>
    <col min="770" max="770" width="49" style="440" customWidth="1"/>
    <col min="771" max="772" width="20.5703125" style="440" customWidth="1"/>
    <col min="773" max="1024" width="11.42578125" style="440"/>
    <col min="1025" max="1025" width="9.140625" style="440" customWidth="1"/>
    <col min="1026" max="1026" width="49" style="440" customWidth="1"/>
    <col min="1027" max="1028" width="20.5703125" style="440" customWidth="1"/>
    <col min="1029" max="1280" width="11.42578125" style="440"/>
    <col min="1281" max="1281" width="9.140625" style="440" customWidth="1"/>
    <col min="1282" max="1282" width="49" style="440" customWidth="1"/>
    <col min="1283" max="1284" width="20.5703125" style="440" customWidth="1"/>
    <col min="1285" max="1536" width="11.42578125" style="440"/>
    <col min="1537" max="1537" width="9.140625" style="440" customWidth="1"/>
    <col min="1538" max="1538" width="49" style="440" customWidth="1"/>
    <col min="1539" max="1540" width="20.5703125" style="440" customWidth="1"/>
    <col min="1541" max="1792" width="11.42578125" style="440"/>
    <col min="1793" max="1793" width="9.140625" style="440" customWidth="1"/>
    <col min="1794" max="1794" width="49" style="440" customWidth="1"/>
    <col min="1795" max="1796" width="20.5703125" style="440" customWidth="1"/>
    <col min="1797" max="2048" width="11.42578125" style="440"/>
    <col min="2049" max="2049" width="9.140625" style="440" customWidth="1"/>
    <col min="2050" max="2050" width="49" style="440" customWidth="1"/>
    <col min="2051" max="2052" width="20.5703125" style="440" customWidth="1"/>
    <col min="2053" max="2304" width="11.42578125" style="440"/>
    <col min="2305" max="2305" width="9.140625" style="440" customWidth="1"/>
    <col min="2306" max="2306" width="49" style="440" customWidth="1"/>
    <col min="2307" max="2308" width="20.5703125" style="440" customWidth="1"/>
    <col min="2309" max="2560" width="11.42578125" style="440"/>
    <col min="2561" max="2561" width="9.140625" style="440" customWidth="1"/>
    <col min="2562" max="2562" width="49" style="440" customWidth="1"/>
    <col min="2563" max="2564" width="20.5703125" style="440" customWidth="1"/>
    <col min="2565" max="2816" width="11.42578125" style="440"/>
    <col min="2817" max="2817" width="9.140625" style="440" customWidth="1"/>
    <col min="2818" max="2818" width="49" style="440" customWidth="1"/>
    <col min="2819" max="2820" width="20.5703125" style="440" customWidth="1"/>
    <col min="2821" max="3072" width="11.42578125" style="440"/>
    <col min="3073" max="3073" width="9.140625" style="440" customWidth="1"/>
    <col min="3074" max="3074" width="49" style="440" customWidth="1"/>
    <col min="3075" max="3076" width="20.5703125" style="440" customWidth="1"/>
    <col min="3077" max="3328" width="11.42578125" style="440"/>
    <col min="3329" max="3329" width="9.140625" style="440" customWidth="1"/>
    <col min="3330" max="3330" width="49" style="440" customWidth="1"/>
    <col min="3331" max="3332" width="20.5703125" style="440" customWidth="1"/>
    <col min="3333" max="3584" width="11.42578125" style="440"/>
    <col min="3585" max="3585" width="9.140625" style="440" customWidth="1"/>
    <col min="3586" max="3586" width="49" style="440" customWidth="1"/>
    <col min="3587" max="3588" width="20.5703125" style="440" customWidth="1"/>
    <col min="3589" max="3840" width="11.42578125" style="440"/>
    <col min="3841" max="3841" width="9.140625" style="440" customWidth="1"/>
    <col min="3842" max="3842" width="49" style="440" customWidth="1"/>
    <col min="3843" max="3844" width="20.5703125" style="440" customWidth="1"/>
    <col min="3845" max="4096" width="11.42578125" style="440"/>
    <col min="4097" max="4097" width="9.140625" style="440" customWidth="1"/>
    <col min="4098" max="4098" width="49" style="440" customWidth="1"/>
    <col min="4099" max="4100" width="20.5703125" style="440" customWidth="1"/>
    <col min="4101" max="4352" width="11.42578125" style="440"/>
    <col min="4353" max="4353" width="9.140625" style="440" customWidth="1"/>
    <col min="4354" max="4354" width="49" style="440" customWidth="1"/>
    <col min="4355" max="4356" width="20.5703125" style="440" customWidth="1"/>
    <col min="4357" max="4608" width="11.42578125" style="440"/>
    <col min="4609" max="4609" width="9.140625" style="440" customWidth="1"/>
    <col min="4610" max="4610" width="49" style="440" customWidth="1"/>
    <col min="4611" max="4612" width="20.5703125" style="440" customWidth="1"/>
    <col min="4613" max="4864" width="11.42578125" style="440"/>
    <col min="4865" max="4865" width="9.140625" style="440" customWidth="1"/>
    <col min="4866" max="4866" width="49" style="440" customWidth="1"/>
    <col min="4867" max="4868" width="20.5703125" style="440" customWidth="1"/>
    <col min="4869" max="5120" width="11.42578125" style="440"/>
    <col min="5121" max="5121" width="9.140625" style="440" customWidth="1"/>
    <col min="5122" max="5122" width="49" style="440" customWidth="1"/>
    <col min="5123" max="5124" width="20.5703125" style="440" customWidth="1"/>
    <col min="5125" max="5376" width="11.42578125" style="440"/>
    <col min="5377" max="5377" width="9.140625" style="440" customWidth="1"/>
    <col min="5378" max="5378" width="49" style="440" customWidth="1"/>
    <col min="5379" max="5380" width="20.5703125" style="440" customWidth="1"/>
    <col min="5381" max="5632" width="11.42578125" style="440"/>
    <col min="5633" max="5633" width="9.140625" style="440" customWidth="1"/>
    <col min="5634" max="5634" width="49" style="440" customWidth="1"/>
    <col min="5635" max="5636" width="20.5703125" style="440" customWidth="1"/>
    <col min="5637" max="5888" width="11.42578125" style="440"/>
    <col min="5889" max="5889" width="9.140625" style="440" customWidth="1"/>
    <col min="5890" max="5890" width="49" style="440" customWidth="1"/>
    <col min="5891" max="5892" width="20.5703125" style="440" customWidth="1"/>
    <col min="5893" max="6144" width="11.42578125" style="440"/>
    <col min="6145" max="6145" width="9.140625" style="440" customWidth="1"/>
    <col min="6146" max="6146" width="49" style="440" customWidth="1"/>
    <col min="6147" max="6148" width="20.5703125" style="440" customWidth="1"/>
    <col min="6149" max="6400" width="11.42578125" style="440"/>
    <col min="6401" max="6401" width="9.140625" style="440" customWidth="1"/>
    <col min="6402" max="6402" width="49" style="440" customWidth="1"/>
    <col min="6403" max="6404" width="20.5703125" style="440" customWidth="1"/>
    <col min="6405" max="6656" width="11.42578125" style="440"/>
    <col min="6657" max="6657" width="9.140625" style="440" customWidth="1"/>
    <col min="6658" max="6658" width="49" style="440" customWidth="1"/>
    <col min="6659" max="6660" width="20.5703125" style="440" customWidth="1"/>
    <col min="6661" max="6912" width="11.42578125" style="440"/>
    <col min="6913" max="6913" width="9.140625" style="440" customWidth="1"/>
    <col min="6914" max="6914" width="49" style="440" customWidth="1"/>
    <col min="6915" max="6916" width="20.5703125" style="440" customWidth="1"/>
    <col min="6917" max="7168" width="11.42578125" style="440"/>
    <col min="7169" max="7169" width="9.140625" style="440" customWidth="1"/>
    <col min="7170" max="7170" width="49" style="440" customWidth="1"/>
    <col min="7171" max="7172" width="20.5703125" style="440" customWidth="1"/>
    <col min="7173" max="7424" width="11.42578125" style="440"/>
    <col min="7425" max="7425" width="9.140625" style="440" customWidth="1"/>
    <col min="7426" max="7426" width="49" style="440" customWidth="1"/>
    <col min="7427" max="7428" width="20.5703125" style="440" customWidth="1"/>
    <col min="7429" max="7680" width="11.42578125" style="440"/>
    <col min="7681" max="7681" width="9.140625" style="440" customWidth="1"/>
    <col min="7682" max="7682" width="49" style="440" customWidth="1"/>
    <col min="7683" max="7684" width="20.5703125" style="440" customWidth="1"/>
    <col min="7685" max="7936" width="11.42578125" style="440"/>
    <col min="7937" max="7937" width="9.140625" style="440" customWidth="1"/>
    <col min="7938" max="7938" width="49" style="440" customWidth="1"/>
    <col min="7939" max="7940" width="20.5703125" style="440" customWidth="1"/>
    <col min="7941" max="8192" width="11.42578125" style="440"/>
    <col min="8193" max="8193" width="9.140625" style="440" customWidth="1"/>
    <col min="8194" max="8194" width="49" style="440" customWidth="1"/>
    <col min="8195" max="8196" width="20.5703125" style="440" customWidth="1"/>
    <col min="8197" max="8448" width="11.42578125" style="440"/>
    <col min="8449" max="8449" width="9.140625" style="440" customWidth="1"/>
    <col min="8450" max="8450" width="49" style="440" customWidth="1"/>
    <col min="8451" max="8452" width="20.5703125" style="440" customWidth="1"/>
    <col min="8453" max="8704" width="11.42578125" style="440"/>
    <col min="8705" max="8705" width="9.140625" style="440" customWidth="1"/>
    <col min="8706" max="8706" width="49" style="440" customWidth="1"/>
    <col min="8707" max="8708" width="20.5703125" style="440" customWidth="1"/>
    <col min="8709" max="8960" width="11.42578125" style="440"/>
    <col min="8961" max="8961" width="9.140625" style="440" customWidth="1"/>
    <col min="8962" max="8962" width="49" style="440" customWidth="1"/>
    <col min="8963" max="8964" width="20.5703125" style="440" customWidth="1"/>
    <col min="8965" max="9216" width="11.42578125" style="440"/>
    <col min="9217" max="9217" width="9.140625" style="440" customWidth="1"/>
    <col min="9218" max="9218" width="49" style="440" customWidth="1"/>
    <col min="9219" max="9220" width="20.5703125" style="440" customWidth="1"/>
    <col min="9221" max="9472" width="11.42578125" style="440"/>
    <col min="9473" max="9473" width="9.140625" style="440" customWidth="1"/>
    <col min="9474" max="9474" width="49" style="440" customWidth="1"/>
    <col min="9475" max="9476" width="20.5703125" style="440" customWidth="1"/>
    <col min="9477" max="9728" width="11.42578125" style="440"/>
    <col min="9729" max="9729" width="9.140625" style="440" customWidth="1"/>
    <col min="9730" max="9730" width="49" style="440" customWidth="1"/>
    <col min="9731" max="9732" width="20.5703125" style="440" customWidth="1"/>
    <col min="9733" max="9984" width="11.42578125" style="440"/>
    <col min="9985" max="9985" width="9.140625" style="440" customWidth="1"/>
    <col min="9986" max="9986" width="49" style="440" customWidth="1"/>
    <col min="9987" max="9988" width="20.5703125" style="440" customWidth="1"/>
    <col min="9989" max="10240" width="11.42578125" style="440"/>
    <col min="10241" max="10241" width="9.140625" style="440" customWidth="1"/>
    <col min="10242" max="10242" width="49" style="440" customWidth="1"/>
    <col min="10243" max="10244" width="20.5703125" style="440" customWidth="1"/>
    <col min="10245" max="10496" width="11.42578125" style="440"/>
    <col min="10497" max="10497" width="9.140625" style="440" customWidth="1"/>
    <col min="10498" max="10498" width="49" style="440" customWidth="1"/>
    <col min="10499" max="10500" width="20.5703125" style="440" customWidth="1"/>
    <col min="10501" max="10752" width="11.42578125" style="440"/>
    <col min="10753" max="10753" width="9.140625" style="440" customWidth="1"/>
    <col min="10754" max="10754" width="49" style="440" customWidth="1"/>
    <col min="10755" max="10756" width="20.5703125" style="440" customWidth="1"/>
    <col min="10757" max="11008" width="11.42578125" style="440"/>
    <col min="11009" max="11009" width="9.140625" style="440" customWidth="1"/>
    <col min="11010" max="11010" width="49" style="440" customWidth="1"/>
    <col min="11011" max="11012" width="20.5703125" style="440" customWidth="1"/>
    <col min="11013" max="11264" width="11.42578125" style="440"/>
    <col min="11265" max="11265" width="9.140625" style="440" customWidth="1"/>
    <col min="11266" max="11266" width="49" style="440" customWidth="1"/>
    <col min="11267" max="11268" width="20.5703125" style="440" customWidth="1"/>
    <col min="11269" max="11520" width="11.42578125" style="440"/>
    <col min="11521" max="11521" width="9.140625" style="440" customWidth="1"/>
    <col min="11522" max="11522" width="49" style="440" customWidth="1"/>
    <col min="11523" max="11524" width="20.5703125" style="440" customWidth="1"/>
    <col min="11525" max="11776" width="11.42578125" style="440"/>
    <col min="11777" max="11777" width="9.140625" style="440" customWidth="1"/>
    <col min="11778" max="11778" width="49" style="440" customWidth="1"/>
    <col min="11779" max="11780" width="20.5703125" style="440" customWidth="1"/>
    <col min="11781" max="12032" width="11.42578125" style="440"/>
    <col min="12033" max="12033" width="9.140625" style="440" customWidth="1"/>
    <col min="12034" max="12034" width="49" style="440" customWidth="1"/>
    <col min="12035" max="12036" width="20.5703125" style="440" customWidth="1"/>
    <col min="12037" max="12288" width="11.42578125" style="440"/>
    <col min="12289" max="12289" width="9.140625" style="440" customWidth="1"/>
    <col min="12290" max="12290" width="49" style="440" customWidth="1"/>
    <col min="12291" max="12292" width="20.5703125" style="440" customWidth="1"/>
    <col min="12293" max="12544" width="11.42578125" style="440"/>
    <col min="12545" max="12545" width="9.140625" style="440" customWidth="1"/>
    <col min="12546" max="12546" width="49" style="440" customWidth="1"/>
    <col min="12547" max="12548" width="20.5703125" style="440" customWidth="1"/>
    <col min="12549" max="12800" width="11.42578125" style="440"/>
    <col min="12801" max="12801" width="9.140625" style="440" customWidth="1"/>
    <col min="12802" max="12802" width="49" style="440" customWidth="1"/>
    <col min="12803" max="12804" width="20.5703125" style="440" customWidth="1"/>
    <col min="12805" max="13056" width="11.42578125" style="440"/>
    <col min="13057" max="13057" width="9.140625" style="440" customWidth="1"/>
    <col min="13058" max="13058" width="49" style="440" customWidth="1"/>
    <col min="13059" max="13060" width="20.5703125" style="440" customWidth="1"/>
    <col min="13061" max="13312" width="11.42578125" style="440"/>
    <col min="13313" max="13313" width="9.140625" style="440" customWidth="1"/>
    <col min="13314" max="13314" width="49" style="440" customWidth="1"/>
    <col min="13315" max="13316" width="20.5703125" style="440" customWidth="1"/>
    <col min="13317" max="13568" width="11.42578125" style="440"/>
    <col min="13569" max="13569" width="9.140625" style="440" customWidth="1"/>
    <col min="13570" max="13570" width="49" style="440" customWidth="1"/>
    <col min="13571" max="13572" width="20.5703125" style="440" customWidth="1"/>
    <col min="13573" max="13824" width="11.42578125" style="440"/>
    <col min="13825" max="13825" width="9.140625" style="440" customWidth="1"/>
    <col min="13826" max="13826" width="49" style="440" customWidth="1"/>
    <col min="13827" max="13828" width="20.5703125" style="440" customWidth="1"/>
    <col min="13829" max="14080" width="11.42578125" style="440"/>
    <col min="14081" max="14081" width="9.140625" style="440" customWidth="1"/>
    <col min="14082" max="14082" width="49" style="440" customWidth="1"/>
    <col min="14083" max="14084" width="20.5703125" style="440" customWidth="1"/>
    <col min="14085" max="14336" width="11.42578125" style="440"/>
    <col min="14337" max="14337" width="9.140625" style="440" customWidth="1"/>
    <col min="14338" max="14338" width="49" style="440" customWidth="1"/>
    <col min="14339" max="14340" width="20.5703125" style="440" customWidth="1"/>
    <col min="14341" max="14592" width="11.42578125" style="440"/>
    <col min="14593" max="14593" width="9.140625" style="440" customWidth="1"/>
    <col min="14594" max="14594" width="49" style="440" customWidth="1"/>
    <col min="14595" max="14596" width="20.5703125" style="440" customWidth="1"/>
    <col min="14597" max="14848" width="11.42578125" style="440"/>
    <col min="14849" max="14849" width="9.140625" style="440" customWidth="1"/>
    <col min="14850" max="14850" width="49" style="440" customWidth="1"/>
    <col min="14851" max="14852" width="20.5703125" style="440" customWidth="1"/>
    <col min="14853" max="15104" width="11.42578125" style="440"/>
    <col min="15105" max="15105" width="9.140625" style="440" customWidth="1"/>
    <col min="15106" max="15106" width="49" style="440" customWidth="1"/>
    <col min="15107" max="15108" width="20.5703125" style="440" customWidth="1"/>
    <col min="15109" max="15360" width="11.42578125" style="440"/>
    <col min="15361" max="15361" width="9.140625" style="440" customWidth="1"/>
    <col min="15362" max="15362" width="49" style="440" customWidth="1"/>
    <col min="15363" max="15364" width="20.5703125" style="440" customWidth="1"/>
    <col min="15365" max="15616" width="11.42578125" style="440"/>
    <col min="15617" max="15617" width="9.140625" style="440" customWidth="1"/>
    <col min="15618" max="15618" width="49" style="440" customWidth="1"/>
    <col min="15619" max="15620" width="20.5703125" style="440" customWidth="1"/>
    <col min="15621" max="15872" width="11.42578125" style="440"/>
    <col min="15873" max="15873" width="9.140625" style="440" customWidth="1"/>
    <col min="15874" max="15874" width="49" style="440" customWidth="1"/>
    <col min="15875" max="15876" width="20.5703125" style="440" customWidth="1"/>
    <col min="15877" max="16128" width="11.42578125" style="440"/>
    <col min="16129" max="16129" width="9.140625" style="440" customWidth="1"/>
    <col min="16130" max="16130" width="49" style="440" customWidth="1"/>
    <col min="16131" max="16132" width="20.5703125" style="440" customWidth="1"/>
    <col min="16133" max="16384" width="11.42578125" style="440"/>
  </cols>
  <sheetData>
    <row r="1" spans="1:7" ht="130.5" customHeight="1">
      <c r="A1" s="439"/>
      <c r="B1" s="439"/>
      <c r="C1" s="439"/>
      <c r="D1" s="439"/>
    </row>
    <row r="2" spans="1:7" s="442" customFormat="1">
      <c r="A2" s="925" t="s">
        <v>494</v>
      </c>
      <c r="B2" s="925"/>
      <c r="C2" s="925"/>
      <c r="D2" s="925"/>
      <c r="E2" s="441"/>
      <c r="F2" s="441"/>
      <c r="G2" s="441"/>
    </row>
    <row r="3" spans="1:7" s="442" customFormat="1">
      <c r="A3" s="925" t="s">
        <v>197</v>
      </c>
      <c r="B3" s="925"/>
      <c r="C3" s="925"/>
      <c r="D3" s="925"/>
      <c r="E3" s="441"/>
      <c r="F3" s="441"/>
      <c r="G3" s="441"/>
    </row>
    <row r="4" spans="1:7" s="442" customFormat="1" ht="15.75" customHeight="1" thickBot="1">
      <c r="A4" s="926" t="s">
        <v>499</v>
      </c>
      <c r="B4" s="926"/>
      <c r="C4" s="443" t="s">
        <v>246</v>
      </c>
      <c r="D4" s="443"/>
      <c r="E4" s="444"/>
      <c r="F4" s="444"/>
      <c r="G4" s="444"/>
    </row>
    <row r="5" spans="1:7" s="445" customFormat="1" ht="21" customHeight="1">
      <c r="A5" s="476"/>
      <c r="B5" s="477" t="s">
        <v>198</v>
      </c>
      <c r="C5" s="477" t="s">
        <v>199</v>
      </c>
      <c r="D5" s="477" t="s">
        <v>200</v>
      </c>
    </row>
    <row r="6" spans="1:7" s="442" customFormat="1">
      <c r="A6" s="478">
        <v>3000</v>
      </c>
      <c r="B6" s="479" t="s">
        <v>201</v>
      </c>
      <c r="C6" s="480">
        <f>SUM(C7+C33)</f>
        <v>35335128053</v>
      </c>
      <c r="D6" s="480">
        <f>SUM(D7+D33)</f>
        <v>39872461333</v>
      </c>
      <c r="E6" s="446" t="s">
        <v>246</v>
      </c>
    </row>
    <row r="7" spans="1:7" s="442" customFormat="1">
      <c r="A7" s="481">
        <v>3100</v>
      </c>
      <c r="B7" s="482" t="s">
        <v>202</v>
      </c>
      <c r="C7" s="483">
        <f>SUM(C8+C12)</f>
        <v>20533460100</v>
      </c>
      <c r="D7" s="483">
        <f>SUM(D8+D12)</f>
        <v>24024090712</v>
      </c>
    </row>
    <row r="8" spans="1:7" s="442" customFormat="1">
      <c r="A8" s="484">
        <v>3110</v>
      </c>
      <c r="B8" s="485" t="s">
        <v>203</v>
      </c>
      <c r="C8" s="486">
        <f>SUM(C9:C11)</f>
        <v>9133016496</v>
      </c>
      <c r="D8" s="486">
        <f>SUM(D9:D11)</f>
        <v>9048801721</v>
      </c>
    </row>
    <row r="9" spans="1:7" s="447" customFormat="1" ht="11.25">
      <c r="A9" s="487"/>
      <c r="B9" s="488" t="s">
        <v>204</v>
      </c>
      <c r="C9" s="489"/>
      <c r="D9" s="489"/>
    </row>
    <row r="10" spans="1:7" s="447" customFormat="1" ht="11.25">
      <c r="A10" s="487"/>
      <c r="B10" s="488" t="s">
        <v>205</v>
      </c>
      <c r="C10" s="489">
        <f>+'[4]INGRESOS A '!$D$9</f>
        <v>9133016496</v>
      </c>
      <c r="D10" s="489">
        <v>9048801721</v>
      </c>
    </row>
    <row r="11" spans="1:7" s="447" customFormat="1" ht="11.25">
      <c r="A11" s="487"/>
      <c r="B11" s="488" t="s">
        <v>206</v>
      </c>
      <c r="C11" s="489"/>
      <c r="D11" s="489"/>
    </row>
    <row r="12" spans="1:7" s="442" customFormat="1">
      <c r="A12" s="484">
        <v>3120</v>
      </c>
      <c r="B12" s="485" t="s">
        <v>207</v>
      </c>
      <c r="C12" s="486">
        <f>SUM(C13+C17+C18+C19+C20+C25)</f>
        <v>11400443604</v>
      </c>
      <c r="D12" s="486">
        <f>SUM(D13+D17+D18+D19+D20+D25)</f>
        <v>14975288991</v>
      </c>
    </row>
    <row r="13" spans="1:7" s="448" customFormat="1" ht="12">
      <c r="A13" s="487">
        <v>3121</v>
      </c>
      <c r="B13" s="490" t="s">
        <v>208</v>
      </c>
      <c r="C13" s="491">
        <f>SUM(C14:C16)</f>
        <v>907653683</v>
      </c>
      <c r="D13" s="491">
        <f>SUM(D14:D16)</f>
        <v>1195494047</v>
      </c>
    </row>
    <row r="14" spans="1:7" s="447" customFormat="1" ht="11.25">
      <c r="A14" s="487"/>
      <c r="B14" s="488" t="s">
        <v>208</v>
      </c>
      <c r="C14" s="489">
        <v>0</v>
      </c>
      <c r="D14" s="489">
        <v>0</v>
      </c>
    </row>
    <row r="15" spans="1:7" s="447" customFormat="1" ht="11.25">
      <c r="A15" s="487"/>
      <c r="B15" s="488" t="s">
        <v>209</v>
      </c>
      <c r="C15" s="489">
        <f>+'[4]INGRESOS A '!$D$17</f>
        <v>907653683</v>
      </c>
      <c r="D15" s="489">
        <v>1195494047</v>
      </c>
    </row>
    <row r="16" spans="1:7" s="447" customFormat="1" ht="11.25">
      <c r="A16" s="487"/>
      <c r="B16" s="488" t="s">
        <v>210</v>
      </c>
      <c r="C16" s="489">
        <v>0</v>
      </c>
      <c r="D16" s="489">
        <v>0</v>
      </c>
    </row>
    <row r="17" spans="1:4" s="448" customFormat="1" ht="12">
      <c r="A17" s="487">
        <v>3123</v>
      </c>
      <c r="B17" s="490" t="s">
        <v>211</v>
      </c>
      <c r="C17" s="491">
        <v>0</v>
      </c>
      <c r="D17" s="491">
        <v>0</v>
      </c>
    </row>
    <row r="18" spans="1:4" s="448" customFormat="1" ht="12">
      <c r="A18" s="487">
        <v>3124</v>
      </c>
      <c r="B18" s="490" t="s">
        <v>212</v>
      </c>
      <c r="C18" s="491">
        <v>0</v>
      </c>
      <c r="D18" s="491">
        <v>0</v>
      </c>
    </row>
    <row r="19" spans="1:4" s="448" customFormat="1" ht="12">
      <c r="A19" s="487">
        <v>3125</v>
      </c>
      <c r="B19" s="490" t="s">
        <v>213</v>
      </c>
      <c r="C19" s="491">
        <v>0</v>
      </c>
      <c r="D19" s="491">
        <v>0</v>
      </c>
    </row>
    <row r="20" spans="1:4" s="448" customFormat="1" ht="12">
      <c r="A20" s="487">
        <v>3126</v>
      </c>
      <c r="B20" s="490" t="s">
        <v>214</v>
      </c>
      <c r="C20" s="491">
        <f>SUM(C21:C24)</f>
        <v>7636056872</v>
      </c>
      <c r="D20" s="491">
        <f>SUM(D21:D24)</f>
        <v>10347358335</v>
      </c>
    </row>
    <row r="21" spans="1:4" s="447" customFormat="1" ht="11.25">
      <c r="A21" s="487"/>
      <c r="B21" s="488" t="s">
        <v>215</v>
      </c>
      <c r="C21" s="489">
        <f>+'[4]INGRESOS A '!$D$18</f>
        <v>7195334584</v>
      </c>
      <c r="D21" s="489">
        <v>9853737859</v>
      </c>
    </row>
    <row r="22" spans="1:4" s="447" customFormat="1" ht="11.25">
      <c r="A22" s="487"/>
      <c r="B22" s="488" t="s">
        <v>216</v>
      </c>
      <c r="C22" s="489"/>
      <c r="D22" s="489"/>
    </row>
    <row r="23" spans="1:4" s="447" customFormat="1" ht="11.25">
      <c r="A23" s="487"/>
      <c r="B23" s="488" t="s">
        <v>217</v>
      </c>
      <c r="C23" s="489">
        <v>440722288</v>
      </c>
      <c r="D23" s="489">
        <v>493620476</v>
      </c>
    </row>
    <row r="24" spans="1:4" s="447" customFormat="1" ht="11.25">
      <c r="A24" s="487"/>
      <c r="B24" s="488" t="s">
        <v>218</v>
      </c>
      <c r="C24" s="489">
        <v>0</v>
      </c>
      <c r="D24" s="489">
        <v>0</v>
      </c>
    </row>
    <row r="25" spans="1:4" s="448" customFormat="1" ht="12">
      <c r="A25" s="487">
        <v>3128</v>
      </c>
      <c r="B25" s="490" t="s">
        <v>219</v>
      </c>
      <c r="C25" s="491">
        <f>SUM(C26:C32)</f>
        <v>2856733049</v>
      </c>
      <c r="D25" s="491">
        <f>SUM(D26:D32)</f>
        <v>3432436609</v>
      </c>
    </row>
    <row r="26" spans="1:4" s="447" customFormat="1" ht="11.25">
      <c r="A26" s="487"/>
      <c r="B26" s="488" t="s">
        <v>220</v>
      </c>
      <c r="C26" s="489">
        <f>+'[4]INGRESOS A '!$D$14</f>
        <v>1070506847</v>
      </c>
      <c r="D26" s="489">
        <v>1370111793</v>
      </c>
    </row>
    <row r="27" spans="1:4" s="447" customFormat="1" ht="11.25">
      <c r="A27" s="487"/>
      <c r="B27" s="488" t="s">
        <v>221</v>
      </c>
      <c r="C27" s="489"/>
      <c r="D27" s="489"/>
    </row>
    <row r="28" spans="1:4" s="447" customFormat="1" ht="11.25">
      <c r="A28" s="487"/>
      <c r="B28" s="488" t="s">
        <v>222</v>
      </c>
      <c r="C28" s="489">
        <f>+'[4]INGRESOS A '!$F$13</f>
        <v>1324022079</v>
      </c>
      <c r="D28" s="489">
        <v>1434972675</v>
      </c>
    </row>
    <row r="29" spans="1:4" s="447" customFormat="1" ht="11.25">
      <c r="A29" s="487"/>
      <c r="B29" s="488" t="s">
        <v>223</v>
      </c>
      <c r="C29" s="489">
        <f>+'[4]INGRESOS A '!$D$16</f>
        <v>253747000</v>
      </c>
      <c r="D29" s="489">
        <v>401208601</v>
      </c>
    </row>
    <row r="30" spans="1:4" s="447" customFormat="1" ht="11.25">
      <c r="A30" s="487"/>
      <c r="B30" s="488" t="s">
        <v>224</v>
      </c>
      <c r="C30" s="489"/>
      <c r="D30" s="489"/>
    </row>
    <row r="31" spans="1:4" s="447" customFormat="1" ht="11.25">
      <c r="A31" s="487"/>
      <c r="B31" s="488" t="s">
        <v>225</v>
      </c>
      <c r="C31" s="489">
        <f>+'[4]INGRESOS A '!$D$15</f>
        <v>151754308</v>
      </c>
      <c r="D31" s="489">
        <v>36672147</v>
      </c>
    </row>
    <row r="32" spans="1:4" s="447" customFormat="1" ht="11.25">
      <c r="A32" s="487"/>
      <c r="B32" s="488" t="s">
        <v>219</v>
      </c>
      <c r="C32" s="489">
        <f>+'[4]INGRESOS A '!$D$19</f>
        <v>56702815</v>
      </c>
      <c r="D32" s="489">
        <v>189471393</v>
      </c>
    </row>
    <row r="33" spans="1:4" s="442" customFormat="1">
      <c r="A33" s="481">
        <v>3200</v>
      </c>
      <c r="B33" s="482" t="s">
        <v>226</v>
      </c>
      <c r="C33" s="483">
        <f>SUM(C34+C37+C40+C41+C47+C48)</f>
        <v>14801667953</v>
      </c>
      <c r="D33" s="483">
        <f>SUM(D34+D37+D40+D41+D47+D48)</f>
        <v>15848370621</v>
      </c>
    </row>
    <row r="34" spans="1:4" s="448" customFormat="1" ht="12">
      <c r="A34" s="487">
        <v>3210</v>
      </c>
      <c r="B34" s="492" t="s">
        <v>227</v>
      </c>
      <c r="C34" s="493">
        <v>0</v>
      </c>
      <c r="D34" s="493">
        <v>0</v>
      </c>
    </row>
    <row r="35" spans="1:4" s="447" customFormat="1" ht="11.25">
      <c r="A35" s="494">
        <v>3211</v>
      </c>
      <c r="B35" s="488" t="s">
        <v>228</v>
      </c>
      <c r="C35" s="489">
        <v>0</v>
      </c>
      <c r="D35" s="489">
        <v>0</v>
      </c>
    </row>
    <row r="36" spans="1:4" s="447" customFormat="1" ht="11.25">
      <c r="A36" s="494">
        <v>3212</v>
      </c>
      <c r="B36" s="488" t="s">
        <v>229</v>
      </c>
      <c r="C36" s="489">
        <v>0</v>
      </c>
      <c r="D36" s="489">
        <v>0</v>
      </c>
    </row>
    <row r="37" spans="1:4" s="448" customFormat="1" ht="12">
      <c r="A37" s="487">
        <v>3220</v>
      </c>
      <c r="B37" s="492" t="s">
        <v>230</v>
      </c>
      <c r="C37" s="493">
        <v>0</v>
      </c>
      <c r="D37" s="493">
        <v>0</v>
      </c>
    </row>
    <row r="38" spans="1:4" s="447" customFormat="1" ht="11.25">
      <c r="A38" s="494">
        <v>3221</v>
      </c>
      <c r="B38" s="488" t="s">
        <v>228</v>
      </c>
      <c r="C38" s="489">
        <v>0</v>
      </c>
      <c r="D38" s="489">
        <v>0</v>
      </c>
    </row>
    <row r="39" spans="1:4" s="447" customFormat="1" ht="11.25">
      <c r="A39" s="494">
        <v>3222</v>
      </c>
      <c r="B39" s="488" t="s">
        <v>229</v>
      </c>
      <c r="C39" s="489">
        <v>0</v>
      </c>
      <c r="D39" s="489">
        <v>0</v>
      </c>
    </row>
    <row r="40" spans="1:4" s="448" customFormat="1" ht="12">
      <c r="A40" s="487">
        <v>3230</v>
      </c>
      <c r="B40" s="492" t="s">
        <v>231</v>
      </c>
      <c r="C40" s="495">
        <f>+'[4]INGRESOS A '!$D$32</f>
        <v>720000000</v>
      </c>
      <c r="D40" s="495">
        <v>645309163</v>
      </c>
    </row>
    <row r="41" spans="1:4" s="448" customFormat="1" ht="12">
      <c r="A41" s="487">
        <v>3250</v>
      </c>
      <c r="B41" s="492" t="s">
        <v>232</v>
      </c>
      <c r="C41" s="495">
        <f>SUM(C42:C46)</f>
        <v>14081667953</v>
      </c>
      <c r="D41" s="495">
        <f>SUM(D42:D46)</f>
        <v>15203061458</v>
      </c>
    </row>
    <row r="42" spans="1:4" s="447" customFormat="1" ht="11.25">
      <c r="A42" s="494">
        <v>3251</v>
      </c>
      <c r="B42" s="488" t="s">
        <v>233</v>
      </c>
      <c r="C42" s="489">
        <v>0</v>
      </c>
      <c r="D42" s="489">
        <v>0</v>
      </c>
    </row>
    <row r="43" spans="1:4" s="447" customFormat="1" ht="11.25">
      <c r="A43" s="494">
        <v>3252</v>
      </c>
      <c r="B43" s="488" t="s">
        <v>234</v>
      </c>
      <c r="C43" s="489">
        <f>+'[4]INGRESOS A '!$E$30-1</f>
        <v>5210149324</v>
      </c>
      <c r="D43" s="489">
        <f>+C43</f>
        <v>5210149324</v>
      </c>
    </row>
    <row r="44" spans="1:4" s="447" customFormat="1" ht="11.25">
      <c r="A44" s="494">
        <v>3253</v>
      </c>
      <c r="B44" s="488" t="s">
        <v>235</v>
      </c>
      <c r="C44" s="489">
        <f>+'[4]INGRESOS A '!$E$31</f>
        <v>4828952214</v>
      </c>
      <c r="D44" s="489">
        <f>+C44</f>
        <v>4828952214</v>
      </c>
    </row>
    <row r="45" spans="1:4" s="447" customFormat="1" ht="11.25">
      <c r="A45" s="494">
        <v>3254</v>
      </c>
      <c r="B45" s="488" t="s">
        <v>236</v>
      </c>
      <c r="C45" s="489">
        <f>+'[4]INGRESOS A '!$D$33</f>
        <v>4042566415</v>
      </c>
      <c r="D45" s="489">
        <v>5163959920</v>
      </c>
    </row>
    <row r="46" spans="1:4" s="447" customFormat="1" ht="11.25">
      <c r="A46" s="494">
        <v>3255</v>
      </c>
      <c r="B46" s="488" t="s">
        <v>237</v>
      </c>
      <c r="C46" s="489">
        <v>0</v>
      </c>
      <c r="D46" s="489">
        <v>0</v>
      </c>
    </row>
    <row r="47" spans="1:4" s="448" customFormat="1" ht="12">
      <c r="A47" s="487">
        <v>3260</v>
      </c>
      <c r="B47" s="492" t="s">
        <v>238</v>
      </c>
      <c r="C47" s="493">
        <v>0</v>
      </c>
      <c r="D47" s="493">
        <v>0</v>
      </c>
    </row>
    <row r="48" spans="1:4" s="442" customFormat="1">
      <c r="A48" s="481">
        <v>3500</v>
      </c>
      <c r="B48" s="482" t="s">
        <v>239</v>
      </c>
      <c r="C48" s="483">
        <v>0</v>
      </c>
      <c r="D48" s="483">
        <v>0</v>
      </c>
    </row>
    <row r="49" spans="1:5" s="442" customFormat="1">
      <c r="A49" s="478">
        <v>4000</v>
      </c>
      <c r="B49" s="496" t="s">
        <v>240</v>
      </c>
      <c r="C49" s="480">
        <f>SUM(C50:C53)</f>
        <v>6709696189</v>
      </c>
      <c r="D49" s="480">
        <f>SUM(D50:D53)</f>
        <v>1898941563</v>
      </c>
    </row>
    <row r="50" spans="1:5" s="448" customFormat="1" ht="12">
      <c r="A50" s="497">
        <v>4100</v>
      </c>
      <c r="B50" s="498" t="s">
        <v>241</v>
      </c>
      <c r="C50" s="499">
        <f>3209696189-1074086189</f>
        <v>2135610000</v>
      </c>
      <c r="D50" s="499">
        <v>1898941563</v>
      </c>
    </row>
    <row r="51" spans="1:5" s="448" customFormat="1" ht="12">
      <c r="A51" s="497">
        <v>4200</v>
      </c>
      <c r="B51" s="498" t="s">
        <v>242</v>
      </c>
      <c r="C51" s="500">
        <v>0</v>
      </c>
      <c r="D51" s="500">
        <v>0</v>
      </c>
    </row>
    <row r="52" spans="1:5" s="448" customFormat="1" ht="12">
      <c r="A52" s="497">
        <v>4300</v>
      </c>
      <c r="B52" s="498" t="s">
        <v>243</v>
      </c>
      <c r="C52" s="500">
        <v>4574086189</v>
      </c>
      <c r="D52" s="500">
        <v>0</v>
      </c>
      <c r="E52" s="448" t="s">
        <v>495</v>
      </c>
    </row>
    <row r="53" spans="1:5" s="442" customFormat="1">
      <c r="A53" s="497">
        <v>41001</v>
      </c>
      <c r="B53" s="498" t="s">
        <v>244</v>
      </c>
      <c r="C53" s="500">
        <v>0</v>
      </c>
      <c r="D53" s="500">
        <v>0</v>
      </c>
    </row>
    <row r="54" spans="1:5" ht="23.25" customHeight="1">
      <c r="A54" s="478"/>
      <c r="B54" s="478" t="s">
        <v>245</v>
      </c>
      <c r="C54" s="480">
        <f>SUM(C6+C49)</f>
        <v>42044824242</v>
      </c>
      <c r="D54" s="480">
        <f>SUM(D6+D49)</f>
        <v>41771402896</v>
      </c>
    </row>
    <row r="55" spans="1:5" ht="7.5" customHeight="1"/>
    <row r="56" spans="1:5">
      <c r="C56" s="449" t="s">
        <v>246</v>
      </c>
    </row>
    <row r="57" spans="1:5">
      <c r="C57" s="449" t="s">
        <v>246</v>
      </c>
    </row>
  </sheetData>
  <mergeCells count="3">
    <mergeCell ref="A2:D2"/>
    <mergeCell ref="A3:D3"/>
    <mergeCell ref="A4:B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2" workbookViewId="0"/>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943"/>
      <c r="C1" s="943"/>
      <c r="D1" s="943"/>
      <c r="E1" s="943"/>
      <c r="F1" s="943"/>
      <c r="G1" s="943"/>
      <c r="H1" s="943"/>
      <c r="I1" s="943"/>
      <c r="J1" s="943"/>
      <c r="K1" s="943"/>
      <c r="L1" s="943"/>
      <c r="M1" s="944"/>
    </row>
    <row r="2" spans="1:14" ht="23.25">
      <c r="A2" s="21"/>
      <c r="B2" s="945"/>
      <c r="C2" s="945"/>
      <c r="D2" s="945"/>
      <c r="E2" s="945"/>
      <c r="F2" s="945"/>
      <c r="G2" s="945"/>
      <c r="H2" s="945"/>
      <c r="I2" s="945"/>
      <c r="J2" s="945"/>
      <c r="K2" s="945"/>
      <c r="L2" s="945"/>
      <c r="M2" s="946"/>
    </row>
    <row r="3" spans="1:14" ht="24" thickBot="1">
      <c r="A3" s="21"/>
      <c r="B3" s="945" t="s">
        <v>2</v>
      </c>
      <c r="C3" s="945"/>
      <c r="D3" s="945"/>
      <c r="E3" s="945"/>
      <c r="F3" s="945"/>
      <c r="G3" s="945"/>
      <c r="H3" s="945"/>
      <c r="I3" s="945"/>
      <c r="J3" s="945"/>
      <c r="K3" s="945"/>
      <c r="L3" s="945"/>
      <c r="M3" s="946"/>
    </row>
    <row r="4" spans="1:14" ht="24" hidden="1" thickBot="1">
      <c r="A4" s="21"/>
      <c r="B4" s="947" t="s">
        <v>160</v>
      </c>
      <c r="C4" s="947"/>
      <c r="D4" s="947"/>
      <c r="E4" s="947"/>
      <c r="F4" s="947"/>
      <c r="G4" s="947"/>
      <c r="H4" s="947"/>
      <c r="I4" s="947"/>
      <c r="J4" s="947"/>
      <c r="K4" s="947"/>
      <c r="L4" s="947"/>
      <c r="M4" s="948"/>
    </row>
    <row r="5" spans="1:14" ht="30.75" hidden="1" thickBot="1">
      <c r="A5" s="21"/>
      <c r="B5" s="17"/>
      <c r="C5" s="17"/>
      <c r="D5" s="17"/>
      <c r="E5" s="17"/>
      <c r="F5" s="17"/>
      <c r="G5" s="17"/>
      <c r="H5" s="17"/>
      <c r="I5" s="17"/>
      <c r="J5" s="17"/>
      <c r="K5" s="17"/>
      <c r="L5" s="17"/>
      <c r="M5" s="31"/>
    </row>
    <row r="6" spans="1:14" ht="20.25">
      <c r="A6" s="18"/>
      <c r="B6" s="19" t="s">
        <v>86</v>
      </c>
      <c r="C6" s="19" t="s">
        <v>87</v>
      </c>
      <c r="D6" s="19"/>
      <c r="E6" s="19" t="s">
        <v>86</v>
      </c>
      <c r="F6" s="19" t="s">
        <v>88</v>
      </c>
      <c r="G6" s="19" t="s">
        <v>89</v>
      </c>
      <c r="H6" s="19" t="s">
        <v>90</v>
      </c>
      <c r="I6" s="19" t="s">
        <v>91</v>
      </c>
      <c r="J6" s="19" t="s">
        <v>92</v>
      </c>
      <c r="K6" s="19" t="s">
        <v>93</v>
      </c>
      <c r="L6" s="19" t="s">
        <v>94</v>
      </c>
      <c r="M6" s="34" t="s">
        <v>163</v>
      </c>
    </row>
    <row r="7" spans="1:14" ht="126.75" customHeight="1">
      <c r="A7" s="51" t="s">
        <v>3</v>
      </c>
      <c r="B7" s="41" t="s">
        <v>4</v>
      </c>
      <c r="C7" s="22" t="s">
        <v>172</v>
      </c>
      <c r="D7" s="33" t="s">
        <v>173</v>
      </c>
      <c r="E7" s="33" t="s">
        <v>95</v>
      </c>
      <c r="F7" s="32" t="s">
        <v>152</v>
      </c>
      <c r="G7" s="32" t="s">
        <v>153</v>
      </c>
      <c r="H7" s="32" t="s">
        <v>154</v>
      </c>
      <c r="I7" s="32" t="s">
        <v>196</v>
      </c>
      <c r="J7" s="32" t="s">
        <v>155</v>
      </c>
      <c r="K7" s="32" t="s">
        <v>96</v>
      </c>
      <c r="L7" s="32" t="s">
        <v>97</v>
      </c>
      <c r="M7" s="26" t="s">
        <v>98</v>
      </c>
    </row>
    <row r="8" spans="1:14" ht="21.75" customHeight="1">
      <c r="A8" s="949" t="s">
        <v>17</v>
      </c>
      <c r="B8" s="950"/>
      <c r="C8" s="950"/>
      <c r="D8" s="950"/>
      <c r="E8" s="950"/>
      <c r="F8" s="950"/>
      <c r="G8" s="950"/>
      <c r="H8" s="950"/>
      <c r="I8" s="950"/>
      <c r="J8" s="950"/>
      <c r="K8" s="950"/>
      <c r="L8" s="950"/>
      <c r="M8" s="951"/>
    </row>
    <row r="9" spans="1:14" ht="129" customHeight="1">
      <c r="A9" s="38">
        <v>1</v>
      </c>
      <c r="B9" s="37" t="s">
        <v>99</v>
      </c>
      <c r="C9" s="39" t="s">
        <v>141</v>
      </c>
      <c r="D9" s="40">
        <v>106414</v>
      </c>
      <c r="E9" s="40" t="s">
        <v>125</v>
      </c>
      <c r="F9" s="40">
        <v>0</v>
      </c>
      <c r="G9" s="40">
        <v>56864</v>
      </c>
      <c r="H9" s="40">
        <v>50949</v>
      </c>
      <c r="I9" s="40">
        <v>3000</v>
      </c>
      <c r="J9" s="40">
        <f>AVERAGE(F9:I9)</f>
        <v>27703.25</v>
      </c>
      <c r="K9" s="41"/>
      <c r="L9" s="41"/>
      <c r="M9" s="42" t="s">
        <v>174</v>
      </c>
      <c r="N9" s="56"/>
    </row>
    <row r="10" spans="1:14" ht="51" customHeight="1">
      <c r="A10" s="38">
        <f>A9+1</f>
        <v>2</v>
      </c>
      <c r="B10" s="37" t="s">
        <v>100</v>
      </c>
      <c r="C10" s="39" t="s">
        <v>141</v>
      </c>
      <c r="D10" s="40">
        <f>+'[5]acumulado a dic 2014'!$C$8</f>
        <v>330314</v>
      </c>
      <c r="E10" s="40" t="s">
        <v>125</v>
      </c>
      <c r="F10" s="52">
        <v>330314</v>
      </c>
      <c r="G10" s="52">
        <v>330314</v>
      </c>
      <c r="H10" s="52">
        <v>330314</v>
      </c>
      <c r="I10" s="52">
        <v>300000</v>
      </c>
      <c r="J10" s="52">
        <f>AVERAGE(F10:I10)</f>
        <v>322735.5</v>
      </c>
      <c r="K10" s="43"/>
      <c r="L10" s="41"/>
      <c r="M10" s="44"/>
    </row>
    <row r="11" spans="1:14" ht="24.75" customHeight="1">
      <c r="A11" s="940" t="s">
        <v>142</v>
      </c>
      <c r="B11" s="941"/>
      <c r="C11" s="941"/>
      <c r="D11" s="941"/>
      <c r="E11" s="941"/>
      <c r="F11" s="941"/>
      <c r="G11" s="941"/>
      <c r="H11" s="941"/>
      <c r="I11" s="941"/>
      <c r="J11" s="941"/>
      <c r="K11" s="941"/>
      <c r="L11" s="941"/>
      <c r="M11" s="942"/>
    </row>
    <row r="12" spans="1:14" ht="106.5" customHeight="1">
      <c r="A12" s="38">
        <v>3</v>
      </c>
      <c r="B12" s="37" t="s">
        <v>101</v>
      </c>
      <c r="C12" s="39">
        <v>4.0999999999999996</v>
      </c>
      <c r="D12" s="40">
        <f>+'[5]acumulado a dic 2014'!$C$96</f>
        <v>100</v>
      </c>
      <c r="E12" s="24" t="s">
        <v>175</v>
      </c>
      <c r="F12" s="52">
        <v>0</v>
      </c>
      <c r="G12" s="52">
        <v>0</v>
      </c>
      <c r="H12" s="52">
        <v>20</v>
      </c>
      <c r="I12" s="52">
        <v>25</v>
      </c>
      <c r="J12" s="52">
        <f>AVERAGE(F12:I12)</f>
        <v>11.25</v>
      </c>
      <c r="K12" s="41"/>
      <c r="L12" s="41"/>
      <c r="M12" s="42" t="s">
        <v>194</v>
      </c>
    </row>
    <row r="13" spans="1:14" ht="35.25" customHeight="1">
      <c r="A13" s="38">
        <v>4</v>
      </c>
      <c r="B13" s="37" t="s">
        <v>144</v>
      </c>
      <c r="C13" s="39">
        <v>1.1000000000000001</v>
      </c>
      <c r="D13" s="40">
        <f>+'[5]acumulado a dic 2014'!$C$9</f>
        <v>120000</v>
      </c>
      <c r="E13" s="40" t="s">
        <v>125</v>
      </c>
      <c r="F13" s="52">
        <v>20000</v>
      </c>
      <c r="G13" s="52">
        <v>40000</v>
      </c>
      <c r="H13" s="52">
        <v>30000</v>
      </c>
      <c r="I13" s="52">
        <v>15000</v>
      </c>
      <c r="J13" s="52">
        <f>AVERAGE(F13:I13)</f>
        <v>26250</v>
      </c>
      <c r="K13" s="41"/>
      <c r="L13" s="41"/>
      <c r="M13" s="44"/>
    </row>
    <row r="14" spans="1:14" ht="54.75" customHeight="1">
      <c r="A14" s="38">
        <v>4</v>
      </c>
      <c r="B14" s="37" t="s">
        <v>145</v>
      </c>
      <c r="C14" s="39">
        <v>1.1000000000000001</v>
      </c>
      <c r="D14" s="40">
        <f>+'[5]acumulado a dic 2014'!$C$10</f>
        <v>4145</v>
      </c>
      <c r="E14" s="40" t="s">
        <v>125</v>
      </c>
      <c r="F14" s="52">
        <v>4145</v>
      </c>
      <c r="G14" s="52">
        <v>4145</v>
      </c>
      <c r="H14" s="52">
        <v>4145</v>
      </c>
      <c r="I14" s="52">
        <v>2000</v>
      </c>
      <c r="J14" s="52">
        <f>AVERAGE(F14:I14)</f>
        <v>3608.75</v>
      </c>
      <c r="K14" s="40"/>
      <c r="L14" s="41"/>
      <c r="M14" s="44"/>
    </row>
    <row r="15" spans="1:14" ht="60.75" customHeight="1">
      <c r="A15" s="38">
        <v>4</v>
      </c>
      <c r="B15" s="37" t="s">
        <v>146</v>
      </c>
      <c r="C15" s="39">
        <v>1.2</v>
      </c>
      <c r="D15" s="40">
        <f>+'[5]acumulado a dic 2014'!$C$20</f>
        <v>35356</v>
      </c>
      <c r="E15" s="40" t="s">
        <v>125</v>
      </c>
      <c r="F15" s="52">
        <v>35356</v>
      </c>
      <c r="G15" s="52">
        <v>35356</v>
      </c>
      <c r="H15" s="52">
        <v>35356</v>
      </c>
      <c r="I15" s="52">
        <v>35356</v>
      </c>
      <c r="J15" s="52">
        <f>AVERAGE(F15:I15)</f>
        <v>35356</v>
      </c>
      <c r="K15" s="41"/>
      <c r="L15" s="41"/>
      <c r="M15" s="42"/>
    </row>
    <row r="16" spans="1:14" ht="25.5" customHeight="1">
      <c r="A16" s="940" t="s">
        <v>18</v>
      </c>
      <c r="B16" s="941"/>
      <c r="C16" s="941"/>
      <c r="D16" s="941"/>
      <c r="E16" s="941"/>
      <c r="F16" s="941"/>
      <c r="G16" s="941"/>
      <c r="H16" s="941"/>
      <c r="I16" s="941"/>
      <c r="J16" s="941"/>
      <c r="K16" s="941"/>
      <c r="L16" s="941"/>
      <c r="M16" s="942"/>
    </row>
    <row r="17" spans="1:14" ht="54.75" customHeight="1">
      <c r="A17" s="38">
        <v>5</v>
      </c>
      <c r="B17" s="37" t="s">
        <v>102</v>
      </c>
      <c r="C17" s="39" t="s">
        <v>141</v>
      </c>
      <c r="D17" s="39">
        <v>3</v>
      </c>
      <c r="E17" s="40" t="s">
        <v>132</v>
      </c>
      <c r="F17" s="52">
        <v>3</v>
      </c>
      <c r="G17" s="52">
        <v>3</v>
      </c>
      <c r="H17" s="52">
        <v>3</v>
      </c>
      <c r="I17" s="52">
        <v>3</v>
      </c>
      <c r="J17" s="52">
        <f>AVERAGE(F17:I17)</f>
        <v>3</v>
      </c>
      <c r="K17" s="41"/>
      <c r="L17" s="41"/>
      <c r="M17" s="44"/>
    </row>
    <row r="18" spans="1:14" ht="25.5" customHeight="1">
      <c r="A18" s="940" t="s">
        <v>19</v>
      </c>
      <c r="B18" s="941"/>
      <c r="C18" s="941"/>
      <c r="D18" s="941"/>
      <c r="E18" s="941"/>
      <c r="F18" s="941"/>
      <c r="G18" s="941"/>
      <c r="H18" s="941"/>
      <c r="I18" s="941"/>
      <c r="J18" s="941"/>
      <c r="K18" s="941"/>
      <c r="L18" s="941"/>
      <c r="M18" s="942"/>
    </row>
    <row r="19" spans="1:14" ht="217.5" customHeight="1">
      <c r="A19" s="38">
        <v>6</v>
      </c>
      <c r="B19" s="37" t="s">
        <v>103</v>
      </c>
      <c r="C19" s="39" t="s">
        <v>156</v>
      </c>
      <c r="D19" s="40">
        <f>+'[5]acumulado a dic 2014'!$C$34</f>
        <v>2</v>
      </c>
      <c r="E19" s="40" t="s">
        <v>126</v>
      </c>
      <c r="F19" s="52">
        <v>0</v>
      </c>
      <c r="G19" s="52">
        <v>1</v>
      </c>
      <c r="H19" s="52">
        <v>1</v>
      </c>
      <c r="I19" s="52">
        <v>0</v>
      </c>
      <c r="J19" s="52">
        <f t="shared" ref="J19:J24" si="0">AVERAGE(F19:I19)</f>
        <v>0.5</v>
      </c>
      <c r="K19" s="41"/>
      <c r="L19" s="41"/>
      <c r="M19" s="42" t="s">
        <v>195</v>
      </c>
      <c r="N19" s="67"/>
    </row>
    <row r="20" spans="1:14" ht="51.75" customHeight="1">
      <c r="A20" s="38">
        <f>A19+1</f>
        <v>7</v>
      </c>
      <c r="B20" s="37" t="s">
        <v>104</v>
      </c>
      <c r="C20" s="39" t="s">
        <v>156</v>
      </c>
      <c r="D20" s="39">
        <v>6</v>
      </c>
      <c r="E20" s="40" t="s">
        <v>126</v>
      </c>
      <c r="F20" s="52">
        <v>6</v>
      </c>
      <c r="G20" s="52">
        <v>6</v>
      </c>
      <c r="H20" s="52">
        <v>6</v>
      </c>
      <c r="I20" s="52">
        <v>6</v>
      </c>
      <c r="J20" s="52">
        <f t="shared" si="0"/>
        <v>6</v>
      </c>
      <c r="K20" s="41"/>
      <c r="L20" s="41"/>
      <c r="M20" s="66"/>
    </row>
    <row r="21" spans="1:14" ht="51.75" customHeight="1">
      <c r="A21" s="38">
        <f>A20+1</f>
        <v>8</v>
      </c>
      <c r="B21" s="37" t="s">
        <v>157</v>
      </c>
      <c r="C21" s="39" t="s">
        <v>147</v>
      </c>
      <c r="D21" s="40">
        <f>+'[5]acumulado a dic 2014'!$C$38</f>
        <v>392</v>
      </c>
      <c r="E21" s="40" t="s">
        <v>125</v>
      </c>
      <c r="F21" s="52">
        <v>45</v>
      </c>
      <c r="G21" s="52">
        <v>160</v>
      </c>
      <c r="H21" s="52">
        <v>80</v>
      </c>
      <c r="I21" s="52">
        <v>0</v>
      </c>
      <c r="J21" s="52">
        <f t="shared" si="0"/>
        <v>71.25</v>
      </c>
      <c r="K21" s="41"/>
      <c r="L21" s="41"/>
      <c r="M21" s="44"/>
    </row>
    <row r="22" spans="1:14" ht="148.5" customHeight="1">
      <c r="A22" s="38"/>
      <c r="B22" s="37" t="s">
        <v>165</v>
      </c>
      <c r="C22" s="39" t="s">
        <v>147</v>
      </c>
      <c r="D22" s="40">
        <f>+'[5]acumulado a dic 2014'!$C$40</f>
        <v>2981</v>
      </c>
      <c r="E22" s="40" t="s">
        <v>125</v>
      </c>
      <c r="F22" s="52">
        <v>276</v>
      </c>
      <c r="G22" s="52">
        <v>1681</v>
      </c>
      <c r="H22" s="52">
        <v>6345</v>
      </c>
      <c r="I22" s="52">
        <v>0</v>
      </c>
      <c r="J22" s="52">
        <f t="shared" si="0"/>
        <v>2075.5</v>
      </c>
      <c r="K22" s="41"/>
      <c r="L22" s="41"/>
      <c r="M22" s="42" t="s">
        <v>176</v>
      </c>
    </row>
    <row r="23" spans="1:14" ht="59.25" customHeight="1">
      <c r="A23" s="38">
        <f>A21+1</f>
        <v>9</v>
      </c>
      <c r="B23" s="37" t="s">
        <v>158</v>
      </c>
      <c r="C23" s="39" t="s">
        <v>147</v>
      </c>
      <c r="D23" s="40">
        <f>+'[5]acumulado a dic 2014'!$C$39</f>
        <v>970</v>
      </c>
      <c r="E23" s="40" t="s">
        <v>125</v>
      </c>
      <c r="F23" s="52">
        <v>0</v>
      </c>
      <c r="G23" s="52">
        <v>147</v>
      </c>
      <c r="H23" s="52">
        <v>225</v>
      </c>
      <c r="I23" s="52">
        <v>0</v>
      </c>
      <c r="J23" s="52">
        <f t="shared" si="0"/>
        <v>93</v>
      </c>
      <c r="K23" s="41"/>
      <c r="L23" s="41"/>
      <c r="M23" s="44"/>
    </row>
    <row r="24" spans="1:14" ht="49.5" customHeight="1">
      <c r="A24" s="38"/>
      <c r="B24" s="37" t="s">
        <v>159</v>
      </c>
      <c r="C24" s="39" t="s">
        <v>147</v>
      </c>
      <c r="D24" s="40">
        <f>+'[5]acumulado a dic 2014'!$C$41</f>
        <v>3438</v>
      </c>
      <c r="E24" s="40" t="s">
        <v>125</v>
      </c>
      <c r="F24" s="52">
        <v>0</v>
      </c>
      <c r="G24" s="52">
        <v>1271</v>
      </c>
      <c r="H24" s="52">
        <v>829</v>
      </c>
      <c r="I24" s="52">
        <v>0</v>
      </c>
      <c r="J24" s="52">
        <f t="shared" si="0"/>
        <v>525</v>
      </c>
      <c r="K24" s="41"/>
      <c r="L24" s="41"/>
      <c r="M24" s="44"/>
    </row>
    <row r="25" spans="1:14" ht="200.25" customHeight="1">
      <c r="A25" s="38">
        <f>A23+1</f>
        <v>10</v>
      </c>
      <c r="B25" s="37" t="s">
        <v>105</v>
      </c>
      <c r="C25" s="39" t="s">
        <v>143</v>
      </c>
      <c r="D25" s="39"/>
      <c r="E25" s="40" t="s">
        <v>127</v>
      </c>
      <c r="F25" s="52">
        <v>0</v>
      </c>
      <c r="G25" s="52">
        <v>0</v>
      </c>
      <c r="H25" s="52">
        <v>0</v>
      </c>
      <c r="I25" s="52">
        <v>0</v>
      </c>
      <c r="J25" s="52">
        <f>+F25</f>
        <v>0</v>
      </c>
      <c r="K25" s="41"/>
      <c r="L25" s="41"/>
      <c r="M25" s="42" t="s">
        <v>177</v>
      </c>
    </row>
    <row r="26" spans="1:14" ht="21" customHeight="1">
      <c r="A26" s="940" t="s">
        <v>20</v>
      </c>
      <c r="B26" s="941"/>
      <c r="C26" s="941"/>
      <c r="D26" s="941"/>
      <c r="E26" s="941"/>
      <c r="F26" s="941"/>
      <c r="G26" s="941"/>
      <c r="H26" s="941"/>
      <c r="I26" s="941"/>
      <c r="J26" s="941"/>
      <c r="K26" s="941"/>
      <c r="L26" s="941"/>
      <c r="M26" s="942"/>
    </row>
    <row r="27" spans="1:14" ht="96.75" customHeight="1">
      <c r="A27" s="38">
        <v>11</v>
      </c>
      <c r="B27" s="37" t="s">
        <v>106</v>
      </c>
      <c r="C27" s="23" t="s">
        <v>143</v>
      </c>
      <c r="D27" s="23">
        <v>37</v>
      </c>
      <c r="E27" s="55" t="s">
        <v>166</v>
      </c>
      <c r="F27" s="53">
        <v>37</v>
      </c>
      <c r="G27" s="52">
        <v>37</v>
      </c>
      <c r="H27" s="52">
        <v>37</v>
      </c>
      <c r="I27" s="52">
        <v>0</v>
      </c>
      <c r="J27" s="52">
        <f>AVERAGE(F27:I27)</f>
        <v>27.75</v>
      </c>
      <c r="K27" s="41"/>
      <c r="L27" s="41"/>
      <c r="M27" s="42" t="s">
        <v>134</v>
      </c>
    </row>
    <row r="28" spans="1:14" ht="104.25" customHeight="1">
      <c r="A28" s="38">
        <v>12</v>
      </c>
      <c r="B28" s="37" t="s">
        <v>148</v>
      </c>
      <c r="C28" s="23" t="s">
        <v>149</v>
      </c>
      <c r="D28" s="24">
        <f>+'[5]acumulado a dic 2014'!$C$58</f>
        <v>13.75</v>
      </c>
      <c r="E28" s="24" t="s">
        <v>128</v>
      </c>
      <c r="F28" s="53">
        <v>13</v>
      </c>
      <c r="G28" s="52">
        <v>14</v>
      </c>
      <c r="H28" s="52">
        <v>14</v>
      </c>
      <c r="I28" s="52">
        <v>0</v>
      </c>
      <c r="J28" s="52">
        <f>AVERAGE(F28:I28)</f>
        <v>10.25</v>
      </c>
      <c r="K28" s="41"/>
      <c r="L28" s="41"/>
      <c r="M28" s="42" t="s">
        <v>171</v>
      </c>
    </row>
    <row r="29" spans="1:14" ht="102" customHeight="1">
      <c r="A29" s="38">
        <f>A27+1</f>
        <v>12</v>
      </c>
      <c r="B29" s="37" t="s">
        <v>133</v>
      </c>
      <c r="C29" s="23" t="s">
        <v>149</v>
      </c>
      <c r="D29" s="24">
        <f>+'[5]acumulado a dic 2014'!$C$59</f>
        <v>12.75</v>
      </c>
      <c r="E29" s="24" t="s">
        <v>128</v>
      </c>
      <c r="F29" s="53">
        <v>12</v>
      </c>
      <c r="G29" s="52">
        <v>13</v>
      </c>
      <c r="H29" s="52">
        <v>13</v>
      </c>
      <c r="I29" s="52">
        <v>0</v>
      </c>
      <c r="J29" s="52">
        <f>AVERAGE(F29:I29)</f>
        <v>9.5</v>
      </c>
      <c r="K29" s="41"/>
      <c r="L29" s="41"/>
      <c r="M29" s="42" t="s">
        <v>171</v>
      </c>
    </row>
    <row r="30" spans="1:14" ht="21.75" customHeight="1">
      <c r="A30" s="940" t="s">
        <v>23</v>
      </c>
      <c r="B30" s="941"/>
      <c r="C30" s="941"/>
      <c r="D30" s="941"/>
      <c r="E30" s="941"/>
      <c r="F30" s="941"/>
      <c r="G30" s="941"/>
      <c r="H30" s="941"/>
      <c r="I30" s="941"/>
      <c r="J30" s="941"/>
      <c r="K30" s="941"/>
      <c r="L30" s="941"/>
      <c r="M30" s="942"/>
    </row>
    <row r="31" spans="1:14" ht="111" customHeight="1">
      <c r="A31" s="38">
        <f>A29+1</f>
        <v>13</v>
      </c>
      <c r="B31" s="37" t="s">
        <v>107</v>
      </c>
      <c r="C31" s="23" t="s">
        <v>149</v>
      </c>
      <c r="D31" s="24">
        <f>+'[5]acumulado a dic 2014'!$C$60</f>
        <v>87</v>
      </c>
      <c r="E31" s="24" t="s">
        <v>128</v>
      </c>
      <c r="F31" s="53">
        <v>50</v>
      </c>
      <c r="G31" s="52">
        <v>71</v>
      </c>
      <c r="H31" s="52">
        <v>87</v>
      </c>
      <c r="I31" s="52">
        <v>45</v>
      </c>
      <c r="J31" s="52">
        <f>AVERAGE(F31:I31)</f>
        <v>63.25</v>
      </c>
      <c r="K31" s="45"/>
      <c r="L31" s="45"/>
      <c r="M31" s="42" t="s">
        <v>134</v>
      </c>
    </row>
    <row r="32" spans="1:14" ht="104.25" customHeight="1">
      <c r="A32" s="38">
        <f>A31+1</f>
        <v>14</v>
      </c>
      <c r="B32" s="37" t="s">
        <v>108</v>
      </c>
      <c r="C32" s="23" t="s">
        <v>143</v>
      </c>
      <c r="D32" s="24">
        <f>+'[5]acumulado a dic 2014'!$C$47</f>
        <v>68</v>
      </c>
      <c r="E32" s="24" t="s">
        <v>128</v>
      </c>
      <c r="F32" s="53">
        <v>44</v>
      </c>
      <c r="G32" s="52">
        <v>62</v>
      </c>
      <c r="H32" s="52">
        <v>62</v>
      </c>
      <c r="I32" s="52">
        <v>37</v>
      </c>
      <c r="J32" s="52">
        <f>AVERAGE(F32:I32)</f>
        <v>51.25</v>
      </c>
      <c r="K32" s="45"/>
      <c r="L32" s="45"/>
      <c r="M32" s="42" t="s">
        <v>134</v>
      </c>
    </row>
    <row r="33" spans="1:13" ht="21" customHeight="1">
      <c r="A33" s="940" t="s">
        <v>5</v>
      </c>
      <c r="B33" s="941"/>
      <c r="C33" s="941"/>
      <c r="D33" s="941"/>
      <c r="E33" s="941"/>
      <c r="F33" s="941"/>
      <c r="G33" s="941"/>
      <c r="H33" s="941"/>
      <c r="I33" s="941"/>
      <c r="J33" s="941"/>
      <c r="K33" s="941"/>
      <c r="L33" s="941"/>
      <c r="M33" s="942"/>
    </row>
    <row r="34" spans="1:13" ht="93" customHeight="1">
      <c r="A34" s="38">
        <f>A32+1</f>
        <v>15</v>
      </c>
      <c r="B34" s="37" t="s">
        <v>109</v>
      </c>
      <c r="C34" s="39" t="s">
        <v>151</v>
      </c>
      <c r="D34" s="40">
        <f>+'[5]acumulado a dic 2014'!$C$86</f>
        <v>1</v>
      </c>
      <c r="E34" s="39" t="s">
        <v>140</v>
      </c>
      <c r="F34" s="54">
        <v>1</v>
      </c>
      <c r="G34" s="52">
        <v>1</v>
      </c>
      <c r="H34" s="52">
        <v>1</v>
      </c>
      <c r="I34" s="52">
        <v>1</v>
      </c>
      <c r="J34" s="52">
        <f>AVERAGE(F34:I34)</f>
        <v>1</v>
      </c>
      <c r="K34" s="46"/>
      <c r="L34" s="46"/>
      <c r="M34" s="42"/>
    </row>
    <row r="35" spans="1:13" ht="108.75" customHeight="1">
      <c r="A35" s="38">
        <f>A34+1</f>
        <v>16</v>
      </c>
      <c r="B35" s="37" t="s">
        <v>110</v>
      </c>
      <c r="C35" s="39" t="s">
        <v>151</v>
      </c>
      <c r="D35" s="40">
        <f>+'[5]acumulado a dic 2014'!$C$82</f>
        <v>37</v>
      </c>
      <c r="E35" s="39" t="s">
        <v>130</v>
      </c>
      <c r="F35" s="54">
        <v>37</v>
      </c>
      <c r="G35" s="52">
        <v>37</v>
      </c>
      <c r="H35" s="52">
        <v>37</v>
      </c>
      <c r="I35" s="52">
        <v>37</v>
      </c>
      <c r="J35" s="52">
        <f>AVERAGE(F35:I35)</f>
        <v>37</v>
      </c>
      <c r="K35" s="46"/>
      <c r="L35" s="46"/>
      <c r="M35" s="42" t="s">
        <v>134</v>
      </c>
    </row>
    <row r="36" spans="1:13" ht="117" customHeight="1">
      <c r="A36" s="38">
        <f>A35+1</f>
        <v>17</v>
      </c>
      <c r="B36" s="37" t="s">
        <v>111</v>
      </c>
      <c r="C36" s="39" t="s">
        <v>151</v>
      </c>
      <c r="D36" s="40">
        <v>63</v>
      </c>
      <c r="E36" s="39" t="s">
        <v>128</v>
      </c>
      <c r="F36" s="54">
        <v>64</v>
      </c>
      <c r="G36" s="52">
        <v>72</v>
      </c>
      <c r="H36" s="52">
        <v>73</v>
      </c>
      <c r="I36" s="52">
        <v>0</v>
      </c>
      <c r="J36" s="52">
        <f>AVERAGE(F36:I36)</f>
        <v>52.25</v>
      </c>
      <c r="K36" s="46"/>
      <c r="L36" s="46"/>
      <c r="M36" s="42" t="s">
        <v>134</v>
      </c>
    </row>
    <row r="37" spans="1:13" ht="53.25" customHeight="1">
      <c r="A37" s="38">
        <f>A36+1</f>
        <v>18</v>
      </c>
      <c r="B37" s="37" t="s">
        <v>112</v>
      </c>
      <c r="C37" s="39" t="s">
        <v>151</v>
      </c>
      <c r="D37" s="40">
        <v>73</v>
      </c>
      <c r="E37" s="39" t="s">
        <v>1</v>
      </c>
      <c r="F37" s="54">
        <v>94</v>
      </c>
      <c r="G37" s="52">
        <v>120</v>
      </c>
      <c r="H37" s="52">
        <v>70</v>
      </c>
      <c r="I37" s="52">
        <v>20</v>
      </c>
      <c r="J37" s="52">
        <f>AVERAGE(F37:I37)</f>
        <v>76</v>
      </c>
      <c r="K37" s="46"/>
      <c r="L37" s="46"/>
      <c r="M37" s="47"/>
    </row>
    <row r="38" spans="1:13" ht="23.25" customHeight="1">
      <c r="A38" s="940" t="s">
        <v>21</v>
      </c>
      <c r="B38" s="941"/>
      <c r="C38" s="941"/>
      <c r="D38" s="941"/>
      <c r="E38" s="941"/>
      <c r="F38" s="941"/>
      <c r="G38" s="941"/>
      <c r="H38" s="941"/>
      <c r="I38" s="941"/>
      <c r="J38" s="941"/>
      <c r="K38" s="941"/>
      <c r="L38" s="941"/>
      <c r="M38" s="942"/>
    </row>
    <row r="39" spans="1:13" ht="72.75" customHeight="1">
      <c r="A39" s="38">
        <f>A37+1</f>
        <v>19</v>
      </c>
      <c r="B39" s="37" t="s">
        <v>113</v>
      </c>
      <c r="C39" s="39" t="s">
        <v>136</v>
      </c>
      <c r="D39" s="40">
        <f>+'[5]acumulado a dic 2014'!$C$25</f>
        <v>7</v>
      </c>
      <c r="E39" s="39" t="s">
        <v>135</v>
      </c>
      <c r="F39" s="54">
        <v>1</v>
      </c>
      <c r="G39" s="52">
        <v>2</v>
      </c>
      <c r="H39" s="52">
        <v>2</v>
      </c>
      <c r="I39" s="52">
        <v>2</v>
      </c>
      <c r="J39" s="52">
        <f>+F39+G39+H39+I39</f>
        <v>7</v>
      </c>
      <c r="K39" s="46"/>
      <c r="L39" s="46"/>
      <c r="M39" s="47"/>
    </row>
    <row r="40" spans="1:13" ht="55.5" customHeight="1">
      <c r="A40" s="38">
        <f>A39+1</f>
        <v>20</v>
      </c>
      <c r="B40" s="37" t="s">
        <v>114</v>
      </c>
      <c r="C40" s="39" t="s">
        <v>137</v>
      </c>
      <c r="D40" s="40">
        <f>+'[5]acumulado a dic 2014'!$C$136</f>
        <v>1.75</v>
      </c>
      <c r="E40" s="39" t="s">
        <v>129</v>
      </c>
      <c r="F40" s="54">
        <v>1</v>
      </c>
      <c r="G40" s="52">
        <v>2</v>
      </c>
      <c r="H40" s="52">
        <v>2</v>
      </c>
      <c r="I40" s="52">
        <v>2</v>
      </c>
      <c r="J40" s="52">
        <f>AVERAGE(F40:I40)</f>
        <v>1.75</v>
      </c>
      <c r="K40" s="46"/>
      <c r="L40" s="46"/>
      <c r="M40" s="47"/>
    </row>
    <row r="41" spans="1:13" ht="105.75" customHeight="1">
      <c r="A41" s="38">
        <f>A40+1</f>
        <v>21</v>
      </c>
      <c r="B41" s="37" t="s">
        <v>115</v>
      </c>
      <c r="C41" s="39" t="s">
        <v>137</v>
      </c>
      <c r="D41" s="40">
        <v>55</v>
      </c>
      <c r="E41" s="39" t="s">
        <v>128</v>
      </c>
      <c r="F41" s="54">
        <v>20</v>
      </c>
      <c r="G41" s="52">
        <v>40</v>
      </c>
      <c r="H41" s="52">
        <v>60</v>
      </c>
      <c r="I41" s="52">
        <v>30</v>
      </c>
      <c r="J41" s="52">
        <f>AVERAGE(F41:I41)</f>
        <v>37.5</v>
      </c>
      <c r="K41" s="46"/>
      <c r="L41" s="46"/>
      <c r="M41" s="42" t="s">
        <v>134</v>
      </c>
    </row>
    <row r="42" spans="1:13" ht="21.75" customHeight="1">
      <c r="A42" s="940" t="s">
        <v>22</v>
      </c>
      <c r="B42" s="941"/>
      <c r="C42" s="941"/>
      <c r="D42" s="941"/>
      <c r="E42" s="941"/>
      <c r="F42" s="941"/>
      <c r="G42" s="941"/>
      <c r="H42" s="941"/>
      <c r="I42" s="941"/>
      <c r="J42" s="941"/>
      <c r="K42" s="941"/>
      <c r="L42" s="941"/>
      <c r="M42" s="942"/>
    </row>
    <row r="43" spans="1:13" ht="54.75" customHeight="1">
      <c r="A43" s="38">
        <f>A41+1</f>
        <v>22</v>
      </c>
      <c r="B43" s="37" t="s">
        <v>116</v>
      </c>
      <c r="C43" s="39" t="s">
        <v>150</v>
      </c>
      <c r="D43" s="40">
        <f>+'[5]acumulado a dic 2014'!$C$66</f>
        <v>37</v>
      </c>
      <c r="E43" s="39" t="s">
        <v>130</v>
      </c>
      <c r="F43" s="54">
        <v>37</v>
      </c>
      <c r="G43" s="52">
        <v>37</v>
      </c>
      <c r="H43" s="52">
        <v>37</v>
      </c>
      <c r="I43" s="52">
        <v>17</v>
      </c>
      <c r="J43" s="52">
        <f>AVERAGE(F43:I43)</f>
        <v>32</v>
      </c>
      <c r="K43" s="46"/>
      <c r="L43" s="46"/>
      <c r="M43" s="47"/>
    </row>
    <row r="44" spans="1:13" ht="69.75" customHeight="1">
      <c r="A44" s="38">
        <f>A43+1</f>
        <v>23</v>
      </c>
      <c r="B44" s="37" t="s">
        <v>117</v>
      </c>
      <c r="C44" s="39" t="s">
        <v>138</v>
      </c>
      <c r="D44" s="40">
        <f>+'[5]acumulado a dic 2014'!$C$74</f>
        <v>37</v>
      </c>
      <c r="E44" s="39" t="s">
        <v>130</v>
      </c>
      <c r="F44" s="54">
        <v>37</v>
      </c>
      <c r="G44" s="52">
        <v>37</v>
      </c>
      <c r="H44" s="52">
        <v>37</v>
      </c>
      <c r="I44" s="52">
        <v>16</v>
      </c>
      <c r="J44" s="52">
        <f>AVERAGE(F44:I44)</f>
        <v>31.75</v>
      </c>
      <c r="K44" s="46"/>
      <c r="L44" s="46"/>
      <c r="M44" s="47"/>
    </row>
    <row r="45" spans="1:13" ht="21.75" customHeight="1">
      <c r="A45" s="940">
        <v>38</v>
      </c>
      <c r="B45" s="941"/>
      <c r="C45" s="941"/>
      <c r="D45" s="941"/>
      <c r="E45" s="941"/>
      <c r="F45" s="941"/>
      <c r="G45" s="941"/>
      <c r="H45" s="941"/>
      <c r="I45" s="941"/>
      <c r="J45" s="941"/>
      <c r="K45" s="941"/>
      <c r="L45" s="941"/>
      <c r="M45" s="942"/>
    </row>
    <row r="46" spans="1:13" ht="108.75" customHeight="1">
      <c r="A46" s="38">
        <f>A44+1</f>
        <v>24</v>
      </c>
      <c r="B46" s="37" t="s">
        <v>118</v>
      </c>
      <c r="C46" s="39" t="s">
        <v>151</v>
      </c>
      <c r="D46" s="40">
        <v>38</v>
      </c>
      <c r="E46" s="39" t="s">
        <v>128</v>
      </c>
      <c r="F46" s="54">
        <v>100</v>
      </c>
      <c r="G46" s="52">
        <v>100</v>
      </c>
      <c r="H46" s="52">
        <v>75</v>
      </c>
      <c r="I46" s="52">
        <v>32</v>
      </c>
      <c r="J46" s="52">
        <f>AVERAGE(F46:I46)</f>
        <v>76.75</v>
      </c>
      <c r="K46" s="46"/>
      <c r="L46" s="46"/>
      <c r="M46" s="42" t="s">
        <v>134</v>
      </c>
    </row>
    <row r="47" spans="1:13" ht="69" customHeight="1" thickBot="1">
      <c r="A47" s="48">
        <f>A46+1</f>
        <v>25</v>
      </c>
      <c r="B47" s="49" t="s">
        <v>119</v>
      </c>
      <c r="C47" s="50" t="s">
        <v>139</v>
      </c>
      <c r="D47" s="40">
        <v>60</v>
      </c>
      <c r="E47" s="39" t="s">
        <v>131</v>
      </c>
      <c r="F47" s="54">
        <v>35</v>
      </c>
      <c r="G47" s="52">
        <v>60</v>
      </c>
      <c r="H47" s="52">
        <v>60</v>
      </c>
      <c r="I47" s="52">
        <v>60</v>
      </c>
      <c r="J47" s="52">
        <f>AVERAGE(F47:I47)</f>
        <v>53.75</v>
      </c>
      <c r="K47" s="46"/>
      <c r="L47" s="46"/>
      <c r="M47" s="46"/>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B1:M1"/>
    <mergeCell ref="B2:M2"/>
    <mergeCell ref="B3:M3"/>
    <mergeCell ref="B4:M4"/>
    <mergeCell ref="A8:M8"/>
    <mergeCell ref="A42:M42"/>
    <mergeCell ref="A45:M45"/>
    <mergeCell ref="A16:M16"/>
    <mergeCell ref="A18:M18"/>
    <mergeCell ref="A26:M26"/>
    <mergeCell ref="A30:M30"/>
    <mergeCell ref="A33:M33"/>
    <mergeCell ref="A38:M38"/>
  </mergeCells>
  <pageMargins left="0.19685039370078741" right="0.19685039370078741" top="0.39370078740157483" bottom="0.19685039370078741" header="0" footer="0"/>
  <pageSetup scale="5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workbookViewId="0"/>
  </sheetViews>
  <sheetFormatPr baseColWidth="10" defaultRowHeight="12.75"/>
  <cols>
    <col min="1" max="1" width="41.42578125" style="72" customWidth="1"/>
    <col min="2" max="2" width="21.140625" style="72" customWidth="1"/>
    <col min="3" max="3" width="17.85546875" style="72" customWidth="1"/>
    <col min="4" max="4" width="16.7109375" style="72" customWidth="1"/>
    <col min="5" max="6" width="18.5703125" style="72" customWidth="1"/>
    <col min="7" max="7" width="18.140625" style="72" customWidth="1"/>
    <col min="8" max="8" width="16.85546875" style="72" bestFit="1" customWidth="1"/>
    <col min="9" max="16384" width="11.42578125" style="72"/>
  </cols>
  <sheetData>
    <row r="1" spans="1:8" ht="16.5" customHeight="1">
      <c r="A1" s="71"/>
      <c r="B1" s="71"/>
      <c r="C1" s="71"/>
      <c r="D1" s="71"/>
      <c r="E1" s="71"/>
      <c r="F1" s="71"/>
      <c r="G1" s="71"/>
    </row>
    <row r="2" spans="1:8">
      <c r="A2" s="71"/>
      <c r="B2" s="71"/>
      <c r="C2" s="71"/>
      <c r="D2" s="71"/>
      <c r="E2" s="71"/>
      <c r="F2" s="71"/>
      <c r="G2" s="71"/>
    </row>
    <row r="3" spans="1:8">
      <c r="A3" s="73" t="s">
        <v>247</v>
      </c>
      <c r="B3" s="73"/>
      <c r="C3" s="73"/>
      <c r="D3" s="73"/>
      <c r="E3" s="73"/>
      <c r="F3" s="73"/>
      <c r="G3" s="73"/>
    </row>
    <row r="4" spans="1:8">
      <c r="A4" s="74" t="s">
        <v>248</v>
      </c>
      <c r="B4" s="74"/>
      <c r="C4" s="74"/>
      <c r="D4" s="74"/>
      <c r="E4" s="74"/>
      <c r="F4" s="74"/>
      <c r="G4" s="74"/>
    </row>
    <row r="5" spans="1:8">
      <c r="A5" s="74" t="s">
        <v>249</v>
      </c>
      <c r="B5" s="74"/>
      <c r="C5" s="74"/>
      <c r="D5" s="74"/>
      <c r="E5" s="74"/>
      <c r="F5" s="74"/>
      <c r="G5" s="74"/>
    </row>
    <row r="6" spans="1:8" ht="17.25" customHeight="1" thickBot="1">
      <c r="A6" s="75" t="s">
        <v>250</v>
      </c>
      <c r="B6" s="76"/>
      <c r="C6" s="76"/>
      <c r="D6" s="76"/>
      <c r="E6" s="76"/>
      <c r="F6" s="76"/>
      <c r="G6" s="76"/>
    </row>
    <row r="7" spans="1:8" ht="33" customHeight="1">
      <c r="A7" s="937" t="s">
        <v>251</v>
      </c>
      <c r="B7" s="938" t="s">
        <v>252</v>
      </c>
      <c r="C7" s="953"/>
      <c r="D7" s="938" t="s">
        <v>253</v>
      </c>
      <c r="E7" s="953"/>
      <c r="F7" s="938" t="s">
        <v>254</v>
      </c>
      <c r="G7" s="954"/>
    </row>
    <row r="8" spans="1:8" ht="21.75" customHeight="1">
      <c r="A8" s="952"/>
      <c r="B8" s="77" t="s">
        <v>255</v>
      </c>
      <c r="C8" s="77" t="s">
        <v>256</v>
      </c>
      <c r="D8" s="77" t="s">
        <v>255</v>
      </c>
      <c r="E8" s="77" t="s">
        <v>256</v>
      </c>
      <c r="F8" s="77" t="s">
        <v>255</v>
      </c>
      <c r="G8" s="78" t="s">
        <v>256</v>
      </c>
    </row>
    <row r="9" spans="1:8">
      <c r="A9" s="79" t="s">
        <v>257</v>
      </c>
      <c r="B9" s="80">
        <v>2005872393</v>
      </c>
      <c r="C9" s="80">
        <v>844359454</v>
      </c>
      <c r="D9" s="80">
        <v>1708062000</v>
      </c>
      <c r="E9" s="80">
        <v>957550419</v>
      </c>
      <c r="F9" s="80">
        <f>+B9+D9</f>
        <v>3713934393</v>
      </c>
      <c r="G9" s="81">
        <f>+C9+E9</f>
        <v>1801909873</v>
      </c>
      <c r="H9" s="82" t="s">
        <v>246</v>
      </c>
    </row>
    <row r="10" spans="1:8">
      <c r="A10" s="79" t="s">
        <v>258</v>
      </c>
      <c r="B10" s="80">
        <f t="shared" ref="B10:G10" si="0">+B11+B12+B13</f>
        <v>1757668695</v>
      </c>
      <c r="C10" s="80">
        <f t="shared" si="0"/>
        <v>656590451</v>
      </c>
      <c r="D10" s="80">
        <f t="shared" si="0"/>
        <v>22374000</v>
      </c>
      <c r="E10" s="80">
        <f t="shared" si="0"/>
        <v>21140000</v>
      </c>
      <c r="F10" s="80">
        <f t="shared" si="0"/>
        <v>1780042695</v>
      </c>
      <c r="G10" s="81">
        <f t="shared" si="0"/>
        <v>677730451</v>
      </c>
    </row>
    <row r="11" spans="1:8">
      <c r="A11" s="83" t="s">
        <v>259</v>
      </c>
      <c r="B11" s="84">
        <v>535384974</v>
      </c>
      <c r="C11" s="84">
        <v>192326440</v>
      </c>
      <c r="D11" s="84">
        <v>0</v>
      </c>
      <c r="E11" s="84"/>
      <c r="F11" s="84">
        <f t="shared" ref="F11:G13" si="1">+B11+D11</f>
        <v>535384974</v>
      </c>
      <c r="G11" s="85">
        <f t="shared" si="1"/>
        <v>192326440</v>
      </c>
    </row>
    <row r="12" spans="1:8">
      <c r="A12" s="83" t="s">
        <v>260</v>
      </c>
      <c r="B12" s="84">
        <v>1175742721</v>
      </c>
      <c r="C12" s="84">
        <v>424028731</v>
      </c>
      <c r="D12" s="84">
        <v>21140000</v>
      </c>
      <c r="E12" s="84">
        <v>21140000</v>
      </c>
      <c r="F12" s="84">
        <f t="shared" si="1"/>
        <v>1196882721</v>
      </c>
      <c r="G12" s="85">
        <f t="shared" si="1"/>
        <v>445168731</v>
      </c>
    </row>
    <row r="13" spans="1:8">
      <c r="A13" s="83" t="s">
        <v>261</v>
      </c>
      <c r="B13" s="84">
        <v>46541000</v>
      </c>
      <c r="C13" s="84">
        <v>40235280</v>
      </c>
      <c r="D13" s="84">
        <v>1234000</v>
      </c>
      <c r="E13" s="84">
        <v>0</v>
      </c>
      <c r="F13" s="84">
        <f t="shared" si="1"/>
        <v>47775000</v>
      </c>
      <c r="G13" s="85">
        <f t="shared" si="1"/>
        <v>40235280</v>
      </c>
    </row>
    <row r="14" spans="1:8">
      <c r="A14" s="79" t="s">
        <v>262</v>
      </c>
      <c r="B14" s="80">
        <f t="shared" ref="B14:G14" si="2">+B15</f>
        <v>1333533655</v>
      </c>
      <c r="C14" s="80">
        <f t="shared" si="2"/>
        <v>484265261</v>
      </c>
      <c r="D14" s="80">
        <f t="shared" si="2"/>
        <v>9866000</v>
      </c>
      <c r="E14" s="80">
        <f t="shared" si="2"/>
        <v>0</v>
      </c>
      <c r="F14" s="80">
        <f t="shared" si="2"/>
        <v>1343399655</v>
      </c>
      <c r="G14" s="81">
        <f t="shared" si="2"/>
        <v>484265261</v>
      </c>
    </row>
    <row r="15" spans="1:8">
      <c r="A15" s="79" t="s">
        <v>263</v>
      </c>
      <c r="B15" s="80">
        <f t="shared" ref="B15:G15" si="3">+B16+B17+B18</f>
        <v>1333533655</v>
      </c>
      <c r="C15" s="80">
        <f t="shared" si="3"/>
        <v>484265261</v>
      </c>
      <c r="D15" s="80">
        <f t="shared" si="3"/>
        <v>9866000</v>
      </c>
      <c r="E15" s="80">
        <f t="shared" si="3"/>
        <v>0</v>
      </c>
      <c r="F15" s="80">
        <f t="shared" si="3"/>
        <v>1343399655</v>
      </c>
      <c r="G15" s="81">
        <f t="shared" si="3"/>
        <v>484265261</v>
      </c>
    </row>
    <row r="16" spans="1:8">
      <c r="A16" s="83" t="s">
        <v>264</v>
      </c>
      <c r="B16" s="84">
        <v>20134000</v>
      </c>
      <c r="C16" s="84">
        <v>0</v>
      </c>
      <c r="D16" s="84">
        <v>9866000</v>
      </c>
      <c r="E16" s="84">
        <f>+[6]FUNCIONAMIENTO!$T$64</f>
        <v>0</v>
      </c>
      <c r="F16" s="84">
        <f t="shared" ref="F16:G18" si="4">+B16+D16</f>
        <v>30000000</v>
      </c>
      <c r="G16" s="85">
        <f t="shared" si="4"/>
        <v>0</v>
      </c>
    </row>
    <row r="17" spans="1:8">
      <c r="A17" s="83" t="s">
        <v>265</v>
      </c>
      <c r="B17" s="84">
        <v>1290399655</v>
      </c>
      <c r="C17" s="84">
        <v>462256104</v>
      </c>
      <c r="D17" s="84"/>
      <c r="E17" s="84"/>
      <c r="F17" s="84">
        <f t="shared" si="4"/>
        <v>1290399655</v>
      </c>
      <c r="G17" s="85">
        <f t="shared" si="4"/>
        <v>462256104</v>
      </c>
    </row>
    <row r="18" spans="1:8">
      <c r="A18" s="83" t="s">
        <v>206</v>
      </c>
      <c r="B18" s="84">
        <f>+[6]FUNCIONAMIENTO!$I$30</f>
        <v>23000000</v>
      </c>
      <c r="C18" s="84">
        <v>22009157</v>
      </c>
      <c r="D18" s="84"/>
      <c r="E18" s="84"/>
      <c r="F18" s="84">
        <f t="shared" si="4"/>
        <v>23000000</v>
      </c>
      <c r="G18" s="85">
        <f t="shared" si="4"/>
        <v>22009157</v>
      </c>
    </row>
    <row r="19" spans="1:8">
      <c r="A19" s="79" t="s">
        <v>266</v>
      </c>
      <c r="B19" s="80">
        <f t="shared" ref="B19:G19" si="5">+B20+B21</f>
        <v>0</v>
      </c>
      <c r="C19" s="80">
        <f t="shared" si="5"/>
        <v>0</v>
      </c>
      <c r="D19" s="80">
        <f t="shared" si="5"/>
        <v>0</v>
      </c>
      <c r="E19" s="80">
        <f t="shared" si="5"/>
        <v>0</v>
      </c>
      <c r="F19" s="80">
        <f t="shared" si="5"/>
        <v>0</v>
      </c>
      <c r="G19" s="81">
        <f t="shared" si="5"/>
        <v>0</v>
      </c>
    </row>
    <row r="20" spans="1:8">
      <c r="A20" s="83" t="s">
        <v>267</v>
      </c>
      <c r="B20" s="84"/>
      <c r="C20" s="84"/>
      <c r="D20" s="84"/>
      <c r="E20" s="84"/>
      <c r="F20" s="84">
        <f>+B20+D20</f>
        <v>0</v>
      </c>
      <c r="G20" s="85">
        <f>+C20+E20</f>
        <v>0</v>
      </c>
    </row>
    <row r="21" spans="1:8">
      <c r="A21" s="83" t="s">
        <v>268</v>
      </c>
      <c r="B21" s="84"/>
      <c r="C21" s="84"/>
      <c r="D21" s="84"/>
      <c r="E21" s="84"/>
      <c r="F21" s="84">
        <f>+B21+D21</f>
        <v>0</v>
      </c>
      <c r="G21" s="85">
        <f>+C21+E21</f>
        <v>0</v>
      </c>
    </row>
    <row r="22" spans="1:8">
      <c r="A22" s="79" t="s">
        <v>269</v>
      </c>
      <c r="B22" s="80">
        <v>0</v>
      </c>
      <c r="C22" s="80">
        <v>0</v>
      </c>
      <c r="D22" s="80">
        <v>0</v>
      </c>
      <c r="E22" s="80">
        <v>0</v>
      </c>
      <c r="F22" s="80">
        <v>0</v>
      </c>
      <c r="G22" s="81">
        <v>0</v>
      </c>
    </row>
    <row r="23" spans="1:8">
      <c r="A23" s="79" t="s">
        <v>270</v>
      </c>
      <c r="B23" s="80">
        <f t="shared" ref="B23:G23" si="6">+B24</f>
        <v>310000000</v>
      </c>
      <c r="C23" s="80">
        <f t="shared" si="6"/>
        <v>58580659</v>
      </c>
      <c r="D23" s="80">
        <f t="shared" si="6"/>
        <v>0</v>
      </c>
      <c r="E23" s="80">
        <f t="shared" si="6"/>
        <v>0</v>
      </c>
      <c r="F23" s="80">
        <f t="shared" si="6"/>
        <v>310000000</v>
      </c>
      <c r="G23" s="81">
        <f t="shared" si="6"/>
        <v>58580659</v>
      </c>
    </row>
    <row r="24" spans="1:8">
      <c r="A24" s="83" t="s">
        <v>271</v>
      </c>
      <c r="B24" s="84">
        <v>310000000</v>
      </c>
      <c r="C24" s="84">
        <v>58580659</v>
      </c>
      <c r="D24" s="84"/>
      <c r="E24" s="84"/>
      <c r="F24" s="84">
        <f>+B24+D24</f>
        <v>310000000</v>
      </c>
      <c r="G24" s="85">
        <f>+C24+E24</f>
        <v>58580659</v>
      </c>
    </row>
    <row r="25" spans="1:8">
      <c r="A25" s="79" t="s">
        <v>272</v>
      </c>
      <c r="B25" s="80">
        <v>0</v>
      </c>
      <c r="C25" s="80">
        <v>0</v>
      </c>
      <c r="D25" s="80">
        <v>0</v>
      </c>
      <c r="E25" s="80">
        <v>0</v>
      </c>
      <c r="F25" s="80">
        <v>0</v>
      </c>
      <c r="G25" s="81">
        <v>0</v>
      </c>
    </row>
    <row r="26" spans="1:8">
      <c r="A26" s="79" t="s">
        <v>273</v>
      </c>
      <c r="B26" s="80">
        <f>+B9+B10+B14+B19+B22+B23+B25</f>
        <v>5407074743</v>
      </c>
      <c r="C26" s="80">
        <f>+C9+C10+C14+C19+C22+C23+C25</f>
        <v>2043795825</v>
      </c>
      <c r="D26" s="80">
        <f>+D9+D10+D14+D19+D22+D23+D25</f>
        <v>1740302000</v>
      </c>
      <c r="E26" s="80">
        <f>+E9+E10+E14+E19+E22+E23+E25</f>
        <v>978690419</v>
      </c>
      <c r="F26" s="80">
        <f>+F9+F10+F14+F19+F22+F23+F25</f>
        <v>7147376743</v>
      </c>
      <c r="G26" s="85">
        <f t="shared" ref="G26:G53" si="7">+C26+E26</f>
        <v>3022486244</v>
      </c>
      <c r="H26" s="86" t="s">
        <v>246</v>
      </c>
    </row>
    <row r="27" spans="1:8" ht="13.5" thickBot="1">
      <c r="A27" s="87" t="s">
        <v>246</v>
      </c>
      <c r="B27" s="88" t="s">
        <v>246</v>
      </c>
      <c r="C27" s="88" t="s">
        <v>246</v>
      </c>
      <c r="D27" s="88" t="s">
        <v>246</v>
      </c>
      <c r="E27" s="88"/>
      <c r="F27" s="89"/>
      <c r="G27" s="90" t="s">
        <v>246</v>
      </c>
    </row>
    <row r="28" spans="1:8">
      <c r="A28" s="91" t="s">
        <v>274</v>
      </c>
      <c r="B28" s="92">
        <f>+B29+B34+B40+B44+B47+B49</f>
        <v>22346335128</v>
      </c>
      <c r="C28" s="92">
        <f>+C29+C34+C40+C44+C47+C49</f>
        <v>9448616230</v>
      </c>
      <c r="D28" s="92">
        <f>+D29+D34+D40+D44+D47+D49</f>
        <v>1540000000</v>
      </c>
      <c r="E28" s="92">
        <f>+E29+E34+E40+E44+E47+E49</f>
        <v>786270865</v>
      </c>
      <c r="F28" s="92">
        <f t="shared" ref="F28:F53" si="8">+B28+D28</f>
        <v>23886335128</v>
      </c>
      <c r="G28" s="93">
        <f t="shared" si="7"/>
        <v>10234887095</v>
      </c>
      <c r="H28" s="72" t="s">
        <v>246</v>
      </c>
    </row>
    <row r="29" spans="1:8">
      <c r="A29" s="94" t="s">
        <v>275</v>
      </c>
      <c r="B29" s="95">
        <f>+B31+B32+B33</f>
        <v>2439541574</v>
      </c>
      <c r="C29" s="95">
        <f>+C31+C32+C33</f>
        <v>1241009471</v>
      </c>
      <c r="D29" s="95">
        <f>+D31+D32+D33</f>
        <v>0</v>
      </c>
      <c r="E29" s="95">
        <f>+E31+E32+E33</f>
        <v>0</v>
      </c>
      <c r="F29" s="95">
        <f>+F31+F32+F33</f>
        <v>2439541574</v>
      </c>
      <c r="G29" s="81">
        <f t="shared" si="7"/>
        <v>1241009471</v>
      </c>
    </row>
    <row r="30" spans="1:8" ht="39" customHeight="1" thickBot="1">
      <c r="A30" s="96" t="s">
        <v>276</v>
      </c>
      <c r="B30" s="95"/>
      <c r="C30" s="95"/>
      <c r="D30" s="95"/>
      <c r="E30" s="95"/>
      <c r="F30" s="80">
        <f t="shared" si="8"/>
        <v>0</v>
      </c>
      <c r="G30" s="81">
        <f t="shared" si="7"/>
        <v>0</v>
      </c>
    </row>
    <row r="31" spans="1:8" ht="24.75" customHeight="1">
      <c r="A31" s="97" t="s">
        <v>277</v>
      </c>
      <c r="B31" s="98">
        <v>1864541574</v>
      </c>
      <c r="C31" s="98">
        <v>1113376773</v>
      </c>
      <c r="D31" s="98"/>
      <c r="E31" s="98"/>
      <c r="F31" s="84">
        <f t="shared" si="8"/>
        <v>1864541574</v>
      </c>
      <c r="G31" s="85">
        <f t="shared" si="7"/>
        <v>1113376773</v>
      </c>
    </row>
    <row r="32" spans="1:8" ht="21">
      <c r="A32" s="97" t="s">
        <v>278</v>
      </c>
      <c r="B32" s="98">
        <v>350000000</v>
      </c>
      <c r="C32" s="98">
        <v>95715832</v>
      </c>
      <c r="D32" s="98"/>
      <c r="E32" s="98"/>
      <c r="F32" s="84">
        <f t="shared" si="8"/>
        <v>350000000</v>
      </c>
      <c r="G32" s="85">
        <f t="shared" si="7"/>
        <v>95715832</v>
      </c>
    </row>
    <row r="33" spans="1:8">
      <c r="A33" s="97" t="s">
        <v>279</v>
      </c>
      <c r="B33" s="98">
        <v>225000000</v>
      </c>
      <c r="C33" s="99">
        <v>31916866</v>
      </c>
      <c r="D33" s="98"/>
      <c r="E33" s="98"/>
      <c r="F33" s="84">
        <f t="shared" si="8"/>
        <v>225000000</v>
      </c>
      <c r="G33" s="85">
        <f t="shared" si="7"/>
        <v>31916866</v>
      </c>
    </row>
    <row r="34" spans="1:8">
      <c r="A34" s="94" t="s">
        <v>280</v>
      </c>
      <c r="B34" s="95">
        <f t="shared" ref="B34:G34" si="9">+B36+B37+B38+B39</f>
        <v>8072344572</v>
      </c>
      <c r="C34" s="95">
        <f t="shared" si="9"/>
        <v>3760932435</v>
      </c>
      <c r="D34" s="95">
        <f t="shared" si="9"/>
        <v>1540000000</v>
      </c>
      <c r="E34" s="95">
        <f t="shared" si="9"/>
        <v>786270865</v>
      </c>
      <c r="F34" s="95">
        <f t="shared" si="9"/>
        <v>9612344572</v>
      </c>
      <c r="G34" s="100">
        <f t="shared" si="9"/>
        <v>4547203300</v>
      </c>
    </row>
    <row r="35" spans="1:8" ht="24.75" thickBot="1">
      <c r="A35" s="96" t="s">
        <v>281</v>
      </c>
      <c r="B35" s="95"/>
      <c r="C35" s="95"/>
      <c r="D35" s="95"/>
      <c r="E35" s="95"/>
      <c r="F35" s="84">
        <f t="shared" si="8"/>
        <v>0</v>
      </c>
      <c r="G35" s="85">
        <f t="shared" si="7"/>
        <v>0</v>
      </c>
    </row>
    <row r="36" spans="1:8" ht="21">
      <c r="A36" s="97" t="s">
        <v>282</v>
      </c>
      <c r="B36" s="98">
        <v>2713871379</v>
      </c>
      <c r="C36" s="98">
        <v>2134860420</v>
      </c>
      <c r="D36" s="98">
        <v>0</v>
      </c>
      <c r="E36" s="98">
        <v>0</v>
      </c>
      <c r="F36" s="84">
        <f t="shared" si="8"/>
        <v>2713871379</v>
      </c>
      <c r="G36" s="85">
        <f t="shared" si="7"/>
        <v>2134860420</v>
      </c>
    </row>
    <row r="37" spans="1:8" ht="27" customHeight="1">
      <c r="A37" s="97" t="s">
        <v>283</v>
      </c>
      <c r="B37" s="98">
        <v>2103012723</v>
      </c>
      <c r="C37" s="98">
        <v>643283684</v>
      </c>
      <c r="D37" s="98">
        <v>1540000000</v>
      </c>
      <c r="E37" s="98">
        <v>786270865</v>
      </c>
      <c r="F37" s="84">
        <f t="shared" si="8"/>
        <v>3643012723</v>
      </c>
      <c r="G37" s="85">
        <f t="shared" si="7"/>
        <v>1429554549</v>
      </c>
      <c r="H37" s="72" t="s">
        <v>246</v>
      </c>
    </row>
    <row r="38" spans="1:8" ht="21">
      <c r="A38" s="97" t="s">
        <v>284</v>
      </c>
      <c r="B38" s="98">
        <v>2211505468</v>
      </c>
      <c r="C38" s="98">
        <v>373546701</v>
      </c>
      <c r="D38" s="98"/>
      <c r="E38" s="98"/>
      <c r="F38" s="84">
        <f t="shared" si="8"/>
        <v>2211505468</v>
      </c>
      <c r="G38" s="85">
        <f t="shared" si="7"/>
        <v>373546701</v>
      </c>
    </row>
    <row r="39" spans="1:8" ht="21">
      <c r="A39" s="97" t="s">
        <v>285</v>
      </c>
      <c r="B39" s="98">
        <v>1043955002</v>
      </c>
      <c r="C39" s="98">
        <v>609241630</v>
      </c>
      <c r="D39" s="98"/>
      <c r="E39" s="98"/>
      <c r="F39" s="84">
        <f t="shared" si="8"/>
        <v>1043955002</v>
      </c>
      <c r="G39" s="85">
        <f t="shared" si="7"/>
        <v>609241630</v>
      </c>
    </row>
    <row r="40" spans="1:8">
      <c r="A40" s="94" t="s">
        <v>286</v>
      </c>
      <c r="B40" s="95">
        <f t="shared" ref="B40:G40" si="10">+B42+B43</f>
        <v>2015527581</v>
      </c>
      <c r="C40" s="95">
        <f t="shared" si="10"/>
        <v>1256815079</v>
      </c>
      <c r="D40" s="95">
        <f t="shared" si="10"/>
        <v>0</v>
      </c>
      <c r="E40" s="95">
        <f t="shared" si="10"/>
        <v>0</v>
      </c>
      <c r="F40" s="95">
        <f t="shared" si="10"/>
        <v>2015527581</v>
      </c>
      <c r="G40" s="100">
        <f t="shared" si="10"/>
        <v>1256815079</v>
      </c>
    </row>
    <row r="41" spans="1:8" ht="54" customHeight="1" thickBot="1">
      <c r="A41" s="96" t="s">
        <v>287</v>
      </c>
      <c r="B41" s="95"/>
      <c r="C41" s="95"/>
      <c r="D41" s="95"/>
      <c r="E41" s="95"/>
      <c r="F41" s="84">
        <f t="shared" si="8"/>
        <v>0</v>
      </c>
      <c r="G41" s="85">
        <f t="shared" si="7"/>
        <v>0</v>
      </c>
    </row>
    <row r="42" spans="1:8">
      <c r="A42" s="97" t="s">
        <v>288</v>
      </c>
      <c r="B42" s="98">
        <v>320000000</v>
      </c>
      <c r="C42" s="98">
        <v>221420184</v>
      </c>
      <c r="D42" s="98"/>
      <c r="E42" s="98"/>
      <c r="F42" s="84">
        <f t="shared" si="8"/>
        <v>320000000</v>
      </c>
      <c r="G42" s="85">
        <f t="shared" si="7"/>
        <v>221420184</v>
      </c>
    </row>
    <row r="43" spans="1:8">
      <c r="A43" s="97" t="s">
        <v>289</v>
      </c>
      <c r="B43" s="98">
        <v>1695527581</v>
      </c>
      <c r="C43" s="98">
        <v>1035394895</v>
      </c>
      <c r="D43" s="98"/>
      <c r="E43" s="98"/>
      <c r="F43" s="84">
        <f t="shared" si="8"/>
        <v>1695527581</v>
      </c>
      <c r="G43" s="85">
        <f t="shared" si="7"/>
        <v>1035394895</v>
      </c>
    </row>
    <row r="44" spans="1:8" ht="36" customHeight="1" thickBot="1">
      <c r="A44" s="96" t="s">
        <v>290</v>
      </c>
      <c r="B44" s="101">
        <f t="shared" ref="B44:G44" si="11">+B45+B46</f>
        <v>5266813192</v>
      </c>
      <c r="C44" s="101">
        <f t="shared" si="11"/>
        <v>1652307925</v>
      </c>
      <c r="D44" s="101">
        <f t="shared" si="11"/>
        <v>0</v>
      </c>
      <c r="E44" s="101">
        <f t="shared" si="11"/>
        <v>0</v>
      </c>
      <c r="F44" s="101">
        <f t="shared" si="11"/>
        <v>5266813192</v>
      </c>
      <c r="G44" s="102">
        <f t="shared" si="11"/>
        <v>1652307925</v>
      </c>
    </row>
    <row r="45" spans="1:8" ht="23.25" customHeight="1">
      <c r="A45" s="97" t="s">
        <v>291</v>
      </c>
      <c r="B45" s="98">
        <v>3711050806</v>
      </c>
      <c r="C45" s="98">
        <v>1403140857</v>
      </c>
      <c r="D45" s="98"/>
      <c r="E45" s="98"/>
      <c r="F45" s="84">
        <f t="shared" si="8"/>
        <v>3711050806</v>
      </c>
      <c r="G45" s="85">
        <f t="shared" si="7"/>
        <v>1403140857</v>
      </c>
    </row>
    <row r="46" spans="1:8" ht="30" customHeight="1">
      <c r="A46" s="97" t="s">
        <v>292</v>
      </c>
      <c r="B46" s="98">
        <v>1555762386</v>
      </c>
      <c r="C46" s="98">
        <v>249167068</v>
      </c>
      <c r="D46" s="98"/>
      <c r="E46" s="98"/>
      <c r="F46" s="84">
        <f t="shared" si="8"/>
        <v>1555762386</v>
      </c>
      <c r="G46" s="85">
        <f t="shared" si="7"/>
        <v>249167068</v>
      </c>
    </row>
    <row r="47" spans="1:8" ht="36.75" customHeight="1" thickBot="1">
      <c r="A47" s="96" t="s">
        <v>293</v>
      </c>
      <c r="B47" s="101">
        <f t="shared" ref="B47:G47" si="12">+B48</f>
        <v>410231113</v>
      </c>
      <c r="C47" s="101">
        <f t="shared" si="12"/>
        <v>38867961</v>
      </c>
      <c r="D47" s="101">
        <f t="shared" si="12"/>
        <v>0</v>
      </c>
      <c r="E47" s="101">
        <f t="shared" si="12"/>
        <v>0</v>
      </c>
      <c r="F47" s="101">
        <f t="shared" si="12"/>
        <v>410231113</v>
      </c>
      <c r="G47" s="102">
        <f t="shared" si="12"/>
        <v>38867961</v>
      </c>
    </row>
    <row r="48" spans="1:8" ht="21">
      <c r="A48" s="103" t="s">
        <v>294</v>
      </c>
      <c r="B48" s="98">
        <v>410231113</v>
      </c>
      <c r="C48" s="98">
        <v>38867961</v>
      </c>
      <c r="D48" s="98"/>
      <c r="E48" s="98"/>
      <c r="F48" s="84">
        <f t="shared" si="8"/>
        <v>410231113</v>
      </c>
      <c r="G48" s="85">
        <f t="shared" si="7"/>
        <v>38867961</v>
      </c>
    </row>
    <row r="49" spans="1:7" ht="27" customHeight="1" thickBot="1">
      <c r="A49" s="96" t="s">
        <v>295</v>
      </c>
      <c r="B49" s="95">
        <f t="shared" ref="B49:G49" si="13">+B50+B51</f>
        <v>4141877096</v>
      </c>
      <c r="C49" s="95">
        <f t="shared" si="13"/>
        <v>1498683359</v>
      </c>
      <c r="D49" s="95">
        <f t="shared" si="13"/>
        <v>0</v>
      </c>
      <c r="E49" s="95">
        <f t="shared" si="13"/>
        <v>0</v>
      </c>
      <c r="F49" s="95">
        <f t="shared" si="13"/>
        <v>4141877096</v>
      </c>
      <c r="G49" s="100">
        <f t="shared" si="13"/>
        <v>1498683359</v>
      </c>
    </row>
    <row r="50" spans="1:7" ht="21">
      <c r="A50" s="104" t="s">
        <v>296</v>
      </c>
      <c r="B50" s="98">
        <v>1266511705</v>
      </c>
      <c r="C50" s="98">
        <v>173510984</v>
      </c>
      <c r="D50" s="98"/>
      <c r="E50" s="98"/>
      <c r="F50" s="84">
        <f t="shared" si="8"/>
        <v>1266511705</v>
      </c>
      <c r="G50" s="85">
        <f t="shared" si="7"/>
        <v>173510984</v>
      </c>
    </row>
    <row r="51" spans="1:7">
      <c r="A51" s="104" t="s">
        <v>297</v>
      </c>
      <c r="B51" s="98">
        <v>2875365391</v>
      </c>
      <c r="C51" s="98">
        <v>1325172375</v>
      </c>
      <c r="D51" s="98"/>
      <c r="E51" s="98"/>
      <c r="F51" s="84">
        <f t="shared" si="8"/>
        <v>2875365391</v>
      </c>
      <c r="G51" s="85">
        <f t="shared" si="7"/>
        <v>1325172375</v>
      </c>
    </row>
    <row r="52" spans="1:7">
      <c r="A52" s="94" t="s">
        <v>246</v>
      </c>
      <c r="B52" s="95">
        <v>0</v>
      </c>
      <c r="C52" s="95">
        <v>0</v>
      </c>
      <c r="D52" s="95">
        <v>0</v>
      </c>
      <c r="E52" s="95">
        <v>0</v>
      </c>
      <c r="F52" s="84">
        <f t="shared" si="8"/>
        <v>0</v>
      </c>
      <c r="G52" s="85">
        <f t="shared" si="7"/>
        <v>0</v>
      </c>
    </row>
    <row r="53" spans="1:7">
      <c r="A53" s="105" t="s">
        <v>298</v>
      </c>
      <c r="B53" s="80">
        <v>0</v>
      </c>
      <c r="C53" s="80">
        <v>0</v>
      </c>
      <c r="D53" s="80">
        <v>0</v>
      </c>
      <c r="E53" s="80">
        <v>0</v>
      </c>
      <c r="F53" s="84">
        <f t="shared" si="8"/>
        <v>0</v>
      </c>
      <c r="G53" s="85">
        <f t="shared" si="7"/>
        <v>0</v>
      </c>
    </row>
    <row r="54" spans="1:7">
      <c r="A54" s="106">
        <v>0</v>
      </c>
      <c r="B54" s="107">
        <v>0</v>
      </c>
      <c r="C54" s="107"/>
      <c r="D54" s="107"/>
      <c r="E54" s="107"/>
      <c r="F54" s="80"/>
      <c r="G54" s="81"/>
    </row>
    <row r="55" spans="1:7" ht="13.5" thickBot="1">
      <c r="A55" s="108" t="s">
        <v>299</v>
      </c>
      <c r="B55" s="109">
        <f t="shared" ref="B55:G55" si="14">+B26+B28+B53</f>
        <v>27753409871</v>
      </c>
      <c r="C55" s="109">
        <f t="shared" si="14"/>
        <v>11492412055</v>
      </c>
      <c r="D55" s="109">
        <f t="shared" si="14"/>
        <v>3280302000</v>
      </c>
      <c r="E55" s="109">
        <f t="shared" si="14"/>
        <v>1764961284</v>
      </c>
      <c r="F55" s="109">
        <f t="shared" si="14"/>
        <v>31033711871</v>
      </c>
      <c r="G55" s="110">
        <f t="shared" si="14"/>
        <v>13257373339</v>
      </c>
    </row>
    <row r="56" spans="1:7" ht="27.75" customHeight="1">
      <c r="A56" s="111"/>
      <c r="B56" s="112" t="s">
        <v>246</v>
      </c>
      <c r="C56" s="113" t="s">
        <v>246</v>
      </c>
      <c r="D56" s="112"/>
      <c r="E56" s="112" t="s">
        <v>246</v>
      </c>
      <c r="F56" s="112"/>
      <c r="G56" s="112" t="s">
        <v>246</v>
      </c>
    </row>
    <row r="57" spans="1:7" ht="32.25" customHeight="1">
      <c r="A57" s="114"/>
      <c r="B57" s="114" t="s">
        <v>246</v>
      </c>
      <c r="C57" s="114"/>
      <c r="D57" s="114" t="s">
        <v>246</v>
      </c>
      <c r="E57" s="114"/>
      <c r="F57" s="114"/>
      <c r="G57" s="114"/>
    </row>
    <row r="58" spans="1:7">
      <c r="A58" s="115"/>
      <c r="B58" s="116" t="s">
        <v>246</v>
      </c>
      <c r="C58" s="117"/>
      <c r="D58" s="117"/>
      <c r="E58" s="116" t="s">
        <v>246</v>
      </c>
      <c r="F58" s="116">
        <f>+F55-[7]Hoja1!$F$37</f>
        <v>0</v>
      </c>
      <c r="G58" s="116" t="s">
        <v>246</v>
      </c>
    </row>
    <row r="59" spans="1:7">
      <c r="A59" s="115"/>
      <c r="B59" s="118" t="s">
        <v>246</v>
      </c>
      <c r="C59" s="117"/>
      <c r="D59" s="117"/>
      <c r="E59" s="117"/>
      <c r="F59" s="116" t="e">
        <f>+[7]Hoja1!$J$207</f>
        <v>#REF!</v>
      </c>
      <c r="G59" s="116" t="s">
        <v>246</v>
      </c>
    </row>
    <row r="60" spans="1:7">
      <c r="A60" s="115"/>
      <c r="B60" s="117"/>
      <c r="C60" s="117"/>
      <c r="D60" s="117"/>
      <c r="E60" s="117"/>
      <c r="F60" s="116" t="e">
        <f>+F58-F59</f>
        <v>#REF!</v>
      </c>
      <c r="G60" s="117"/>
    </row>
    <row r="61" spans="1:7">
      <c r="A61" s="119"/>
    </row>
    <row r="62" spans="1:7">
      <c r="A62" s="120"/>
    </row>
    <row r="63" spans="1:7">
      <c r="A63" s="120"/>
    </row>
    <row r="64" spans="1:7">
      <c r="A64" s="120"/>
    </row>
    <row r="65" spans="1:1">
      <c r="A65" s="121"/>
    </row>
    <row r="66" spans="1:1" ht="15.75" customHeight="1">
      <c r="A66" s="121"/>
    </row>
    <row r="67" spans="1:1">
      <c r="A67" s="121"/>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MATRIZ GENERAL CONSOLIDADA</vt:lpstr>
      <vt:lpstr>Anexo 1 Matriz SINA Inf Gestión</vt:lpstr>
      <vt:lpstr>Anexo 2 Matriz Inf. Ejecución</vt:lpstr>
      <vt:lpstr>CUATRIENIO</vt:lpstr>
      <vt:lpstr>INGRESOS </vt:lpstr>
      <vt:lpstr>GASTOS </vt:lpstr>
      <vt:lpstr>ANEXO 5.1 ING</vt:lpstr>
      <vt:lpstr>Anexo 3 Matriz Ind Min Jun</vt:lpstr>
      <vt:lpstr>Anexo 5-2 Gastos</vt:lpstr>
      <vt:lpstr>Anexo 2 Protocolo Inf Gestión</vt:lpstr>
      <vt:lpstr>Anexo 4 ProtocoloMatrizINdica</vt:lpstr>
      <vt:lpstr>Hoja1</vt:lpstr>
      <vt:lpstr>Hoja2</vt:lpstr>
      <vt:lpstr>'Anexo 1 Matriz SINA Inf Gestión'!Área_de_impresión</vt:lpstr>
      <vt:lpstr>'Anexo 2 Matriz Inf. Ejecución'!Área_de_impresión</vt:lpstr>
      <vt:lpstr>'Anexo 2 Protocolo Inf Gestión'!Área_de_impresión</vt:lpstr>
      <vt:lpstr>'Anexo 4 ProtocoloMatrizINdica'!Área_de_impresión</vt:lpstr>
      <vt:lpstr>'Anexo 5-2 Gastos'!Área_de_impresión</vt:lpstr>
      <vt:lpstr>CUATRIENIO!Área_de_impresión</vt:lpstr>
      <vt:lpstr>'Anexo 1 Matriz SINA Inf Gestión'!Títulos_a_imprimir</vt:lpstr>
      <vt:lpstr>'Anexo 2 Matriz Inf. Ejecución'!Títulos_a_imprimir</vt:lpstr>
      <vt:lpstr>'Anexo 3 Matriz Ind Min Jun'!Títulos_a_imprimir</vt:lpstr>
      <vt:lpstr>'Anexo 5-2 Gastos'!Títulos_a_imprimir</vt:lpstr>
      <vt:lpstr>'MATRIZ GENERAL CONSOLIDADA'!Títulos_a_imprimir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Ronal Estith Dussan Quiacha</cp:lastModifiedBy>
  <cp:lastPrinted>2020-07-23T23:47:59Z</cp:lastPrinted>
  <dcterms:created xsi:type="dcterms:W3CDTF">2004-01-28T22:51:19Z</dcterms:created>
  <dcterms:modified xsi:type="dcterms:W3CDTF">2020-07-24T20:55:36Z</dcterms:modified>
</cp:coreProperties>
</file>