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comments1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comments2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Mi unidad\PLANEACIÓN\LEIDY\2. POAI\POAI 2024 ARMONIZADO\POAI INICIAL JUNIO 13\"/>
    </mc:Choice>
  </mc:AlternateContent>
  <bookViews>
    <workbookView xWindow="0" yWindow="0" windowWidth="9600" windowHeight="10200" firstSheet="33" activeTab="34"/>
  </bookViews>
  <sheets>
    <sheet name="1. Estructuras PAI" sheetId="30" state="hidden" r:id="rId1"/>
    <sheet name="2. FUENTES" sheetId="79" state="hidden" r:id="rId2"/>
    <sheet name="3. PPTOS INICIALES" sheetId="93" state="hidden" r:id="rId3"/>
    <sheet name="4. NOMINA" sheetId="77" state="hidden" r:id="rId4"/>
    <sheet name="5. MATRIZ INIDICA. " sheetId="88" state="hidden" r:id="rId5"/>
    <sheet name="6. RESOLUCIONES PAC 2020-2023" sheetId="91" r:id="rId6"/>
    <sheet name="7. COMP.INDIC" sheetId="86" state="hidden" r:id="rId7"/>
    <sheet name="RESUMEN PAC" sheetId="104" state="hidden" r:id="rId8"/>
    <sheet name="CONSOLIDADO" sheetId="40" r:id="rId9"/>
    <sheet name="320101" sheetId="41" r:id="rId10"/>
    <sheet name="ACCIONES 320101" sheetId="62" r:id="rId11"/>
    <sheet name="320102" sheetId="42" r:id="rId12"/>
    <sheet name="ACCIONES 320102" sheetId="63" r:id="rId13"/>
    <sheet name="320201" sheetId="99" r:id="rId14"/>
    <sheet name="ACCIONES 320201" sheetId="94" r:id="rId15"/>
    <sheet name="320202" sheetId="98" r:id="rId16"/>
    <sheet name="ACCIONES 320202" sheetId="65" r:id="rId17"/>
    <sheet name="320301" sheetId="101" r:id="rId18"/>
    <sheet name="ACCIONES 320301" sheetId="97" r:id="rId19"/>
    <sheet name="320302" sheetId="100" r:id="rId20"/>
    <sheet name="ACCIONES 320302" sheetId="96" r:id="rId21"/>
    <sheet name="320303" sheetId="47" r:id="rId22"/>
    <sheet name="ACCIONES 320303" sheetId="76" r:id="rId23"/>
    <sheet name="320401" sheetId="49" r:id="rId24"/>
    <sheet name="ACCIONES 320401" sheetId="69" r:id="rId25"/>
    <sheet name="320501" sheetId="50" r:id="rId26"/>
    <sheet name="ACCIONES 320501" sheetId="70" r:id="rId27"/>
    <sheet name="320502" sheetId="52" r:id="rId28"/>
    <sheet name="ACCIONES 320502" sheetId="71" r:id="rId29"/>
    <sheet name="320503" sheetId="53" r:id="rId30"/>
    <sheet name="ACCIONES 320503" sheetId="90" r:id="rId31"/>
    <sheet name="320601" sheetId="54" r:id="rId32"/>
    <sheet name="ACCIONES 320601" sheetId="73" r:id="rId33"/>
    <sheet name="320801" sheetId="51" r:id="rId34"/>
    <sheet name="ACCIONES 320801" sheetId="89" r:id="rId35"/>
    <sheet name="329901" sheetId="55" r:id="rId36"/>
    <sheet name="ACCIONES 329901" sheetId="87" r:id="rId37"/>
    <sheet name="329902" sheetId="103" r:id="rId38"/>
    <sheet name="ACCIONES 329902" sheetId="85" r:id="rId39"/>
    <sheet name="ACTIVIDADES QUE NO TIENEN META" sheetId="105" r:id="rId40"/>
  </sheets>
  <definedNames>
    <definedName name="_xlnm._FilterDatabase" localSheetId="13" hidden="1">'320201'!$A$8:$AB$20</definedName>
    <definedName name="_xlnm._FilterDatabase" localSheetId="15" hidden="1">'320202'!$A$8:$V$15</definedName>
    <definedName name="_xlnm._FilterDatabase" localSheetId="6" hidden="1">'7. COMP.INDIC'!$A$3:$P$93</definedName>
    <definedName name="_xlnm._FilterDatabase" localSheetId="10" hidden="1">'ACCIONES 320101'!$A$7:$Z$54</definedName>
    <definedName name="_xlnm._FilterDatabase" localSheetId="12" hidden="1">'ACCIONES 320102'!$A$9:$X$45</definedName>
    <definedName name="_xlnm._FilterDatabase" localSheetId="14" hidden="1">'ACCIONES 320201'!$A$8:$AF$126</definedName>
    <definedName name="_xlnm._FilterDatabase" localSheetId="16" hidden="1">'ACCIONES 320202'!$A$9:$T$38</definedName>
    <definedName name="_xlnm._FilterDatabase" localSheetId="18" hidden="1">'ACCIONES 320301'!$A$9:$U$79</definedName>
    <definedName name="_xlnm._FilterDatabase" localSheetId="20" hidden="1">'ACCIONES 320302'!$A$9:$AC$55</definedName>
    <definedName name="_xlnm._FilterDatabase" localSheetId="24" hidden="1">'ACCIONES 320401'!$A$9:$V$45</definedName>
    <definedName name="_xlnm._FilterDatabase" localSheetId="26" hidden="1">'ACCIONES 320501'!$A$11:$AA$11</definedName>
    <definedName name="_xlnm._FilterDatabase" localSheetId="28" hidden="1">'ACCIONES 320502'!$A$9:$W$34</definedName>
    <definedName name="_xlnm._FilterDatabase" localSheetId="30" hidden="1">'ACCIONES 320503'!$A$9:$X$22</definedName>
    <definedName name="_xlnm._FilterDatabase" localSheetId="32" hidden="1">'ACCIONES 320601'!$A$9:$X$27</definedName>
    <definedName name="_xlnm._FilterDatabase" localSheetId="34" hidden="1">'ACCIONES 320801'!$A$9:$Z$62</definedName>
    <definedName name="_xlnm._FilterDatabase" localSheetId="36" hidden="1">'ACCIONES 329901'!$A$10:$AV$90</definedName>
    <definedName name="_xlnm.Print_Area" localSheetId="32">'ACCIONES 320601'!$C$1:$L$29</definedName>
  </definedNames>
  <calcPr calcId="162913"/>
  <pivotCaches>
    <pivotCache cacheId="27" r:id="rId4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62" l="1"/>
  <c r="J164" i="85" l="1"/>
  <c r="J165" i="85" l="1"/>
  <c r="K12" i="97"/>
  <c r="I111" i="85"/>
  <c r="I112" i="85"/>
  <c r="I150" i="85"/>
  <c r="K28" i="97"/>
  <c r="I28" i="97"/>
  <c r="O163" i="85" l="1"/>
  <c r="X162" i="85"/>
  <c r="S162" i="85"/>
  <c r="J162" i="85"/>
  <c r="N162" i="85" s="1"/>
  <c r="T162" i="85" l="1"/>
  <c r="J270" i="85"/>
  <c r="X270" i="85"/>
  <c r="S270" i="85"/>
  <c r="N270" i="85"/>
  <c r="Q106" i="85"/>
  <c r="S106" i="85" s="1"/>
  <c r="S105" i="85"/>
  <c r="U230" i="85"/>
  <c r="X230" i="85" s="1"/>
  <c r="S230" i="85"/>
  <c r="N230" i="85"/>
  <c r="J206" i="85"/>
  <c r="J204" i="85"/>
  <c r="X205" i="85"/>
  <c r="S205" i="85"/>
  <c r="N205" i="85"/>
  <c r="X203" i="85"/>
  <c r="S203" i="85"/>
  <c r="N203" i="85"/>
  <c r="T203" i="85" s="1"/>
  <c r="X188" i="85"/>
  <c r="S188" i="85"/>
  <c r="N188" i="85"/>
  <c r="X187" i="85"/>
  <c r="S187" i="85"/>
  <c r="N187" i="85"/>
  <c r="P21" i="85"/>
  <c r="J21" i="85"/>
  <c r="X20" i="85"/>
  <c r="S20" i="85"/>
  <c r="N20" i="85"/>
  <c r="Q27" i="85"/>
  <c r="X26" i="85"/>
  <c r="S26" i="85"/>
  <c r="N26" i="85"/>
  <c r="P113" i="85"/>
  <c r="X112" i="85"/>
  <c r="S112" i="85"/>
  <c r="N112" i="85"/>
  <c r="X106" i="85"/>
  <c r="N106" i="85"/>
  <c r="T270" i="85" l="1"/>
  <c r="T106" i="85"/>
  <c r="T230" i="85"/>
  <c r="T205" i="85"/>
  <c r="T188" i="85"/>
  <c r="T187" i="85"/>
  <c r="T26" i="85"/>
  <c r="T20" i="85"/>
  <c r="T112" i="85"/>
  <c r="O34" i="97" l="1"/>
  <c r="Q33" i="97"/>
  <c r="M33" i="97"/>
  <c r="V38" i="97"/>
  <c r="Q38" i="97"/>
  <c r="M38" i="97"/>
  <c r="V36" i="97"/>
  <c r="Q36" i="97"/>
  <c r="M36" i="97"/>
  <c r="X149" i="85"/>
  <c r="S149" i="85"/>
  <c r="N149" i="85"/>
  <c r="R33" i="97" l="1"/>
  <c r="R36" i="97"/>
  <c r="R38" i="97"/>
  <c r="T149" i="85"/>
  <c r="M20" i="96" l="1"/>
  <c r="M21" i="96"/>
  <c r="M11" i="96" s="1"/>
  <c r="T21" i="96"/>
  <c r="L21" i="96"/>
  <c r="I23" i="96"/>
  <c r="T23" i="96"/>
  <c r="O23" i="96"/>
  <c r="L23" i="96"/>
  <c r="I16" i="96"/>
  <c r="I17" i="96" s="1"/>
  <c r="T16" i="96"/>
  <c r="O16" i="96"/>
  <c r="M12" i="76"/>
  <c r="K13" i="76"/>
  <c r="K11" i="76" s="1"/>
  <c r="T12" i="76"/>
  <c r="O12" i="76"/>
  <c r="N11" i="96"/>
  <c r="I15" i="96"/>
  <c r="T14" i="96"/>
  <c r="O14" i="96"/>
  <c r="L14" i="96"/>
  <c r="I13" i="96"/>
  <c r="T12" i="96"/>
  <c r="O12" i="96"/>
  <c r="L12" i="96"/>
  <c r="I18" i="96"/>
  <c r="I19" i="96" s="1"/>
  <c r="T18" i="96"/>
  <c r="O18" i="96"/>
  <c r="L18" i="96"/>
  <c r="I48" i="96"/>
  <c r="T47" i="96"/>
  <c r="O47" i="96"/>
  <c r="L47" i="96"/>
  <c r="J41" i="96"/>
  <c r="I41" i="96"/>
  <c r="T40" i="96"/>
  <c r="O40" i="96"/>
  <c r="L40" i="96"/>
  <c r="L41" i="96"/>
  <c r="O41" i="96"/>
  <c r="T41" i="96"/>
  <c r="R135" i="99"/>
  <c r="R136" i="98"/>
  <c r="R137" i="65"/>
  <c r="K46" i="94"/>
  <c r="K46" i="98"/>
  <c r="O55" i="94"/>
  <c r="X54" i="94"/>
  <c r="P54" i="94"/>
  <c r="J54" i="94"/>
  <c r="N54" i="94" s="1"/>
  <c r="J72" i="94"/>
  <c r="X71" i="94"/>
  <c r="P71" i="94"/>
  <c r="N71" i="94"/>
  <c r="X73" i="94"/>
  <c r="X72" i="94"/>
  <c r="J22" i="94"/>
  <c r="N22" i="94" s="1"/>
  <c r="J23" i="94"/>
  <c r="X21" i="94"/>
  <c r="P21" i="94"/>
  <c r="N21" i="94"/>
  <c r="P22" i="94"/>
  <c r="X22" i="94"/>
  <c r="I31" i="65"/>
  <c r="P30" i="65"/>
  <c r="K30" i="65"/>
  <c r="J125" i="94"/>
  <c r="N125" i="94" s="1"/>
  <c r="N124" i="94"/>
  <c r="X124" i="94"/>
  <c r="P124" i="94"/>
  <c r="L16" i="96" l="1"/>
  <c r="O21" i="96"/>
  <c r="P21" i="96" s="1"/>
  <c r="I11" i="96"/>
  <c r="P23" i="96"/>
  <c r="P16" i="96"/>
  <c r="P12" i="76"/>
  <c r="P14" i="96"/>
  <c r="P12" i="96"/>
  <c r="P18" i="96"/>
  <c r="P41" i="96"/>
  <c r="P47" i="96"/>
  <c r="P40" i="96"/>
  <c r="R124" i="94"/>
  <c r="R21" i="94"/>
  <c r="R54" i="94"/>
  <c r="R71" i="94"/>
  <c r="R22" i="94"/>
  <c r="L13" i="70" l="1"/>
  <c r="N13" i="70" s="1"/>
  <c r="R13" i="70"/>
  <c r="I13" i="70"/>
  <c r="J13" i="70" s="1"/>
  <c r="K13" i="70" s="1"/>
  <c r="P75" i="87"/>
  <c r="Q75" i="87"/>
  <c r="M32" i="87"/>
  <c r="Y31" i="87"/>
  <c r="S31" i="87"/>
  <c r="O31" i="87"/>
  <c r="M85" i="87"/>
  <c r="Y84" i="87"/>
  <c r="S84" i="87"/>
  <c r="K84" i="87"/>
  <c r="O84" i="87" s="1"/>
  <c r="M72" i="87"/>
  <c r="O71" i="87"/>
  <c r="Y71" i="87"/>
  <c r="S71" i="87"/>
  <c r="J71" i="87"/>
  <c r="K71" i="87" s="1"/>
  <c r="L71" i="87" s="1"/>
  <c r="M44" i="87"/>
  <c r="X43" i="87"/>
  <c r="Y43" i="87" s="1"/>
  <c r="W43" i="87"/>
  <c r="V43" i="87"/>
  <c r="S43" i="87"/>
  <c r="O43" i="87"/>
  <c r="M74" i="87"/>
  <c r="O74" i="87" s="1"/>
  <c r="Y74" i="87"/>
  <c r="S74" i="87"/>
  <c r="M17" i="87"/>
  <c r="Y16" i="87"/>
  <c r="S16" i="87"/>
  <c r="K16" i="87"/>
  <c r="L16" i="87" s="1"/>
  <c r="O16" i="87" s="1"/>
  <c r="Y66" i="87"/>
  <c r="S66" i="87"/>
  <c r="K66" i="87"/>
  <c r="L66" i="87" s="1"/>
  <c r="O66" i="87" s="1"/>
  <c r="U66" i="87" s="1"/>
  <c r="Y51" i="87"/>
  <c r="S51" i="87"/>
  <c r="J51" i="87"/>
  <c r="K51" i="87" s="1"/>
  <c r="L51" i="87" s="1"/>
  <c r="M51" i="87" s="1"/>
  <c r="Y59" i="87"/>
  <c r="S59" i="87"/>
  <c r="K59" i="87"/>
  <c r="L59" i="87" s="1"/>
  <c r="M59" i="87" s="1"/>
  <c r="O59" i="87" s="1"/>
  <c r="M57" i="87"/>
  <c r="Y56" i="87"/>
  <c r="S56" i="87"/>
  <c r="O56" i="87"/>
  <c r="J56" i="87"/>
  <c r="K56" i="87" s="1"/>
  <c r="L56" i="87" s="1"/>
  <c r="M49" i="87"/>
  <c r="Y48" i="87"/>
  <c r="S48" i="87"/>
  <c r="O48" i="87"/>
  <c r="J48" i="87"/>
  <c r="K48" i="87" s="1"/>
  <c r="L48" i="87" s="1"/>
  <c r="L44" i="89"/>
  <c r="I44" i="89"/>
  <c r="T43" i="89"/>
  <c r="M43" i="89"/>
  <c r="K43" i="89"/>
  <c r="I36" i="89"/>
  <c r="K36" i="89" s="1"/>
  <c r="T36" i="89"/>
  <c r="M36" i="89"/>
  <c r="I18" i="89"/>
  <c r="K17" i="89"/>
  <c r="T17" i="89"/>
  <c r="M17" i="89"/>
  <c r="T37" i="89"/>
  <c r="M37" i="89"/>
  <c r="K37" i="89"/>
  <c r="M75" i="87" l="1"/>
  <c r="U84" i="87"/>
  <c r="U31" i="87"/>
  <c r="U16" i="87"/>
  <c r="U43" i="87"/>
  <c r="U56" i="87"/>
  <c r="U59" i="87"/>
  <c r="O51" i="87"/>
  <c r="U51" i="87" s="1"/>
  <c r="U48" i="87"/>
  <c r="U71" i="87"/>
  <c r="U74" i="87"/>
  <c r="O43" i="89"/>
  <c r="O37" i="89"/>
  <c r="O36" i="89"/>
  <c r="O17" i="89"/>
  <c r="I49" i="96"/>
  <c r="L13" i="76"/>
  <c r="L11" i="76" l="1"/>
  <c r="M13" i="76"/>
  <c r="S248" i="85"/>
  <c r="S247" i="85"/>
  <c r="N247" i="85"/>
  <c r="L248" i="85"/>
  <c r="J248" i="85"/>
  <c r="S246" i="85"/>
  <c r="N246" i="85"/>
  <c r="S296" i="85"/>
  <c r="S295" i="85"/>
  <c r="S165" i="85"/>
  <c r="S164" i="85"/>
  <c r="S213" i="85"/>
  <c r="S212" i="85"/>
  <c r="N212" i="85"/>
  <c r="L213" i="85"/>
  <c r="J213" i="85"/>
  <c r="X211" i="85"/>
  <c r="S211" i="85"/>
  <c r="N211" i="85"/>
  <c r="N164" i="85"/>
  <c r="L165" i="85"/>
  <c r="N295" i="85"/>
  <c r="X163" i="85"/>
  <c r="S163" i="85"/>
  <c r="N163" i="85"/>
  <c r="J296" i="85"/>
  <c r="N296" i="85" s="1"/>
  <c r="X294" i="85"/>
  <c r="S294" i="85"/>
  <c r="J294" i="85"/>
  <c r="I294" i="85"/>
  <c r="K30" i="71"/>
  <c r="N30" i="71" s="1"/>
  <c r="J31" i="71"/>
  <c r="K31" i="71" s="1"/>
  <c r="N31" i="71" s="1"/>
  <c r="R29" i="71"/>
  <c r="L29" i="71"/>
  <c r="J29" i="71"/>
  <c r="K29" i="71" s="1"/>
  <c r="N29" i="71" s="1"/>
  <c r="H18" i="101"/>
  <c r="H19" i="101"/>
  <c r="M16" i="97"/>
  <c r="M66" i="97"/>
  <c r="M65" i="97"/>
  <c r="M64" i="97"/>
  <c r="M63" i="97"/>
  <c r="M62" i="97"/>
  <c r="M61" i="97"/>
  <c r="M60" i="97"/>
  <c r="M59" i="97"/>
  <c r="M58" i="97"/>
  <c r="M57" i="97"/>
  <c r="M56" i="97"/>
  <c r="M55" i="97"/>
  <c r="M54" i="97"/>
  <c r="M53" i="97"/>
  <c r="M52" i="97"/>
  <c r="M51" i="97"/>
  <c r="M50" i="97"/>
  <c r="M49" i="97"/>
  <c r="M48" i="97"/>
  <c r="M47" i="97"/>
  <c r="M46" i="97"/>
  <c r="M45" i="97"/>
  <c r="M44" i="97"/>
  <c r="M43" i="97"/>
  <c r="M42" i="97"/>
  <c r="M41" i="97"/>
  <c r="M40" i="97"/>
  <c r="M39" i="97"/>
  <c r="M37" i="97"/>
  <c r="M34" i="97"/>
  <c r="M32" i="97"/>
  <c r="M31" i="97"/>
  <c r="M30" i="97"/>
  <c r="M29" i="97"/>
  <c r="M28" i="97"/>
  <c r="M27" i="97"/>
  <c r="M26" i="97"/>
  <c r="M25" i="97"/>
  <c r="M24" i="97"/>
  <c r="M23" i="97"/>
  <c r="M22" i="97"/>
  <c r="M21" i="97"/>
  <c r="M20" i="97"/>
  <c r="M73" i="97"/>
  <c r="M72" i="97"/>
  <c r="M71" i="97"/>
  <c r="M70" i="97"/>
  <c r="M76" i="97"/>
  <c r="M77" i="97"/>
  <c r="L69" i="97"/>
  <c r="L68" i="97" s="1"/>
  <c r="R66" i="97"/>
  <c r="L15" i="97"/>
  <c r="L14" i="97" s="1"/>
  <c r="L11" i="97"/>
  <c r="L10" i="97" s="1"/>
  <c r="L67" i="97"/>
  <c r="M67" i="97" s="1"/>
  <c r="R67" i="97" s="1"/>
  <c r="L19" i="97" l="1"/>
  <c r="L18" i="97" s="1"/>
  <c r="L79" i="97" s="1"/>
  <c r="B51" i="105"/>
  <c r="C51" i="105"/>
  <c r="C46" i="105"/>
  <c r="B46" i="105"/>
  <c r="T296" i="85"/>
  <c r="T247" i="85"/>
  <c r="T295" i="85"/>
  <c r="N248" i="85"/>
  <c r="T248" i="85" s="1"/>
  <c r="H11" i="101"/>
  <c r="H10" i="101" s="1"/>
  <c r="H17" i="101"/>
  <c r="H16" i="101" s="1"/>
  <c r="H13" i="101"/>
  <c r="H12" i="101" s="1"/>
  <c r="H15" i="101"/>
  <c r="H14" i="101" s="1"/>
  <c r="T246" i="85"/>
  <c r="N213" i="85"/>
  <c r="T213" i="85" s="1"/>
  <c r="N165" i="85"/>
  <c r="T165" i="85" s="1"/>
  <c r="T211" i="85"/>
  <c r="T212" i="85"/>
  <c r="T164" i="85"/>
  <c r="N294" i="85"/>
  <c r="T294" i="85" s="1"/>
  <c r="T163" i="85"/>
  <c r="V65" i="97"/>
  <c r="Q65" i="97"/>
  <c r="R65" i="97" s="1"/>
  <c r="I30" i="89"/>
  <c r="T29" i="89"/>
  <c r="M29" i="89"/>
  <c r="K29" i="89"/>
  <c r="M78" i="87"/>
  <c r="M79" i="87" s="1"/>
  <c r="X78" i="87"/>
  <c r="Y78" i="87" s="1"/>
  <c r="W78" i="87"/>
  <c r="V78" i="87"/>
  <c r="S78" i="87"/>
  <c r="M41" i="87"/>
  <c r="M42" i="87" s="1"/>
  <c r="X41" i="87"/>
  <c r="W41" i="87"/>
  <c r="V41" i="87"/>
  <c r="Y41" i="87" s="1"/>
  <c r="S41" i="87"/>
  <c r="M21" i="87"/>
  <c r="M22" i="87" s="1"/>
  <c r="X21" i="87"/>
  <c r="W21" i="87"/>
  <c r="V21" i="87"/>
  <c r="S21" i="87"/>
  <c r="L23" i="70"/>
  <c r="N23" i="70" s="1"/>
  <c r="R22" i="70"/>
  <c r="N22" i="70"/>
  <c r="R23" i="70"/>
  <c r="J14" i="76"/>
  <c r="J26" i="96"/>
  <c r="O14" i="76"/>
  <c r="T26" i="96"/>
  <c r="C56" i="105" l="1"/>
  <c r="B56" i="105"/>
  <c r="B50" i="105"/>
  <c r="C50" i="105"/>
  <c r="H20" i="101"/>
  <c r="J9" i="40" s="1"/>
  <c r="M14" i="76"/>
  <c r="J27" i="96"/>
  <c r="J11" i="96" s="1"/>
  <c r="O29" i="89"/>
  <c r="O78" i="87"/>
  <c r="U78" i="87" s="1"/>
  <c r="O41" i="87"/>
  <c r="U41" i="87" s="1"/>
  <c r="Y21" i="87"/>
  <c r="O21" i="87"/>
  <c r="U21" i="87" s="1"/>
  <c r="J15" i="76"/>
  <c r="M15" i="76" s="1"/>
  <c r="P14" i="76"/>
  <c r="L26" i="96"/>
  <c r="P26" i="96" s="1"/>
  <c r="J25" i="65"/>
  <c r="J26" i="65" s="1"/>
  <c r="M83" i="94"/>
  <c r="M84" i="94" s="1"/>
  <c r="P25" i="65"/>
  <c r="X83" i="94"/>
  <c r="P83" i="94"/>
  <c r="J11" i="76" l="1"/>
  <c r="C55" i="105"/>
  <c r="C54" i="105"/>
  <c r="C48" i="105"/>
  <c r="M11" i="76"/>
  <c r="C47" i="105"/>
  <c r="N83" i="94"/>
  <c r="K25" i="65"/>
  <c r="R83" i="94"/>
  <c r="C45" i="105" l="1"/>
  <c r="C44" i="105"/>
  <c r="I20" i="73"/>
  <c r="L20" i="73" s="1"/>
  <c r="N20" i="73" s="1"/>
  <c r="R20" i="73"/>
  <c r="H20" i="73"/>
  <c r="L15" i="90"/>
  <c r="N15" i="90" s="1"/>
  <c r="O15" i="90" s="1"/>
  <c r="R15" i="90" s="1"/>
  <c r="H15" i="90"/>
  <c r="H16" i="90" l="1"/>
  <c r="I11" i="90"/>
  <c r="J11" i="90"/>
  <c r="K11" i="90"/>
  <c r="M11" i="90"/>
  <c r="I19" i="90"/>
  <c r="I13" i="90" s="1"/>
  <c r="R18" i="90"/>
  <c r="L18" i="90"/>
  <c r="N18" i="90" s="1"/>
  <c r="K89" i="63"/>
  <c r="M89" i="63"/>
  <c r="L10" i="76"/>
  <c r="L16" i="76" s="1"/>
  <c r="K26" i="62"/>
  <c r="J26" i="62"/>
  <c r="C52" i="105" l="1"/>
  <c r="G11" i="47"/>
  <c r="G10" i="47" s="1"/>
  <c r="G12" i="47" s="1"/>
  <c r="G11" i="40" s="1"/>
  <c r="L16" i="90"/>
  <c r="N16" i="90" s="1"/>
  <c r="O16" i="90" s="1"/>
  <c r="R16" i="90" s="1"/>
  <c r="J119" i="94" l="1"/>
  <c r="L17" i="73"/>
  <c r="N17" i="73" s="1"/>
  <c r="L16" i="73"/>
  <c r="N16" i="73" s="1"/>
  <c r="J15" i="73"/>
  <c r="J18" i="65"/>
  <c r="M40" i="87"/>
  <c r="M87" i="87" l="1"/>
  <c r="O40" i="87" l="1"/>
  <c r="L19" i="70"/>
  <c r="I17" i="62"/>
  <c r="S40" i="87"/>
  <c r="J26" i="71"/>
  <c r="K26" i="71" s="1"/>
  <c r="R26" i="71"/>
  <c r="M26" i="71"/>
  <c r="K38" i="63"/>
  <c r="M38" i="63"/>
  <c r="I31" i="63"/>
  <c r="S30" i="63"/>
  <c r="L30" i="63"/>
  <c r="J30" i="63"/>
  <c r="N30" i="63" s="1"/>
  <c r="I45" i="63"/>
  <c r="J45" i="63" s="1"/>
  <c r="N45" i="63" s="1"/>
  <c r="S45" i="63"/>
  <c r="L45" i="63"/>
  <c r="H45" i="63"/>
  <c r="I17" i="63"/>
  <c r="J17" i="63" s="1"/>
  <c r="N17" i="63" s="1"/>
  <c r="S17" i="63"/>
  <c r="L17" i="63"/>
  <c r="H17" i="63"/>
  <c r="C43" i="105" l="1"/>
  <c r="U40" i="87"/>
  <c r="N26" i="71"/>
  <c r="I29" i="62"/>
  <c r="S28" i="62"/>
  <c r="M28" i="62"/>
  <c r="O28" i="62" s="1"/>
  <c r="C42" i="105" l="1"/>
  <c r="C58" i="105" s="1"/>
  <c r="X117" i="94"/>
  <c r="X121" i="94"/>
  <c r="X120" i="94"/>
  <c r="X119" i="94"/>
  <c r="X118" i="94"/>
  <c r="X101" i="94"/>
  <c r="X102" i="94"/>
  <c r="X100" i="94"/>
  <c r="X97" i="94"/>
  <c r="X88" i="94"/>
  <c r="X93" i="94"/>
  <c r="X89" i="94"/>
  <c r="X75" i="94"/>
  <c r="X84" i="94"/>
  <c r="X82" i="94"/>
  <c r="X81" i="94"/>
  <c r="X80" i="94"/>
  <c r="X79" i="94"/>
  <c r="X78" i="94"/>
  <c r="X77" i="94"/>
  <c r="X76" i="94"/>
  <c r="X74" i="94"/>
  <c r="X66" i="94"/>
  <c r="X67" i="94"/>
  <c r="X68" i="94"/>
  <c r="X69" i="94"/>
  <c r="X70" i="94"/>
  <c r="X65" i="94"/>
  <c r="X61" i="94"/>
  <c r="X58" i="94"/>
  <c r="X57" i="94"/>
  <c r="X50" i="94"/>
  <c r="X39" i="94"/>
  <c r="X40" i="94"/>
  <c r="X34" i="94"/>
  <c r="X38" i="94"/>
  <c r="X28" i="94"/>
  <c r="X27" i="94"/>
  <c r="X26" i="94"/>
  <c r="X18" i="94"/>
  <c r="X19" i="94"/>
  <c r="X15" i="94"/>
  <c r="X14" i="94"/>
  <c r="P36" i="65"/>
  <c r="P18" i="65"/>
  <c r="P19" i="65"/>
  <c r="P20" i="65"/>
  <c r="P21" i="65"/>
  <c r="P22" i="65"/>
  <c r="P23" i="65"/>
  <c r="P24" i="65"/>
  <c r="P26" i="65"/>
  <c r="P17" i="65"/>
  <c r="P16" i="65"/>
  <c r="P12" i="65"/>
  <c r="P14" i="65"/>
  <c r="X103" i="94"/>
  <c r="X98" i="94"/>
  <c r="J103" i="94"/>
  <c r="J98" i="94"/>
  <c r="P15" i="65"/>
  <c r="X96" i="94"/>
  <c r="X95" i="94"/>
  <c r="X92" i="94"/>
  <c r="X91" i="94"/>
  <c r="X62" i="94"/>
  <c r="X64" i="94"/>
  <c r="X63" i="94"/>
  <c r="X60" i="94"/>
  <c r="X59" i="94"/>
  <c r="X56" i="94"/>
  <c r="X55" i="94"/>
  <c r="X53" i="94"/>
  <c r="X52" i="94"/>
  <c r="X51" i="94"/>
  <c r="X42" i="94"/>
  <c r="X43" i="94"/>
  <c r="X44" i="94"/>
  <c r="X45" i="94"/>
  <c r="X46" i="94"/>
  <c r="X47" i="94"/>
  <c r="X48" i="94"/>
  <c r="X49" i="94"/>
  <c r="X41" i="94"/>
  <c r="X37" i="94"/>
  <c r="X36" i="94"/>
  <c r="X35" i="94"/>
  <c r="X33" i="94"/>
  <c r="X32" i="94"/>
  <c r="X31" i="94"/>
  <c r="X30" i="94"/>
  <c r="X29" i="94"/>
  <c r="X24" i="94"/>
  <c r="X25" i="94"/>
  <c r="X20" i="94"/>
  <c r="X17" i="94"/>
  <c r="X16" i="94"/>
  <c r="X13" i="94"/>
  <c r="X12" i="94"/>
  <c r="P35" i="65"/>
  <c r="P32" i="65"/>
  <c r="P29" i="65"/>
  <c r="P31" i="65"/>
  <c r="P28" i="65"/>
  <c r="X125" i="94"/>
  <c r="X123" i="94"/>
  <c r="X122" i="94"/>
  <c r="X107" i="94"/>
  <c r="X108" i="94"/>
  <c r="X109" i="94"/>
  <c r="X110" i="94"/>
  <c r="X111" i="94"/>
  <c r="X106" i="94"/>
  <c r="J19" i="65"/>
  <c r="M89" i="94"/>
  <c r="M88" i="94"/>
  <c r="J92" i="94"/>
  <c r="J100" i="94"/>
  <c r="P74" i="94"/>
  <c r="N74" i="94"/>
  <c r="N66" i="94"/>
  <c r="N68" i="94"/>
  <c r="P66" i="94"/>
  <c r="P67" i="94"/>
  <c r="P68" i="94"/>
  <c r="J70" i="94"/>
  <c r="N70" i="94" s="1"/>
  <c r="J69" i="94"/>
  <c r="N69" i="94" s="1"/>
  <c r="J67" i="94"/>
  <c r="N67" i="94" s="1"/>
  <c r="J65" i="94"/>
  <c r="N65" i="94" s="1"/>
  <c r="J58" i="94"/>
  <c r="N58" i="94" s="1"/>
  <c r="J57" i="94"/>
  <c r="N57" i="94" s="1"/>
  <c r="N63" i="94"/>
  <c r="N64" i="94"/>
  <c r="J55" i="94"/>
  <c r="J53" i="94"/>
  <c r="J51" i="94"/>
  <c r="J50" i="94"/>
  <c r="J48" i="94"/>
  <c r="J47" i="94"/>
  <c r="J46" i="94"/>
  <c r="J45" i="94"/>
  <c r="J44" i="94"/>
  <c r="J43" i="94"/>
  <c r="J42" i="94"/>
  <c r="J38" i="94"/>
  <c r="N38" i="94" s="1"/>
  <c r="J37" i="94"/>
  <c r="N37" i="94" s="1"/>
  <c r="J36" i="94"/>
  <c r="N36" i="94" s="1"/>
  <c r="J35" i="94"/>
  <c r="N35" i="94" s="1"/>
  <c r="J34" i="94"/>
  <c r="N34" i="94" s="1"/>
  <c r="J33" i="94"/>
  <c r="N33" i="94" s="1"/>
  <c r="J32" i="94"/>
  <c r="N32" i="94" s="1"/>
  <c r="J31" i="94"/>
  <c r="N31" i="94" s="1"/>
  <c r="J28" i="94"/>
  <c r="J27" i="94"/>
  <c r="J26" i="94"/>
  <c r="J25" i="94"/>
  <c r="J20" i="94"/>
  <c r="J19" i="94"/>
  <c r="J18" i="94"/>
  <c r="J17" i="94"/>
  <c r="O11" i="94"/>
  <c r="J16" i="94"/>
  <c r="J14" i="94"/>
  <c r="J13" i="94"/>
  <c r="J12" i="94"/>
  <c r="M26" i="70"/>
  <c r="R74" i="94" l="1"/>
  <c r="R66" i="94"/>
  <c r="R67" i="94"/>
  <c r="R68" i="94"/>
  <c r="J9" i="62"/>
  <c r="K9" i="62"/>
  <c r="L9" i="62"/>
  <c r="N9" i="62"/>
  <c r="I9" i="62"/>
  <c r="J14" i="62"/>
  <c r="K14" i="62"/>
  <c r="L14" i="62"/>
  <c r="N14" i="62"/>
  <c r="M17" i="62"/>
  <c r="O17" i="62" s="1"/>
  <c r="S17" i="62"/>
  <c r="H17" i="62"/>
  <c r="S16" i="62"/>
  <c r="H16" i="62"/>
  <c r="I14" i="62" l="1"/>
  <c r="M16" i="62"/>
  <c r="O16" i="62" s="1"/>
  <c r="S11" i="62" l="1"/>
  <c r="M11" i="62"/>
  <c r="O11" i="62" s="1"/>
  <c r="H11" i="62"/>
  <c r="K86" i="85" l="1"/>
  <c r="L86" i="85"/>
  <c r="O86" i="85"/>
  <c r="R86" i="85"/>
  <c r="X42" i="87"/>
  <c r="W42" i="87"/>
  <c r="V42" i="87"/>
  <c r="S42" i="87"/>
  <c r="O42" i="87"/>
  <c r="U42" i="87" l="1"/>
  <c r="Y42" i="87"/>
  <c r="N46" i="87"/>
  <c r="P46" i="87"/>
  <c r="Q46" i="87"/>
  <c r="R46" i="87"/>
  <c r="T46" i="87"/>
  <c r="N24" i="87"/>
  <c r="P24" i="87"/>
  <c r="R24" i="87"/>
  <c r="T24" i="87"/>
  <c r="P11" i="87"/>
  <c r="Q11" i="87"/>
  <c r="R11" i="87"/>
  <c r="T11" i="87"/>
  <c r="X22" i="87"/>
  <c r="W22" i="87"/>
  <c r="V22" i="87"/>
  <c r="S22" i="87"/>
  <c r="O22" i="87"/>
  <c r="U22" i="87" s="1"/>
  <c r="X79" i="87"/>
  <c r="W79" i="87"/>
  <c r="V79" i="87"/>
  <c r="S79" i="87"/>
  <c r="O79" i="87"/>
  <c r="X44" i="87"/>
  <c r="W44" i="87"/>
  <c r="V44" i="87"/>
  <c r="S44" i="87"/>
  <c r="O44" i="87"/>
  <c r="Y77" i="87"/>
  <c r="S77" i="87"/>
  <c r="O77" i="87"/>
  <c r="Y76" i="87"/>
  <c r="S76" i="87"/>
  <c r="O76" i="87"/>
  <c r="J11" i="89"/>
  <c r="L11" i="89"/>
  <c r="N11" i="89"/>
  <c r="P11" i="89"/>
  <c r="T30" i="89"/>
  <c r="M30" i="89"/>
  <c r="K30" i="89"/>
  <c r="T28" i="89"/>
  <c r="M28" i="89"/>
  <c r="K28" i="89"/>
  <c r="T27" i="89"/>
  <c r="M27" i="89"/>
  <c r="K27" i="89"/>
  <c r="J13" i="90"/>
  <c r="K13" i="90"/>
  <c r="M13" i="90"/>
  <c r="R19" i="90"/>
  <c r="L19" i="90"/>
  <c r="N19" i="90" s="1"/>
  <c r="B52" i="105" s="1"/>
  <c r="R17" i="90"/>
  <c r="L17" i="90"/>
  <c r="N17" i="90" s="1"/>
  <c r="M11" i="70"/>
  <c r="L11" i="70"/>
  <c r="R21" i="70"/>
  <c r="N21" i="70"/>
  <c r="R20" i="70"/>
  <c r="N20" i="70"/>
  <c r="N13" i="76"/>
  <c r="E11" i="47"/>
  <c r="E10" i="47" s="1"/>
  <c r="E12" i="47" s="1"/>
  <c r="O15" i="76"/>
  <c r="L27" i="96"/>
  <c r="P27" i="96" s="1"/>
  <c r="B47" i="105" s="1"/>
  <c r="T27" i="96"/>
  <c r="K26" i="65"/>
  <c r="B45" i="105" s="1"/>
  <c r="K24" i="65"/>
  <c r="K23" i="65"/>
  <c r="K10" i="94"/>
  <c r="L10" i="94"/>
  <c r="M10" i="94"/>
  <c r="Q10" i="94"/>
  <c r="P84" i="94"/>
  <c r="N84" i="94"/>
  <c r="P81" i="94"/>
  <c r="N81" i="94"/>
  <c r="P82" i="94"/>
  <c r="N82" i="94"/>
  <c r="K25" i="63"/>
  <c r="M25" i="63"/>
  <c r="S31" i="63"/>
  <c r="L31" i="63"/>
  <c r="J31" i="63"/>
  <c r="N31" i="63" s="1"/>
  <c r="B43" i="105" s="1"/>
  <c r="S29" i="63"/>
  <c r="L29" i="63"/>
  <c r="H29" i="63"/>
  <c r="I29" i="63" s="1"/>
  <c r="J29" i="63" s="1"/>
  <c r="N29" i="63" s="1"/>
  <c r="S28" i="63"/>
  <c r="L28" i="63"/>
  <c r="H28" i="63"/>
  <c r="I28" i="63" s="1"/>
  <c r="J28" i="63" s="1"/>
  <c r="N28" i="63" s="1"/>
  <c r="K18" i="62"/>
  <c r="L18" i="62"/>
  <c r="N18" i="62"/>
  <c r="S29" i="62"/>
  <c r="M29" i="62"/>
  <c r="O29" i="62" s="1"/>
  <c r="B42" i="105" s="1"/>
  <c r="S27" i="62"/>
  <c r="M27" i="62"/>
  <c r="O27" i="62" s="1"/>
  <c r="V17" i="97"/>
  <c r="X161" i="85"/>
  <c r="X289" i="85"/>
  <c r="X287" i="85"/>
  <c r="X90" i="94"/>
  <c r="X160" i="85"/>
  <c r="V64" i="97"/>
  <c r="V63" i="97"/>
  <c r="X159" i="85"/>
  <c r="X158" i="85"/>
  <c r="X157" i="85"/>
  <c r="X156" i="85"/>
  <c r="V62" i="97"/>
  <c r="V61" i="97"/>
  <c r="V60" i="97"/>
  <c r="V58" i="97"/>
  <c r="V59" i="97"/>
  <c r="V56" i="97"/>
  <c r="V57" i="97"/>
  <c r="V55" i="97"/>
  <c r="V54" i="97"/>
  <c r="V53" i="97"/>
  <c r="O13" i="76" l="1"/>
  <c r="O11" i="76" s="1"/>
  <c r="N11" i="76"/>
  <c r="O30" i="89"/>
  <c r="B54" i="105" s="1"/>
  <c r="P15" i="76"/>
  <c r="B48" i="105" s="1"/>
  <c r="J11" i="40"/>
  <c r="E17" i="47"/>
  <c r="O27" i="89"/>
  <c r="Y22" i="87"/>
  <c r="U77" i="87"/>
  <c r="U79" i="87"/>
  <c r="B55" i="105" s="1"/>
  <c r="Y79" i="87"/>
  <c r="U44" i="87"/>
  <c r="U76" i="87"/>
  <c r="Y44" i="87"/>
  <c r="O28" i="89"/>
  <c r="R84" i="94"/>
  <c r="B44" i="105" s="1"/>
  <c r="B58" i="105" s="1"/>
  <c r="R81" i="94"/>
  <c r="R82" i="94"/>
  <c r="X151" i="85"/>
  <c r="X152" i="85"/>
  <c r="X153" i="85"/>
  <c r="X154" i="85"/>
  <c r="X155" i="85"/>
  <c r="X150" i="85"/>
  <c r="X148" i="85"/>
  <c r="V51" i="97"/>
  <c r="V52" i="97"/>
  <c r="V44" i="97" l="1"/>
  <c r="V43" i="97"/>
  <c r="V41" i="97"/>
  <c r="V40" i="97"/>
  <c r="V42" i="97"/>
  <c r="V39" i="97"/>
  <c r="V37" i="97"/>
  <c r="V47" i="97"/>
  <c r="V46" i="97"/>
  <c r="V48" i="97"/>
  <c r="V49" i="97"/>
  <c r="V50" i="97"/>
  <c r="V45" i="97"/>
  <c r="V31" i="97"/>
  <c r="V32" i="97"/>
  <c r="X144" i="85"/>
  <c r="X145" i="85"/>
  <c r="X146" i="85"/>
  <c r="X147" i="85"/>
  <c r="X143" i="85"/>
  <c r="V74" i="97"/>
  <c r="V71" i="97"/>
  <c r="V72" i="97"/>
  <c r="V73" i="97"/>
  <c r="V30" i="97"/>
  <c r="V29" i="97"/>
  <c r="V28" i="97"/>
  <c r="X142" i="85"/>
  <c r="X141" i="85"/>
  <c r="V27" i="97"/>
  <c r="V70" i="97"/>
  <c r="V26" i="97"/>
  <c r="V21" i="97"/>
  <c r="V22" i="97"/>
  <c r="V23" i="97"/>
  <c r="V24" i="97"/>
  <c r="V25" i="97"/>
  <c r="V20" i="97"/>
  <c r="V77" i="97"/>
  <c r="V76" i="97"/>
  <c r="V12" i="97"/>
  <c r="V13" i="97"/>
  <c r="X312" i="85"/>
  <c r="X311" i="85"/>
  <c r="X281" i="85" l="1"/>
  <c r="X282" i="85"/>
  <c r="X280" i="85"/>
  <c r="X279" i="85"/>
  <c r="X278" i="85"/>
  <c r="X271" i="85"/>
  <c r="X272" i="85"/>
  <c r="X273" i="85"/>
  <c r="X274" i="85"/>
  <c r="X275" i="85"/>
  <c r="X276" i="85"/>
  <c r="X277" i="85"/>
  <c r="X269" i="85"/>
  <c r="X265" i="85"/>
  <c r="X267" i="85"/>
  <c r="X266" i="85"/>
  <c r="X255" i="85"/>
  <c r="X251" i="85"/>
  <c r="X252" i="85"/>
  <c r="X253" i="85"/>
  <c r="X254" i="85"/>
  <c r="X256" i="85"/>
  <c r="X257" i="85"/>
  <c r="X258" i="85"/>
  <c r="X259" i="85"/>
  <c r="X260" i="85"/>
  <c r="X261" i="85"/>
  <c r="X262" i="85"/>
  <c r="X263" i="85"/>
  <c r="X250" i="85"/>
  <c r="X217" i="85"/>
  <c r="X218" i="85"/>
  <c r="X219" i="85"/>
  <c r="X220" i="85"/>
  <c r="X221" i="85"/>
  <c r="X222" i="85"/>
  <c r="X223" i="85"/>
  <c r="X224" i="85"/>
  <c r="X225" i="85"/>
  <c r="X226" i="85"/>
  <c r="X227" i="85"/>
  <c r="X228" i="85"/>
  <c r="X229" i="85"/>
  <c r="X231" i="85"/>
  <c r="X232" i="85"/>
  <c r="X233" i="85"/>
  <c r="X234" i="85"/>
  <c r="X235" i="85"/>
  <c r="X236" i="85"/>
  <c r="X237" i="85"/>
  <c r="X238" i="85"/>
  <c r="X239" i="85"/>
  <c r="X240" i="85"/>
  <c r="X241" i="85"/>
  <c r="X242" i="85"/>
  <c r="X243" i="85"/>
  <c r="X244" i="85"/>
  <c r="X245" i="85"/>
  <c r="X216" i="85"/>
  <c r="X310" i="85" l="1"/>
  <c r="X304" i="85"/>
  <c r="X305" i="85"/>
  <c r="X306" i="85"/>
  <c r="X303" i="85"/>
  <c r="X291" i="85"/>
  <c r="X202" i="85"/>
  <c r="X204" i="85"/>
  <c r="X206" i="85"/>
  <c r="X207" i="85"/>
  <c r="X208" i="85"/>
  <c r="X209" i="85"/>
  <c r="X210" i="85"/>
  <c r="X201" i="85"/>
  <c r="X285" i="85"/>
  <c r="X169" i="85"/>
  <c r="X170" i="85"/>
  <c r="X171" i="85"/>
  <c r="X172" i="85"/>
  <c r="X173" i="85"/>
  <c r="X174" i="85"/>
  <c r="X175" i="85"/>
  <c r="X176" i="85"/>
  <c r="X177" i="85"/>
  <c r="X178" i="85"/>
  <c r="X179" i="85"/>
  <c r="X180" i="85"/>
  <c r="X181" i="85"/>
  <c r="X182" i="85"/>
  <c r="X183" i="85"/>
  <c r="X184" i="85"/>
  <c r="X185" i="85"/>
  <c r="X186" i="85"/>
  <c r="X189" i="85"/>
  <c r="X190" i="85"/>
  <c r="X191" i="85"/>
  <c r="X192" i="85"/>
  <c r="X193" i="85"/>
  <c r="X194" i="85"/>
  <c r="X195" i="85"/>
  <c r="X196" i="85"/>
  <c r="X197" i="85"/>
  <c r="X198" i="85"/>
  <c r="X199" i="85"/>
  <c r="X200" i="85"/>
  <c r="X168" i="85"/>
  <c r="X76" i="85"/>
  <c r="X77" i="85"/>
  <c r="X78" i="85"/>
  <c r="X79" i="85"/>
  <c r="X80" i="85"/>
  <c r="X81" i="85"/>
  <c r="X82" i="85"/>
  <c r="X83" i="85"/>
  <c r="X84" i="85"/>
  <c r="X13" i="85"/>
  <c r="X14" i="85"/>
  <c r="X15" i="85"/>
  <c r="X16" i="85"/>
  <c r="X17" i="85"/>
  <c r="X18" i="85"/>
  <c r="X19" i="85"/>
  <c r="X21" i="85"/>
  <c r="X22" i="85"/>
  <c r="X23" i="85"/>
  <c r="X24" i="85"/>
  <c r="X25" i="85"/>
  <c r="X27" i="85"/>
  <c r="X28" i="85"/>
  <c r="X29" i="85"/>
  <c r="X30" i="85"/>
  <c r="X31" i="85"/>
  <c r="X32" i="85"/>
  <c r="X33" i="85"/>
  <c r="X34" i="85"/>
  <c r="X35" i="85"/>
  <c r="X36" i="85"/>
  <c r="X37" i="85"/>
  <c r="X38" i="85"/>
  <c r="X39" i="85"/>
  <c r="X40" i="85"/>
  <c r="X41" i="85"/>
  <c r="X42" i="85"/>
  <c r="X43" i="85"/>
  <c r="X44" i="85"/>
  <c r="X45" i="85"/>
  <c r="X46" i="85"/>
  <c r="X47" i="85"/>
  <c r="X48" i="85"/>
  <c r="X49" i="85"/>
  <c r="X50" i="85"/>
  <c r="X51" i="85"/>
  <c r="X52" i="85"/>
  <c r="X53" i="85"/>
  <c r="X54" i="85"/>
  <c r="X55" i="85"/>
  <c r="X56" i="85"/>
  <c r="X57" i="85"/>
  <c r="X58" i="85"/>
  <c r="X59" i="85"/>
  <c r="X60" i="85"/>
  <c r="X61" i="85"/>
  <c r="X62" i="85"/>
  <c r="X63" i="85"/>
  <c r="X64" i="85"/>
  <c r="X65" i="85"/>
  <c r="X66" i="85"/>
  <c r="X67" i="85"/>
  <c r="X68" i="85"/>
  <c r="X69" i="85"/>
  <c r="X70" i="85"/>
  <c r="X71" i="85"/>
  <c r="X72" i="85"/>
  <c r="X73" i="85"/>
  <c r="X74" i="85"/>
  <c r="X75" i="85"/>
  <c r="X12" i="85"/>
  <c r="X107" i="85"/>
  <c r="X108" i="85"/>
  <c r="X109" i="85"/>
  <c r="X110" i="85"/>
  <c r="X111" i="85"/>
  <c r="X113" i="85"/>
  <c r="X114" i="85"/>
  <c r="X115" i="85"/>
  <c r="X116" i="85"/>
  <c r="X117" i="85"/>
  <c r="X118" i="85"/>
  <c r="X119" i="85"/>
  <c r="X120" i="85"/>
  <c r="X121" i="85"/>
  <c r="X122" i="85"/>
  <c r="X123" i="85"/>
  <c r="X124" i="85"/>
  <c r="X125" i="85"/>
  <c r="X126" i="85"/>
  <c r="X127" i="85"/>
  <c r="X128" i="85"/>
  <c r="X129" i="85"/>
  <c r="X130" i="85"/>
  <c r="X131" i="85"/>
  <c r="X132" i="85"/>
  <c r="X133" i="85"/>
  <c r="X134" i="85"/>
  <c r="X135" i="85"/>
  <c r="X136" i="85"/>
  <c r="X137" i="85"/>
  <c r="X138" i="85"/>
  <c r="X139" i="85"/>
  <c r="X140" i="85"/>
  <c r="X87" i="85"/>
  <c r="X88" i="85"/>
  <c r="X89" i="85"/>
  <c r="X90" i="85"/>
  <c r="X91" i="85"/>
  <c r="X92" i="85"/>
  <c r="X93" i="85"/>
  <c r="X94" i="85"/>
  <c r="X95" i="85"/>
  <c r="X96" i="85"/>
  <c r="X97" i="85"/>
  <c r="X98" i="85"/>
  <c r="X99" i="85"/>
  <c r="X100" i="85"/>
  <c r="X101" i="85"/>
  <c r="X102" i="85"/>
  <c r="X103" i="85"/>
  <c r="X104" i="85"/>
  <c r="X105" i="85"/>
  <c r="X293" i="85" l="1"/>
  <c r="X300" i="85"/>
  <c r="X299" i="85"/>
  <c r="T52" i="96" l="1"/>
  <c r="T51" i="96"/>
  <c r="T49" i="96"/>
  <c r="T48" i="96"/>
  <c r="T46" i="96"/>
  <c r="T44" i="96"/>
  <c r="T43" i="96"/>
  <c r="T39" i="96"/>
  <c r="T38" i="96"/>
  <c r="T34" i="96"/>
  <c r="T37" i="96"/>
  <c r="T36" i="96"/>
  <c r="T35" i="96"/>
  <c r="T30" i="96"/>
  <c r="T20" i="96"/>
  <c r="T17" i="96"/>
  <c r="T25" i="96"/>
  <c r="T24" i="96"/>
  <c r="T22" i="96"/>
  <c r="T19" i="96"/>
  <c r="T15" i="96"/>
  <c r="T13" i="96"/>
  <c r="AD89" i="87"/>
  <c r="N20" i="87"/>
  <c r="N11" i="87" s="1"/>
  <c r="J15" i="55"/>
  <c r="S87" i="87"/>
  <c r="S86" i="87"/>
  <c r="S85" i="87"/>
  <c r="S83" i="87"/>
  <c r="S82" i="87"/>
  <c r="S81" i="87"/>
  <c r="S75" i="87"/>
  <c r="S73" i="87"/>
  <c r="S72" i="87"/>
  <c r="S70" i="87"/>
  <c r="S69" i="87"/>
  <c r="S68" i="87"/>
  <c r="S67" i="87"/>
  <c r="S65" i="87"/>
  <c r="S64" i="87"/>
  <c r="S63" i="87"/>
  <c r="S62" i="87"/>
  <c r="S61" i="87"/>
  <c r="S60" i="87"/>
  <c r="S58" i="87"/>
  <c r="S57" i="87"/>
  <c r="S55" i="87"/>
  <c r="S54" i="87"/>
  <c r="S53" i="87"/>
  <c r="S52" i="87"/>
  <c r="S50" i="87"/>
  <c r="S49" i="87"/>
  <c r="S47" i="87"/>
  <c r="S39" i="87"/>
  <c r="S38" i="87"/>
  <c r="S37" i="87"/>
  <c r="S36" i="87"/>
  <c r="S35" i="87"/>
  <c r="S33" i="87"/>
  <c r="S32" i="87"/>
  <c r="S30" i="87"/>
  <c r="S29" i="87"/>
  <c r="S28" i="87"/>
  <c r="S26" i="87"/>
  <c r="S25" i="87"/>
  <c r="S20" i="87"/>
  <c r="S19" i="87"/>
  <c r="S18" i="87"/>
  <c r="S17" i="87"/>
  <c r="S15" i="87"/>
  <c r="S14" i="87"/>
  <c r="S13" i="87"/>
  <c r="S12" i="87"/>
  <c r="R80" i="87"/>
  <c r="J16" i="55" s="1"/>
  <c r="R23" i="87"/>
  <c r="J11" i="55"/>
  <c r="J10" i="55" s="1"/>
  <c r="S46" i="87" l="1"/>
  <c r="S11" i="87"/>
  <c r="R10" i="87"/>
  <c r="J13" i="55"/>
  <c r="J12" i="55" s="1"/>
  <c r="J14" i="55"/>
  <c r="J17" i="55" l="1"/>
  <c r="J21" i="55" s="1"/>
  <c r="R88" i="87"/>
  <c r="R18" i="40" s="1"/>
  <c r="T13" i="76"/>
  <c r="S44" i="69" l="1"/>
  <c r="T44" i="69"/>
  <c r="R38" i="69"/>
  <c r="R37" i="69"/>
  <c r="R35" i="69"/>
  <c r="R34" i="69"/>
  <c r="R29" i="69"/>
  <c r="R28" i="69"/>
  <c r="R27" i="69"/>
  <c r="R26" i="69"/>
  <c r="R21" i="69"/>
  <c r="R20" i="69"/>
  <c r="R42" i="69"/>
  <c r="R41" i="69"/>
  <c r="R40" i="69"/>
  <c r="R39" i="69"/>
  <c r="R36" i="69"/>
  <c r="R33" i="69"/>
  <c r="R32" i="69"/>
  <c r="R31" i="69"/>
  <c r="R30" i="69"/>
  <c r="R25" i="69"/>
  <c r="R24" i="69"/>
  <c r="R23" i="69"/>
  <c r="R22" i="69"/>
  <c r="R19" i="69"/>
  <c r="R18" i="69"/>
  <c r="R13" i="69"/>
  <c r="R14" i="69"/>
  <c r="R15" i="69"/>
  <c r="R12" i="69"/>
  <c r="R44" i="69" l="1"/>
  <c r="R26" i="70"/>
  <c r="S29" i="70" l="1"/>
  <c r="T29" i="70"/>
  <c r="R19" i="70"/>
  <c r="R17" i="70"/>
  <c r="R16" i="70"/>
  <c r="R14" i="70"/>
  <c r="R18" i="70"/>
  <c r="R15" i="70"/>
  <c r="R12" i="70"/>
  <c r="S36" i="71"/>
  <c r="T36" i="71"/>
  <c r="U36" i="71"/>
  <c r="V36" i="71"/>
  <c r="R33" i="71"/>
  <c r="R32" i="71"/>
  <c r="R23" i="71"/>
  <c r="R24" i="71"/>
  <c r="R25" i="71"/>
  <c r="R27" i="71"/>
  <c r="R28" i="71"/>
  <c r="R22" i="71"/>
  <c r="R21" i="71"/>
  <c r="R20" i="71"/>
  <c r="R19" i="71"/>
  <c r="R18" i="71"/>
  <c r="R17" i="71"/>
  <c r="R16" i="71"/>
  <c r="R15" i="71"/>
  <c r="R13" i="71"/>
  <c r="R12" i="71"/>
  <c r="R29" i="70" l="1"/>
  <c r="R36" i="71"/>
  <c r="Z89" i="87"/>
  <c r="AA89" i="87"/>
  <c r="AB89" i="87"/>
  <c r="AC89" i="87"/>
  <c r="AE89" i="87"/>
  <c r="Y72" i="87" l="1"/>
  <c r="Y55" i="87"/>
  <c r="Y57" i="87"/>
  <c r="Y58" i="87"/>
  <c r="Y60" i="87"/>
  <c r="Y61" i="87"/>
  <c r="Y54" i="87"/>
  <c r="Y32" i="87"/>
  <c r="Y26" i="87"/>
  <c r="Y13" i="87"/>
  <c r="Y14" i="87"/>
  <c r="Y15" i="87"/>
  <c r="Y17" i="87"/>
  <c r="Y18" i="87"/>
  <c r="Y19" i="87"/>
  <c r="Y20" i="87"/>
  <c r="Y25" i="87"/>
  <c r="Y27" i="87"/>
  <c r="Y28" i="87"/>
  <c r="Y29" i="87"/>
  <c r="Y30" i="87"/>
  <c r="Y33" i="87"/>
  <c r="Y34" i="87"/>
  <c r="Y35" i="87"/>
  <c r="Y36" i="87"/>
  <c r="Y37" i="87"/>
  <c r="Y38" i="87"/>
  <c r="Y39" i="87"/>
  <c r="Y47" i="87"/>
  <c r="Y49" i="87"/>
  <c r="Y50" i="87"/>
  <c r="Y52" i="87"/>
  <c r="Y53" i="87"/>
  <c r="Y62" i="87"/>
  <c r="Y63" i="87"/>
  <c r="Y64" i="87"/>
  <c r="Y65" i="87"/>
  <c r="Y67" i="87"/>
  <c r="Y68" i="87"/>
  <c r="Y69" i="87"/>
  <c r="Y70" i="87"/>
  <c r="Y73" i="87"/>
  <c r="Y75" i="87"/>
  <c r="Y81" i="87"/>
  <c r="Y82" i="87"/>
  <c r="Y83" i="87"/>
  <c r="Y85" i="87"/>
  <c r="Y86" i="87"/>
  <c r="Y87" i="87"/>
  <c r="Y12" i="87"/>
  <c r="T54" i="89"/>
  <c r="U61" i="89"/>
  <c r="V61" i="89"/>
  <c r="W61" i="89"/>
  <c r="X61" i="89"/>
  <c r="T13" i="89"/>
  <c r="T14" i="89"/>
  <c r="T15" i="89"/>
  <c r="T16" i="89"/>
  <c r="T18" i="89"/>
  <c r="T19" i="89"/>
  <c r="T20" i="89"/>
  <c r="T21" i="89"/>
  <c r="T22" i="89"/>
  <c r="T23" i="89"/>
  <c r="T24" i="89"/>
  <c r="T25" i="89"/>
  <c r="T26" i="89"/>
  <c r="T32" i="89"/>
  <c r="T33" i="89"/>
  <c r="T34" i="89"/>
  <c r="T35" i="89"/>
  <c r="T38" i="89"/>
  <c r="T40" i="89"/>
  <c r="T41" i="89"/>
  <c r="T42" i="89"/>
  <c r="T44" i="89"/>
  <c r="T46" i="89"/>
  <c r="T47" i="89"/>
  <c r="T48" i="89"/>
  <c r="T49" i="89"/>
  <c r="T50" i="89"/>
  <c r="T51" i="89"/>
  <c r="T52" i="89"/>
  <c r="T53" i="89"/>
  <c r="T55" i="89"/>
  <c r="T57" i="89"/>
  <c r="T58" i="89"/>
  <c r="T59" i="89"/>
  <c r="T12" i="89"/>
  <c r="T61" i="89" l="1"/>
  <c r="Y89" i="87"/>
  <c r="Y94" i="87" s="1"/>
  <c r="S21" i="90"/>
  <c r="T21" i="90"/>
  <c r="U21" i="90"/>
  <c r="V21" i="90"/>
  <c r="R14" i="90"/>
  <c r="R12" i="90"/>
  <c r="S27" i="73"/>
  <c r="T27" i="73"/>
  <c r="U27" i="73"/>
  <c r="V27" i="73"/>
  <c r="R19" i="73"/>
  <c r="R21" i="73"/>
  <c r="R18" i="73"/>
  <c r="R15" i="73"/>
  <c r="R24" i="73"/>
  <c r="R25" i="73"/>
  <c r="R23" i="73"/>
  <c r="T54" i="96"/>
  <c r="R12" i="73"/>
  <c r="V81" i="63"/>
  <c r="T81" i="63"/>
  <c r="U81" i="63"/>
  <c r="S31" i="62"/>
  <c r="S25" i="62"/>
  <c r="S15" i="62"/>
  <c r="R27" i="73" l="1"/>
  <c r="S18" i="63"/>
  <c r="S79" i="63"/>
  <c r="S78" i="63"/>
  <c r="S77" i="63"/>
  <c r="S76" i="63"/>
  <c r="S75" i="63"/>
  <c r="S74" i="63"/>
  <c r="S73" i="63"/>
  <c r="S72" i="63"/>
  <c r="S71" i="63"/>
  <c r="S70" i="63"/>
  <c r="S69" i="63"/>
  <c r="S68" i="63"/>
  <c r="S67" i="63"/>
  <c r="S66" i="63"/>
  <c r="S65" i="63"/>
  <c r="S64" i="63"/>
  <c r="S63" i="63"/>
  <c r="S62" i="63"/>
  <c r="S61" i="63"/>
  <c r="S60" i="63"/>
  <c r="S59" i="63"/>
  <c r="S58" i="63"/>
  <c r="S57" i="63"/>
  <c r="S56" i="63"/>
  <c r="S55" i="63"/>
  <c r="S54" i="63"/>
  <c r="S53" i="63"/>
  <c r="S52" i="63"/>
  <c r="S51" i="63"/>
  <c r="S50" i="63"/>
  <c r="S49" i="63"/>
  <c r="S48" i="63"/>
  <c r="S46" i="63"/>
  <c r="S44" i="63"/>
  <c r="S43" i="63"/>
  <c r="S42" i="63"/>
  <c r="S41" i="63"/>
  <c r="S40" i="63"/>
  <c r="S39" i="63"/>
  <c r="S38" i="63"/>
  <c r="S37" i="63"/>
  <c r="S36" i="63"/>
  <c r="S35" i="63"/>
  <c r="S34" i="63"/>
  <c r="S33" i="63"/>
  <c r="S32" i="63"/>
  <c r="S27" i="63"/>
  <c r="S26" i="63"/>
  <c r="S25" i="63"/>
  <c r="S24" i="63"/>
  <c r="S23" i="63"/>
  <c r="S22" i="63"/>
  <c r="S21" i="63"/>
  <c r="S20" i="63"/>
  <c r="S12" i="63"/>
  <c r="S13" i="63"/>
  <c r="S14" i="63"/>
  <c r="S15" i="63"/>
  <c r="S16" i="63"/>
  <c r="S11" i="63"/>
  <c r="T56" i="62"/>
  <c r="U56" i="62"/>
  <c r="V56" i="62"/>
  <c r="W56" i="62"/>
  <c r="X56" i="62"/>
  <c r="S32" i="62"/>
  <c r="S26" i="62" l="1"/>
  <c r="S8" i="62"/>
  <c r="S9" i="62"/>
  <c r="S12" i="62"/>
  <c r="S13" i="62"/>
  <c r="S14" i="62"/>
  <c r="S18" i="62"/>
  <c r="S19" i="62"/>
  <c r="S20" i="62"/>
  <c r="S21" i="62"/>
  <c r="S22" i="62"/>
  <c r="S23" i="62"/>
  <c r="S24" i="62"/>
  <c r="S30" i="62"/>
  <c r="S34" i="62"/>
  <c r="S35" i="62"/>
  <c r="S36" i="62"/>
  <c r="S37" i="62"/>
  <c r="S38" i="62"/>
  <c r="S39" i="62"/>
  <c r="S40" i="62"/>
  <c r="S41" i="62"/>
  <c r="S42" i="62"/>
  <c r="S43" i="62"/>
  <c r="S44" i="62"/>
  <c r="S45" i="62"/>
  <c r="S46" i="62"/>
  <c r="S47" i="62"/>
  <c r="S48" i="62"/>
  <c r="S49" i="62"/>
  <c r="S50" i="62"/>
  <c r="S51" i="62"/>
  <c r="S52" i="62"/>
  <c r="S53" i="62"/>
  <c r="S10" i="62"/>
  <c r="AA21" i="40" l="1"/>
  <c r="X21" i="40"/>
  <c r="X18" i="40"/>
  <c r="X12" i="40"/>
  <c r="X11" i="40"/>
  <c r="X6" i="40"/>
  <c r="AA11" i="40"/>
  <c r="AA9" i="40"/>
  <c r="T109" i="94"/>
  <c r="T105" i="94"/>
  <c r="S99" i="94"/>
  <c r="T99" i="94"/>
  <c r="S95" i="94"/>
  <c r="T95" i="94"/>
  <c r="S10" i="94"/>
  <c r="T10" i="94"/>
  <c r="T9" i="94" s="1"/>
  <c r="T86" i="94"/>
  <c r="L11" i="51"/>
  <c r="L13" i="51"/>
  <c r="L14" i="51"/>
  <c r="L15" i="51"/>
  <c r="V18" i="40"/>
  <c r="V16" i="40"/>
  <c r="V15" i="40"/>
  <c r="V14" i="40"/>
  <c r="V13" i="40"/>
  <c r="V12" i="40"/>
  <c r="V11" i="40"/>
  <c r="V10" i="40"/>
  <c r="V9" i="40"/>
  <c r="V5" i="40"/>
  <c r="T85" i="94" l="1"/>
  <c r="O11" i="99" s="1"/>
  <c r="T104" i="94"/>
  <c r="V19" i="40"/>
  <c r="K49" i="96" l="1"/>
  <c r="K284" i="85" l="1"/>
  <c r="K283" i="85" s="1"/>
  <c r="K268" i="85"/>
  <c r="K249" i="85"/>
  <c r="K215" i="85"/>
  <c r="K167" i="85"/>
  <c r="K166" i="85" s="1"/>
  <c r="O9" i="99" l="1"/>
  <c r="N10" i="99"/>
  <c r="O10" i="99"/>
  <c r="O12" i="99"/>
  <c r="N13" i="99"/>
  <c r="O13" i="99"/>
  <c r="N14" i="99"/>
  <c r="O14" i="99"/>
  <c r="O15" i="99"/>
  <c r="O16" i="99"/>
  <c r="O17" i="99"/>
  <c r="K11" i="42"/>
  <c r="K13" i="42"/>
  <c r="K14" i="42"/>
  <c r="K35" i="97"/>
  <c r="M35" i="97" s="1"/>
  <c r="S86" i="94"/>
  <c r="S85" i="94" s="1"/>
  <c r="N11" i="99" s="1"/>
  <c r="S105" i="94"/>
  <c r="S109" i="94"/>
  <c r="N17" i="99" s="1"/>
  <c r="S116" i="94"/>
  <c r="N19" i="99" s="1"/>
  <c r="S9" i="94"/>
  <c r="N9" i="99" s="1"/>
  <c r="T116" i="94"/>
  <c r="T115" i="94" s="1"/>
  <c r="O86" i="94"/>
  <c r="Q86" i="94"/>
  <c r="M86" i="94"/>
  <c r="L16" i="65"/>
  <c r="L13" i="65" s="1"/>
  <c r="L27" i="65"/>
  <c r="H12" i="98" s="1"/>
  <c r="L34" i="65"/>
  <c r="L33" i="65" s="1"/>
  <c r="H13" i="98" s="1"/>
  <c r="L11" i="65"/>
  <c r="H10" i="98" s="1"/>
  <c r="P33" i="89"/>
  <c r="P31" i="89" s="1"/>
  <c r="P113" i="94"/>
  <c r="M113" i="94"/>
  <c r="N113" i="94" s="1"/>
  <c r="O46" i="63"/>
  <c r="K15" i="42" s="1"/>
  <c r="O74" i="63"/>
  <c r="O73" i="63" s="1"/>
  <c r="O10" i="63"/>
  <c r="O25" i="63"/>
  <c r="K12" i="42" s="1"/>
  <c r="K10" i="42" l="1"/>
  <c r="O9" i="63"/>
  <c r="O80" i="63" s="1"/>
  <c r="O18" i="99"/>
  <c r="O20" i="99" s="1"/>
  <c r="U7" i="40" s="1"/>
  <c r="U20" i="40" s="1"/>
  <c r="U22" i="40" s="1"/>
  <c r="T126" i="94"/>
  <c r="T130" i="94" s="1"/>
  <c r="R113" i="94"/>
  <c r="L10" i="65"/>
  <c r="H9" i="98" s="1"/>
  <c r="H15" i="98" s="1"/>
  <c r="T8" i="40" s="1"/>
  <c r="V8" i="40" s="1"/>
  <c r="L12" i="51"/>
  <c r="L10" i="51" s="1"/>
  <c r="L16" i="51" s="1"/>
  <c r="P10" i="89"/>
  <c r="P60" i="89" s="1"/>
  <c r="H14" i="98"/>
  <c r="H11" i="98"/>
  <c r="K17" i="42"/>
  <c r="K16" i="42" s="1"/>
  <c r="O19" i="99"/>
  <c r="S115" i="94"/>
  <c r="S104" i="94"/>
  <c r="N15" i="99" s="1"/>
  <c r="N16" i="99"/>
  <c r="N12" i="99"/>
  <c r="K9" i="42"/>
  <c r="N18" i="99" l="1"/>
  <c r="N20" i="99" s="1"/>
  <c r="T7" i="40" s="1"/>
  <c r="V7" i="40" s="1"/>
  <c r="S126" i="94"/>
  <c r="S130" i="94" s="1"/>
  <c r="K18" i="42"/>
  <c r="K22" i="42" s="1"/>
  <c r="L38" i="65"/>
  <c r="L42" i="65" s="1"/>
  <c r="H19" i="98"/>
  <c r="T17" i="40"/>
  <c r="V17" i="40" s="1"/>
  <c r="L20" i="51"/>
  <c r="O24" i="99"/>
  <c r="J21" i="73"/>
  <c r="J112" i="94"/>
  <c r="K18" i="73"/>
  <c r="T6" i="40" l="1"/>
  <c r="V6" i="40" s="1"/>
  <c r="V20" i="40" s="1"/>
  <c r="V22" i="40" s="1"/>
  <c r="N24" i="99"/>
  <c r="T20" i="40"/>
  <c r="T22" i="40" s="1"/>
  <c r="N23" i="87"/>
  <c r="F15" i="55"/>
  <c r="N80" i="87"/>
  <c r="F16" i="55" s="1"/>
  <c r="O86" i="87"/>
  <c r="O81" i="87"/>
  <c r="O61" i="87"/>
  <c r="O39" i="87"/>
  <c r="O38" i="87"/>
  <c r="O37" i="87"/>
  <c r="O36" i="87"/>
  <c r="O35" i="87"/>
  <c r="O34" i="87"/>
  <c r="O32" i="87"/>
  <c r="O30" i="87"/>
  <c r="O29" i="87"/>
  <c r="O26" i="87"/>
  <c r="O25" i="87"/>
  <c r="O20" i="87"/>
  <c r="U20" i="87" s="1"/>
  <c r="O19" i="87"/>
  <c r="U19" i="87" s="1"/>
  <c r="O15" i="87"/>
  <c r="O14" i="87"/>
  <c r="O12" i="87"/>
  <c r="F11" i="55"/>
  <c r="F10" i="55" s="1"/>
  <c r="K19" i="87"/>
  <c r="L19" i="87" s="1"/>
  <c r="J19" i="87"/>
  <c r="F13" i="55" l="1"/>
  <c r="F12" i="55" s="1"/>
  <c r="N45" i="87"/>
  <c r="F14" i="55"/>
  <c r="N10" i="87"/>
  <c r="L79" i="63"/>
  <c r="I79" i="63"/>
  <c r="J79" i="63" s="1"/>
  <c r="N79" i="63" s="1"/>
  <c r="L78" i="63"/>
  <c r="I78" i="63"/>
  <c r="J78" i="63" s="1"/>
  <c r="N78" i="63" s="1"/>
  <c r="L77" i="63"/>
  <c r="I77" i="63"/>
  <c r="J77" i="63" s="1"/>
  <c r="N77" i="63" s="1"/>
  <c r="L76" i="63"/>
  <c r="I76" i="63"/>
  <c r="J76" i="63" s="1"/>
  <c r="N76" i="63" s="1"/>
  <c r="L75" i="63"/>
  <c r="I75" i="63"/>
  <c r="J75" i="63" s="1"/>
  <c r="N75" i="63" s="1"/>
  <c r="L43" i="63"/>
  <c r="I43" i="63"/>
  <c r="J43" i="63" s="1"/>
  <c r="N43" i="63" s="1"/>
  <c r="L42" i="63"/>
  <c r="I42" i="63"/>
  <c r="J42" i="63" s="1"/>
  <c r="N42" i="63" s="1"/>
  <c r="L41" i="63"/>
  <c r="I41" i="63"/>
  <c r="J41" i="63" s="1"/>
  <c r="N41" i="63" s="1"/>
  <c r="L40" i="63"/>
  <c r="I40" i="63"/>
  <c r="J40" i="63" s="1"/>
  <c r="N40" i="63" s="1"/>
  <c r="L39" i="63"/>
  <c r="I39" i="63"/>
  <c r="L37" i="63"/>
  <c r="I37" i="63"/>
  <c r="J37" i="63" s="1"/>
  <c r="N37" i="63" s="1"/>
  <c r="L36" i="63"/>
  <c r="I36" i="63"/>
  <c r="J36" i="63" s="1"/>
  <c r="N36" i="63" s="1"/>
  <c r="L35" i="63"/>
  <c r="I35" i="63"/>
  <c r="J35" i="63" s="1"/>
  <c r="N35" i="63" s="1"/>
  <c r="L34" i="63"/>
  <c r="I34" i="63"/>
  <c r="J34" i="63" s="1"/>
  <c r="N34" i="63" s="1"/>
  <c r="L33" i="63"/>
  <c r="I33" i="63"/>
  <c r="J33" i="63" s="1"/>
  <c r="N33" i="63" s="1"/>
  <c r="L24" i="63"/>
  <c r="I24" i="63"/>
  <c r="J24" i="63" s="1"/>
  <c r="N24" i="63" s="1"/>
  <c r="L23" i="63"/>
  <c r="I23" i="63"/>
  <c r="J23" i="63" s="1"/>
  <c r="N23" i="63" s="1"/>
  <c r="L22" i="63"/>
  <c r="I22" i="63"/>
  <c r="J22" i="63" s="1"/>
  <c r="N22" i="63" s="1"/>
  <c r="L21" i="63"/>
  <c r="I21" i="63"/>
  <c r="J21" i="63" s="1"/>
  <c r="N21" i="63" s="1"/>
  <c r="L20" i="63"/>
  <c r="I20" i="63"/>
  <c r="J20" i="63" s="1"/>
  <c r="N20" i="63" s="1"/>
  <c r="I15" i="63"/>
  <c r="I14" i="63"/>
  <c r="I13" i="63"/>
  <c r="I12" i="63"/>
  <c r="I11" i="63"/>
  <c r="I89" i="63" l="1"/>
  <c r="F17" i="55"/>
  <c r="H18" i="40" s="1"/>
  <c r="J39" i="63"/>
  <c r="N39" i="63" s="1"/>
  <c r="I38" i="63"/>
  <c r="N88" i="87"/>
  <c r="N92" i="87" s="1"/>
  <c r="H139" i="104"/>
  <c r="I107" i="104"/>
  <c r="H58" i="104"/>
  <c r="H10" i="104" l="1"/>
  <c r="H11" i="104"/>
  <c r="M190" i="104"/>
  <c r="M188" i="104"/>
  <c r="M186" i="104"/>
  <c r="M184" i="104"/>
  <c r="M182" i="104"/>
  <c r="M181" i="104"/>
  <c r="M180" i="104"/>
  <c r="M179" i="104"/>
  <c r="M178" i="104"/>
  <c r="M177" i="104"/>
  <c r="M175" i="104"/>
  <c r="M174" i="104"/>
  <c r="M173" i="104"/>
  <c r="M171" i="104"/>
  <c r="M169" i="104"/>
  <c r="M167" i="104"/>
  <c r="M161" i="104"/>
  <c r="M160" i="104"/>
  <c r="M158" i="104"/>
  <c r="M156" i="104"/>
  <c r="M155" i="104" s="1"/>
  <c r="M149" i="104"/>
  <c r="M148" i="104"/>
  <c r="M147" i="104"/>
  <c r="M141" i="104"/>
  <c r="M140" i="104" s="1"/>
  <c r="M139" i="104"/>
  <c r="M138" i="104"/>
  <c r="M131" i="104"/>
  <c r="M130" i="104"/>
  <c r="M125" i="104"/>
  <c r="M124" i="104"/>
  <c r="M123" i="104"/>
  <c r="M122" i="104"/>
  <c r="M116" i="104"/>
  <c r="M115" i="104" s="1"/>
  <c r="M114" i="104"/>
  <c r="M113" i="104" s="1"/>
  <c r="M112" i="104"/>
  <c r="M111" i="104" s="1"/>
  <c r="M110" i="104"/>
  <c r="M108" i="104"/>
  <c r="M107" i="104" s="1"/>
  <c r="M106" i="104"/>
  <c r="M105" i="104" s="1"/>
  <c r="M100" i="104"/>
  <c r="M98" i="104"/>
  <c r="M92" i="104"/>
  <c r="M86" i="104"/>
  <c r="M84" i="104"/>
  <c r="M83" i="104"/>
  <c r="M82" i="104"/>
  <c r="M81" i="104"/>
  <c r="M80" i="104"/>
  <c r="M78" i="104"/>
  <c r="M76" i="104"/>
  <c r="M74" i="104"/>
  <c r="M73" i="104" s="1"/>
  <c r="M72" i="104"/>
  <c r="M71" i="104" s="1"/>
  <c r="M67" i="104"/>
  <c r="M66" i="104" s="1"/>
  <c r="M65" i="104"/>
  <c r="M64" i="104"/>
  <c r="M63" i="104"/>
  <c r="M61" i="104"/>
  <c r="M59" i="104"/>
  <c r="M57" i="104"/>
  <c r="M56" i="104" s="1"/>
  <c r="M51" i="104"/>
  <c r="M49" i="104"/>
  <c r="M48" i="104"/>
  <c r="M47" i="104"/>
  <c r="M41" i="104"/>
  <c r="M39" i="104"/>
  <c r="M38" i="104"/>
  <c r="M36" i="104"/>
  <c r="M35" i="104"/>
  <c r="M34" i="104"/>
  <c r="M33" i="104"/>
  <c r="M31" i="104"/>
  <c r="M24" i="104"/>
  <c r="M22" i="104"/>
  <c r="M21" i="104"/>
  <c r="M20" i="104"/>
  <c r="M19" i="104"/>
  <c r="M18" i="104"/>
  <c r="M17" i="104"/>
  <c r="M11" i="104"/>
  <c r="M10" i="104"/>
  <c r="M9" i="104"/>
  <c r="M8" i="104"/>
  <c r="M7" i="104"/>
  <c r="M6" i="104"/>
  <c r="I189" i="104"/>
  <c r="I187" i="104"/>
  <c r="I185" i="104"/>
  <c r="I183" i="104"/>
  <c r="I176" i="104"/>
  <c r="I157" i="104"/>
  <c r="L155" i="104"/>
  <c r="K155" i="104"/>
  <c r="J155" i="104"/>
  <c r="I155" i="104"/>
  <c r="I146" i="104"/>
  <c r="L140" i="104"/>
  <c r="K140" i="104"/>
  <c r="J140" i="104"/>
  <c r="I140" i="104"/>
  <c r="I137" i="104"/>
  <c r="I129" i="104"/>
  <c r="L129" i="104"/>
  <c r="J129" i="104"/>
  <c r="J133" i="104" s="1"/>
  <c r="I121" i="104"/>
  <c r="I126" i="104" s="1"/>
  <c r="L115" i="104"/>
  <c r="K115" i="104"/>
  <c r="J115" i="104"/>
  <c r="I115" i="104"/>
  <c r="L113" i="104"/>
  <c r="K113" i="104"/>
  <c r="J113" i="104"/>
  <c r="I113" i="104"/>
  <c r="L111" i="104"/>
  <c r="K111" i="104"/>
  <c r="J111" i="104"/>
  <c r="I111" i="104"/>
  <c r="L109" i="104"/>
  <c r="J109" i="104"/>
  <c r="K109" i="104"/>
  <c r="I109" i="104"/>
  <c r="L107" i="104"/>
  <c r="K107" i="104"/>
  <c r="J107" i="104"/>
  <c r="L105" i="104"/>
  <c r="K105" i="104"/>
  <c r="J105" i="104"/>
  <c r="I105" i="104"/>
  <c r="J99" i="104"/>
  <c r="I99" i="104"/>
  <c r="L97" i="104"/>
  <c r="I97" i="104"/>
  <c r="J91" i="104"/>
  <c r="J93" i="104" s="1"/>
  <c r="I91" i="104"/>
  <c r="I93" i="104" s="1"/>
  <c r="J85" i="104"/>
  <c r="I85" i="104"/>
  <c r="J77" i="104"/>
  <c r="I77" i="104"/>
  <c r="K75" i="104"/>
  <c r="I75" i="104"/>
  <c r="K73" i="104"/>
  <c r="J73" i="104"/>
  <c r="I73" i="104"/>
  <c r="L71" i="104"/>
  <c r="K71" i="104"/>
  <c r="J71" i="104"/>
  <c r="I71" i="104"/>
  <c r="L66" i="104"/>
  <c r="K66" i="104"/>
  <c r="J66" i="104"/>
  <c r="I66" i="104"/>
  <c r="L62" i="104"/>
  <c r="I62" i="104"/>
  <c r="J60" i="104"/>
  <c r="I60" i="104"/>
  <c r="K58" i="104"/>
  <c r="L58" i="104"/>
  <c r="J58" i="104"/>
  <c r="I58" i="104"/>
  <c r="L56" i="104"/>
  <c r="J56" i="104"/>
  <c r="K56" i="104"/>
  <c r="I50" i="104"/>
  <c r="J46" i="104"/>
  <c r="I46" i="104"/>
  <c r="I52" i="104" s="1"/>
  <c r="I40" i="104"/>
  <c r="J37" i="104"/>
  <c r="I37" i="104"/>
  <c r="I32" i="104"/>
  <c r="I30" i="104"/>
  <c r="I23" i="104"/>
  <c r="I16" i="104"/>
  <c r="J5" i="104"/>
  <c r="M5" i="104" l="1"/>
  <c r="I133" i="104"/>
  <c r="I151" i="104"/>
  <c r="J13" i="104"/>
  <c r="I118" i="104"/>
  <c r="I26" i="104"/>
  <c r="J16" i="104"/>
  <c r="J40" i="104"/>
  <c r="K50" i="104"/>
  <c r="J50" i="104"/>
  <c r="J52" i="104" s="1"/>
  <c r="K121" i="104"/>
  <c r="K126" i="104" s="1"/>
  <c r="I5" i="104"/>
  <c r="I13" i="104" s="1"/>
  <c r="I43" i="104"/>
  <c r="J62" i="104"/>
  <c r="J68" i="104" s="1"/>
  <c r="L73" i="104"/>
  <c r="J75" i="104"/>
  <c r="I79" i="104"/>
  <c r="I88" i="104" s="1"/>
  <c r="I101" i="104"/>
  <c r="J97" i="104"/>
  <c r="J101" i="104" s="1"/>
  <c r="J118" i="104"/>
  <c r="M109" i="104"/>
  <c r="K129" i="104"/>
  <c r="K133" i="104" s="1"/>
  <c r="I142" i="104"/>
  <c r="J146" i="104"/>
  <c r="J79" i="104"/>
  <c r="K40" i="104"/>
  <c r="L40" i="104"/>
  <c r="J23" i="104"/>
  <c r="J30" i="104"/>
  <c r="J32" i="104"/>
  <c r="M58" i="104"/>
  <c r="L85" i="104"/>
  <c r="K85" i="104"/>
  <c r="J137" i="104"/>
  <c r="J142" i="104" s="1"/>
  <c r="K166" i="104"/>
  <c r="L166" i="104"/>
  <c r="K168" i="104"/>
  <c r="L168" i="104"/>
  <c r="K170" i="104"/>
  <c r="L170" i="104"/>
  <c r="K172" i="104"/>
  <c r="L172" i="104"/>
  <c r="J176" i="104"/>
  <c r="L50" i="104"/>
  <c r="I56" i="104"/>
  <c r="I68" i="104" s="1"/>
  <c r="K62" i="104"/>
  <c r="L75" i="104"/>
  <c r="K97" i="104"/>
  <c r="M97" i="104"/>
  <c r="J121" i="104"/>
  <c r="J126" i="104" s="1"/>
  <c r="L121" i="104"/>
  <c r="L126" i="104" s="1"/>
  <c r="M129" i="104"/>
  <c r="I159" i="104"/>
  <c r="I163" i="104" s="1"/>
  <c r="I166" i="104"/>
  <c r="J166" i="104"/>
  <c r="I168" i="104"/>
  <c r="J168" i="104"/>
  <c r="I170" i="104"/>
  <c r="J170" i="104"/>
  <c r="I172" i="104"/>
  <c r="J172" i="104"/>
  <c r="J183" i="104"/>
  <c r="J185" i="104"/>
  <c r="J187" i="104"/>
  <c r="J189" i="104"/>
  <c r="I192" i="104" l="1"/>
  <c r="I193" i="104" s="1"/>
  <c r="I198" i="104" s="1"/>
  <c r="J88" i="104"/>
  <c r="J26" i="104"/>
  <c r="M133" i="104"/>
  <c r="J151" i="104"/>
  <c r="L133" i="104"/>
  <c r="M85" i="104"/>
  <c r="J43" i="104"/>
  <c r="K99" i="104"/>
  <c r="K101" i="104" s="1"/>
  <c r="J192" i="104"/>
  <c r="K118" i="104"/>
  <c r="L118" i="104"/>
  <c r="K37" i="104"/>
  <c r="L37" i="104"/>
  <c r="K5" i="104"/>
  <c r="L5" i="104"/>
  <c r="M170" i="104"/>
  <c r="M166" i="104"/>
  <c r="K79" i="104"/>
  <c r="K77" i="104"/>
  <c r="L77" i="104"/>
  <c r="M75" i="104"/>
  <c r="L30" i="104"/>
  <c r="K30" i="104"/>
  <c r="M40" i="104"/>
  <c r="J157" i="104"/>
  <c r="K146" i="104"/>
  <c r="K151" i="104" s="1"/>
  <c r="L91" i="104"/>
  <c r="L93" i="104" s="1"/>
  <c r="K91" i="104"/>
  <c r="K93" i="104" s="1"/>
  <c r="L79" i="104"/>
  <c r="M62" i="104"/>
  <c r="L60" i="104"/>
  <c r="L68" i="104" s="1"/>
  <c r="K60" i="104"/>
  <c r="K68" i="104" s="1"/>
  <c r="K46" i="104"/>
  <c r="K52" i="104" s="1"/>
  <c r="L46" i="104"/>
  <c r="L52" i="104" s="1"/>
  <c r="K16" i="104"/>
  <c r="K189" i="104"/>
  <c r="K187" i="104"/>
  <c r="K185" i="104"/>
  <c r="K183" i="104"/>
  <c r="K176" i="104"/>
  <c r="M172" i="104"/>
  <c r="M168" i="104"/>
  <c r="K137" i="104"/>
  <c r="K142" i="104" s="1"/>
  <c r="M121" i="104"/>
  <c r="M126" i="104" s="1"/>
  <c r="M91" i="104"/>
  <c r="M93" i="104" s="1"/>
  <c r="M77" i="104"/>
  <c r="M60" i="104"/>
  <c r="M50" i="104"/>
  <c r="K32" i="104"/>
  <c r="K23" i="104"/>
  <c r="M68" i="104" l="1"/>
  <c r="M30" i="104"/>
  <c r="M37" i="104"/>
  <c r="L99" i="104"/>
  <c r="L101" i="104" s="1"/>
  <c r="M99" i="104"/>
  <c r="M101" i="104" s="1"/>
  <c r="L88" i="104"/>
  <c r="L23" i="104"/>
  <c r="M23" i="104"/>
  <c r="L137" i="104"/>
  <c r="L142" i="104" s="1"/>
  <c r="M137" i="104"/>
  <c r="M142" i="104" s="1"/>
  <c r="L176" i="104"/>
  <c r="M176" i="104"/>
  <c r="L183" i="104"/>
  <c r="M183" i="104"/>
  <c r="L185" i="104"/>
  <c r="M185" i="104"/>
  <c r="L187" i="104"/>
  <c r="M187" i="104"/>
  <c r="L189" i="104"/>
  <c r="M189" i="104"/>
  <c r="L16" i="104"/>
  <c r="M16" i="104"/>
  <c r="K43" i="104"/>
  <c r="L13" i="104"/>
  <c r="K192" i="104"/>
  <c r="M46" i="104"/>
  <c r="M52" i="104" s="1"/>
  <c r="L32" i="104"/>
  <c r="M32" i="104"/>
  <c r="M79" i="104"/>
  <c r="M88" i="104" s="1"/>
  <c r="J159" i="104"/>
  <c r="J163" i="104" s="1"/>
  <c r="J193" i="104" s="1"/>
  <c r="J198" i="104" s="1"/>
  <c r="K26" i="104"/>
  <c r="M118" i="104"/>
  <c r="L146" i="104"/>
  <c r="L151" i="104" s="1"/>
  <c r="M146" i="104"/>
  <c r="M151" i="104" s="1"/>
  <c r="L157" i="104"/>
  <c r="K157" i="104"/>
  <c r="M157" i="104"/>
  <c r="L43" i="104"/>
  <c r="K88" i="104"/>
  <c r="K13" i="104"/>
  <c r="L26" i="104" l="1"/>
  <c r="M26" i="104"/>
  <c r="M43" i="104"/>
  <c r="M13" i="104"/>
  <c r="M192" i="104"/>
  <c r="K159" i="104"/>
  <c r="K163" i="104" s="1"/>
  <c r="K193" i="104" s="1"/>
  <c r="K198" i="104" s="1"/>
  <c r="L192" i="104"/>
  <c r="L159" i="104" l="1"/>
  <c r="L163" i="104" s="1"/>
  <c r="L193" i="104" s="1"/>
  <c r="L198" i="104" s="1"/>
  <c r="M159" i="104"/>
  <c r="M163" i="104" s="1"/>
  <c r="M193" i="104" s="1"/>
  <c r="M198" i="104" s="1"/>
  <c r="I69" i="97" l="1"/>
  <c r="F20" i="100"/>
  <c r="F19" i="100" s="1"/>
  <c r="G20" i="100"/>
  <c r="G19" i="100" s="1"/>
  <c r="I20" i="100"/>
  <c r="I19" i="100" s="1"/>
  <c r="J20" i="100"/>
  <c r="J19" i="100" s="1"/>
  <c r="E20" i="100"/>
  <c r="E19" i="100" s="1"/>
  <c r="M26" i="89"/>
  <c r="M25" i="89"/>
  <c r="M24" i="89"/>
  <c r="M23" i="89"/>
  <c r="M22" i="89"/>
  <c r="M21" i="89"/>
  <c r="M20" i="89"/>
  <c r="M19" i="89"/>
  <c r="M18" i="89"/>
  <c r="M16" i="89"/>
  <c r="M15" i="89"/>
  <c r="M14" i="89"/>
  <c r="M13" i="89"/>
  <c r="M12" i="89"/>
  <c r="M38" i="89"/>
  <c r="M35" i="89"/>
  <c r="M34" i="89"/>
  <c r="M33" i="89"/>
  <c r="M32" i="89"/>
  <c r="M44" i="89"/>
  <c r="M42" i="89"/>
  <c r="M41" i="89"/>
  <c r="M40" i="89"/>
  <c r="M55" i="89"/>
  <c r="M54" i="89"/>
  <c r="M53" i="89"/>
  <c r="M52" i="89"/>
  <c r="M51" i="89"/>
  <c r="M50" i="89"/>
  <c r="M49" i="89"/>
  <c r="M48" i="89"/>
  <c r="M47" i="89"/>
  <c r="M46" i="89"/>
  <c r="M59" i="89"/>
  <c r="M58" i="89"/>
  <c r="M57" i="89"/>
  <c r="N84" i="85"/>
  <c r="N83" i="85"/>
  <c r="N82" i="85"/>
  <c r="N81" i="85"/>
  <c r="N80" i="85"/>
  <c r="N79" i="85"/>
  <c r="N77" i="85"/>
  <c r="N76" i="85"/>
  <c r="N75" i="85"/>
  <c r="N74" i="85"/>
  <c r="N73" i="85"/>
  <c r="N72" i="85"/>
  <c r="N71" i="85"/>
  <c r="N70" i="85"/>
  <c r="N69" i="85"/>
  <c r="N68" i="85"/>
  <c r="N67" i="85"/>
  <c r="N66" i="85"/>
  <c r="N64" i="85"/>
  <c r="N63" i="85"/>
  <c r="N61" i="85"/>
  <c r="N60" i="85"/>
  <c r="N58" i="85"/>
  <c r="N57" i="85"/>
  <c r="N56" i="85"/>
  <c r="N55" i="85"/>
  <c r="N51" i="85"/>
  <c r="N50" i="85"/>
  <c r="N49" i="85"/>
  <c r="N48" i="85"/>
  <c r="N47" i="85"/>
  <c r="N46" i="85"/>
  <c r="N45" i="85"/>
  <c r="N44" i="85"/>
  <c r="N43" i="85"/>
  <c r="N42" i="85"/>
  <c r="N37" i="85"/>
  <c r="N36" i="85"/>
  <c r="N35" i="85"/>
  <c r="N30" i="85"/>
  <c r="N29" i="85"/>
  <c r="N28" i="85"/>
  <c r="N27" i="85"/>
  <c r="N25" i="85"/>
  <c r="N24" i="85"/>
  <c r="N22" i="85"/>
  <c r="N19" i="85"/>
  <c r="N18" i="85"/>
  <c r="N17" i="85"/>
  <c r="N16" i="85"/>
  <c r="N15" i="85"/>
  <c r="N13" i="85"/>
  <c r="N12" i="85"/>
  <c r="N161" i="85"/>
  <c r="N160" i="85"/>
  <c r="N159" i="85"/>
  <c r="N158" i="85"/>
  <c r="N157" i="85"/>
  <c r="N156" i="85"/>
  <c r="N155" i="85"/>
  <c r="N154" i="85"/>
  <c r="N153" i="85"/>
  <c r="N152" i="85"/>
  <c r="N151" i="85"/>
  <c r="N150" i="85"/>
  <c r="N148" i="85"/>
  <c r="N147" i="85"/>
  <c r="N146" i="85"/>
  <c r="N145" i="85"/>
  <c r="N144" i="85"/>
  <c r="N143" i="85"/>
  <c r="N142" i="85"/>
  <c r="N141" i="85"/>
  <c r="N140" i="85"/>
  <c r="N138" i="85"/>
  <c r="N137" i="85"/>
  <c r="N136" i="85"/>
  <c r="N135" i="85"/>
  <c r="N130" i="85"/>
  <c r="N129" i="85"/>
  <c r="N128" i="85"/>
  <c r="N117" i="85"/>
  <c r="N114" i="85"/>
  <c r="N107" i="85"/>
  <c r="N105" i="85"/>
  <c r="N104" i="85"/>
  <c r="N103" i="85"/>
  <c r="N101" i="85"/>
  <c r="N100" i="85"/>
  <c r="N99" i="85"/>
  <c r="N98" i="85"/>
  <c r="N96" i="85"/>
  <c r="N95" i="85"/>
  <c r="N94" i="85"/>
  <c r="N93" i="85"/>
  <c r="N92" i="85"/>
  <c r="N90" i="85"/>
  <c r="N89" i="85"/>
  <c r="N88" i="85"/>
  <c r="N87" i="85"/>
  <c r="N210" i="85"/>
  <c r="N209" i="85"/>
  <c r="N206" i="85"/>
  <c r="N202" i="85"/>
  <c r="N201" i="85"/>
  <c r="N200" i="85"/>
  <c r="N199" i="85"/>
  <c r="N198" i="85"/>
  <c r="N196" i="85"/>
  <c r="N195" i="85"/>
  <c r="N194" i="85"/>
  <c r="N193" i="85"/>
  <c r="N192" i="85"/>
  <c r="N190" i="85"/>
  <c r="N189" i="85"/>
  <c r="N185" i="85"/>
  <c r="N184" i="85"/>
  <c r="N183" i="85"/>
  <c r="N182" i="85"/>
  <c r="N181" i="85"/>
  <c r="N179" i="85"/>
  <c r="N178" i="85"/>
  <c r="N175" i="85"/>
  <c r="N174" i="85"/>
  <c r="N173" i="85"/>
  <c r="N172" i="85"/>
  <c r="N171" i="85"/>
  <c r="N170" i="85"/>
  <c r="N245" i="85"/>
  <c r="N244" i="85"/>
  <c r="N243" i="85"/>
  <c r="N242" i="85"/>
  <c r="N241" i="85"/>
  <c r="N240" i="85"/>
  <c r="N238" i="85"/>
  <c r="N237" i="85"/>
  <c r="N236" i="85"/>
  <c r="N235" i="85"/>
  <c r="N234" i="85"/>
  <c r="N232" i="85"/>
  <c r="N231" i="85"/>
  <c r="N229" i="85"/>
  <c r="N228" i="85"/>
  <c r="N227" i="85"/>
  <c r="N226" i="85"/>
  <c r="N225" i="85"/>
  <c r="N224" i="85"/>
  <c r="N223" i="85"/>
  <c r="N222" i="85"/>
  <c r="N221" i="85"/>
  <c r="N220" i="85"/>
  <c r="N219" i="85"/>
  <c r="N218" i="85"/>
  <c r="N217" i="85"/>
  <c r="N216" i="85"/>
  <c r="N267" i="85"/>
  <c r="N266" i="85"/>
  <c r="N265" i="85"/>
  <c r="N263" i="85"/>
  <c r="N262" i="85"/>
  <c r="N261" i="85"/>
  <c r="N260" i="85"/>
  <c r="N259" i="85"/>
  <c r="N257" i="85"/>
  <c r="N256" i="85"/>
  <c r="N255" i="85"/>
  <c r="N253" i="85"/>
  <c r="N252" i="85"/>
  <c r="N250" i="85"/>
  <c r="N291" i="85"/>
  <c r="N300" i="85"/>
  <c r="N299" i="85"/>
  <c r="N306" i="85"/>
  <c r="N305" i="85"/>
  <c r="N304" i="85"/>
  <c r="N303" i="85"/>
  <c r="N312" i="85"/>
  <c r="S312" i="85"/>
  <c r="S309" i="85"/>
  <c r="S306" i="85"/>
  <c r="S305" i="85"/>
  <c r="S304" i="85"/>
  <c r="S285" i="85"/>
  <c r="S282" i="85"/>
  <c r="S281" i="85"/>
  <c r="S280" i="85"/>
  <c r="S279" i="85"/>
  <c r="S278" i="85"/>
  <c r="S277" i="85"/>
  <c r="S276" i="85"/>
  <c r="S275" i="85"/>
  <c r="S274" i="85"/>
  <c r="S273" i="85"/>
  <c r="S272" i="85"/>
  <c r="S271" i="85"/>
  <c r="S269" i="85"/>
  <c r="S267" i="85"/>
  <c r="S266" i="85"/>
  <c r="S265" i="85"/>
  <c r="S262" i="85"/>
  <c r="S261" i="85"/>
  <c r="S260" i="85"/>
  <c r="S259" i="85"/>
  <c r="S258" i="85"/>
  <c r="S257" i="85"/>
  <c r="S256" i="85"/>
  <c r="S255" i="85"/>
  <c r="S254" i="85"/>
  <c r="S253" i="85"/>
  <c r="S252" i="85"/>
  <c r="S251" i="85"/>
  <c r="S250" i="85"/>
  <c r="S245" i="85"/>
  <c r="S244" i="85"/>
  <c r="S243" i="85"/>
  <c r="S242" i="85"/>
  <c r="S241" i="85"/>
  <c r="S240" i="85"/>
  <c r="S239" i="85"/>
  <c r="S238" i="85"/>
  <c r="S237" i="85"/>
  <c r="S236" i="85"/>
  <c r="S235" i="85"/>
  <c r="S234" i="85"/>
  <c r="S233" i="85"/>
  <c r="S232" i="85"/>
  <c r="S231" i="85"/>
  <c r="S229" i="85"/>
  <c r="S227" i="85"/>
  <c r="S226" i="85"/>
  <c r="S225" i="85"/>
  <c r="S224" i="85"/>
  <c r="S223" i="85"/>
  <c r="S222" i="85"/>
  <c r="S220" i="85"/>
  <c r="S219" i="85"/>
  <c r="S218" i="85"/>
  <c r="S217" i="85"/>
  <c r="S216" i="85"/>
  <c r="S210" i="85"/>
  <c r="S209" i="85"/>
  <c r="S208" i="85"/>
  <c r="S207" i="85"/>
  <c r="S206" i="85"/>
  <c r="S204" i="85"/>
  <c r="S202" i="85"/>
  <c r="S201" i="85"/>
  <c r="S200" i="85"/>
  <c r="S199" i="85"/>
  <c r="S198" i="85"/>
  <c r="S197" i="85"/>
  <c r="S193" i="85"/>
  <c r="S192" i="85"/>
  <c r="S191" i="85"/>
  <c r="S189" i="85"/>
  <c r="S186" i="85"/>
  <c r="S185" i="85"/>
  <c r="S184" i="85"/>
  <c r="S178" i="85"/>
  <c r="S177" i="85"/>
  <c r="S176" i="85"/>
  <c r="S175" i="85"/>
  <c r="S174" i="85"/>
  <c r="S173" i="85"/>
  <c r="S172" i="85"/>
  <c r="S169" i="85"/>
  <c r="S168" i="85"/>
  <c r="S161" i="85"/>
  <c r="S160" i="85"/>
  <c r="S159" i="85"/>
  <c r="S158" i="85"/>
  <c r="S157" i="85"/>
  <c r="S156" i="85"/>
  <c r="S155" i="85"/>
  <c r="S154" i="85"/>
  <c r="S153" i="85"/>
  <c r="S152" i="85"/>
  <c r="S151" i="85"/>
  <c r="S150" i="85"/>
  <c r="S148" i="85"/>
  <c r="S147" i="85"/>
  <c r="S146" i="85"/>
  <c r="S145" i="85"/>
  <c r="S144" i="85"/>
  <c r="S143" i="85"/>
  <c r="S142" i="85"/>
  <c r="S141" i="85"/>
  <c r="S140" i="85"/>
  <c r="S139" i="85"/>
  <c r="S137" i="85"/>
  <c r="S136" i="85"/>
  <c r="S135" i="85"/>
  <c r="S134" i="85"/>
  <c r="S133" i="85"/>
  <c r="S132" i="85"/>
  <c r="S131" i="85"/>
  <c r="S130" i="85"/>
  <c r="S129" i="85"/>
  <c r="S128" i="85"/>
  <c r="S127" i="85"/>
  <c r="S126" i="85"/>
  <c r="S125" i="85"/>
  <c r="S124" i="85"/>
  <c r="S123" i="85"/>
  <c r="S122" i="85"/>
  <c r="S121" i="85"/>
  <c r="S120" i="85"/>
  <c r="S119" i="85"/>
  <c r="S118" i="85"/>
  <c r="S117" i="85"/>
  <c r="S116" i="85"/>
  <c r="S115" i="85"/>
  <c r="S114" i="85"/>
  <c r="S113" i="85"/>
  <c r="S111" i="85"/>
  <c r="S110" i="85"/>
  <c r="S108" i="85"/>
  <c r="S107" i="85"/>
  <c r="S104" i="85"/>
  <c r="S103" i="85"/>
  <c r="S102" i="85"/>
  <c r="S101" i="85"/>
  <c r="S100" i="85"/>
  <c r="S99" i="85"/>
  <c r="S98" i="85"/>
  <c r="S97" i="85"/>
  <c r="S95" i="85"/>
  <c r="S94" i="85"/>
  <c r="S93" i="85"/>
  <c r="S92" i="85"/>
  <c r="S91" i="85"/>
  <c r="S89" i="85"/>
  <c r="S88" i="85"/>
  <c r="S87" i="85"/>
  <c r="S84" i="85"/>
  <c r="S83" i="85"/>
  <c r="S82" i="85"/>
  <c r="S81" i="85"/>
  <c r="S80" i="85"/>
  <c r="S79" i="85"/>
  <c r="S78" i="85"/>
  <c r="S77" i="85"/>
  <c r="T77" i="85" s="1"/>
  <c r="S76" i="85"/>
  <c r="S75" i="85"/>
  <c r="S74" i="85"/>
  <c r="S73" i="85"/>
  <c r="T73" i="85" s="1"/>
  <c r="S72" i="85"/>
  <c r="S71" i="85"/>
  <c r="S70" i="85"/>
  <c r="S69" i="85"/>
  <c r="T69" i="85" s="1"/>
  <c r="S67" i="85"/>
  <c r="S66" i="85"/>
  <c r="S65" i="85"/>
  <c r="S63" i="85"/>
  <c r="S62" i="85"/>
  <c r="S61" i="85"/>
  <c r="S59" i="85"/>
  <c r="S54" i="85"/>
  <c r="S53" i="85"/>
  <c r="S52" i="85"/>
  <c r="S51" i="85"/>
  <c r="S50" i="85"/>
  <c r="S49" i="85"/>
  <c r="S48" i="85"/>
  <c r="S45" i="85"/>
  <c r="S44" i="85"/>
  <c r="S43" i="85"/>
  <c r="S42" i="85"/>
  <c r="S41" i="85"/>
  <c r="S40" i="85"/>
  <c r="S39" i="85"/>
  <c r="S38" i="85"/>
  <c r="S37" i="85"/>
  <c r="S35" i="85"/>
  <c r="T35" i="85" s="1"/>
  <c r="S34" i="85"/>
  <c r="S33" i="85"/>
  <c r="S32" i="85"/>
  <c r="S31" i="85"/>
  <c r="S30" i="85"/>
  <c r="S29" i="85"/>
  <c r="S28" i="85"/>
  <c r="S27" i="85"/>
  <c r="S25" i="85"/>
  <c r="S24" i="85"/>
  <c r="S23" i="85"/>
  <c r="S22" i="85"/>
  <c r="S21" i="85"/>
  <c r="S19" i="85"/>
  <c r="S17" i="85"/>
  <c r="S16" i="85"/>
  <c r="S15" i="85"/>
  <c r="S14" i="85"/>
  <c r="S13" i="85"/>
  <c r="S12" i="85"/>
  <c r="K214" i="85"/>
  <c r="M70" i="87"/>
  <c r="O70" i="87" s="1"/>
  <c r="M73" i="87"/>
  <c r="O73" i="87" s="1"/>
  <c r="M62" i="87"/>
  <c r="O62" i="87" s="1"/>
  <c r="T72" i="85" l="1"/>
  <c r="T48" i="85"/>
  <c r="T79" i="85"/>
  <c r="T22" i="85"/>
  <c r="T259" i="85"/>
  <c r="T219" i="85"/>
  <c r="T245" i="85"/>
  <c r="T304" i="85"/>
  <c r="T50" i="85"/>
  <c r="T63" i="85"/>
  <c r="T81" i="85"/>
  <c r="T66" i="85"/>
  <c r="T83" i="85"/>
  <c r="T25" i="85"/>
  <c r="T312" i="85"/>
  <c r="T16" i="85"/>
  <c r="T27" i="85"/>
  <c r="T107" i="85"/>
  <c r="T261" i="85"/>
  <c r="T88" i="85"/>
  <c r="M11" i="89"/>
  <c r="T76" i="85"/>
  <c r="T19" i="85"/>
  <c r="T30" i="85"/>
  <c r="T104" i="85"/>
  <c r="T237" i="85"/>
  <c r="T266" i="85"/>
  <c r="T44" i="85"/>
  <c r="T216" i="85"/>
  <c r="T220" i="85"/>
  <c r="T253" i="85"/>
  <c r="T305" i="85"/>
  <c r="T28" i="85"/>
  <c r="T70" i="85"/>
  <c r="T74" i="85"/>
  <c r="T225" i="85"/>
  <c r="T234" i="85"/>
  <c r="T13" i="85"/>
  <c r="T98" i="85"/>
  <c r="T217" i="85"/>
  <c r="T235" i="85"/>
  <c r="T243" i="85"/>
  <c r="T250" i="85"/>
  <c r="T24" i="85"/>
  <c r="T29" i="85"/>
  <c r="T42" i="85"/>
  <c r="T61" i="85"/>
  <c r="T71" i="85"/>
  <c r="T218" i="85"/>
  <c r="T227" i="85"/>
  <c r="T236" i="85"/>
  <c r="T100" i="85"/>
  <c r="T229" i="85"/>
  <c r="T255" i="85"/>
  <c r="T265" i="85"/>
  <c r="T238" i="85"/>
  <c r="T231" i="85"/>
  <c r="T257" i="85"/>
  <c r="T267" i="85"/>
  <c r="T75" i="85"/>
  <c r="T223" i="85"/>
  <c r="T306" i="85"/>
  <c r="T241" i="85"/>
  <c r="T12" i="85"/>
  <c r="T49" i="85"/>
  <c r="T51" i="85"/>
  <c r="T67" i="85"/>
  <c r="T15" i="85"/>
  <c r="T17" i="85"/>
  <c r="T37" i="85"/>
  <c r="T43" i="85"/>
  <c r="T45" i="85"/>
  <c r="T80" i="85"/>
  <c r="T82" i="85"/>
  <c r="T84" i="85"/>
  <c r="T92" i="85"/>
  <c r="T94" i="85"/>
  <c r="T114" i="85"/>
  <c r="T222" i="85"/>
  <c r="T224" i="85"/>
  <c r="T226" i="85"/>
  <c r="T232" i="85"/>
  <c r="T240" i="85"/>
  <c r="T242" i="85"/>
  <c r="T244" i="85"/>
  <c r="T252" i="85"/>
  <c r="T256" i="85"/>
  <c r="T260" i="85"/>
  <c r="T262" i="85"/>
  <c r="T128" i="85"/>
  <c r="T130" i="85"/>
  <c r="T136" i="85"/>
  <c r="T140" i="85"/>
  <c r="T142" i="85"/>
  <c r="T144" i="85"/>
  <c r="T146" i="85"/>
  <c r="T148" i="85"/>
  <c r="T151" i="85"/>
  <c r="T153" i="85"/>
  <c r="T155" i="85"/>
  <c r="T157" i="85"/>
  <c r="T159" i="85"/>
  <c r="T161" i="85"/>
  <c r="T173" i="85"/>
  <c r="T175" i="85"/>
  <c r="T185" i="85"/>
  <c r="T189" i="85"/>
  <c r="T193" i="85"/>
  <c r="T199" i="85"/>
  <c r="T201" i="85"/>
  <c r="T209" i="85"/>
  <c r="T87" i="85"/>
  <c r="T89" i="85"/>
  <c r="T93" i="85"/>
  <c r="T95" i="85"/>
  <c r="T99" i="85"/>
  <c r="T101" i="85"/>
  <c r="T103" i="85"/>
  <c r="T117" i="85"/>
  <c r="T129" i="85"/>
  <c r="T135" i="85"/>
  <c r="T137" i="85"/>
  <c r="T141" i="85"/>
  <c r="T143" i="85"/>
  <c r="T145" i="85"/>
  <c r="T147" i="85"/>
  <c r="T150" i="85"/>
  <c r="T152" i="85"/>
  <c r="T154" i="85"/>
  <c r="T156" i="85"/>
  <c r="T158" i="85"/>
  <c r="T160" i="85"/>
  <c r="T172" i="85"/>
  <c r="T174" i="85"/>
  <c r="T178" i="85"/>
  <c r="T184" i="85"/>
  <c r="T192" i="85"/>
  <c r="T198" i="85"/>
  <c r="T200" i="85"/>
  <c r="T202" i="85"/>
  <c r="T206" i="85"/>
  <c r="T210" i="85"/>
  <c r="L74" i="63"/>
  <c r="L73" i="63" s="1"/>
  <c r="L44" i="63"/>
  <c r="L38" i="63" s="1"/>
  <c r="L72" i="63"/>
  <c r="L71" i="63"/>
  <c r="L70" i="63"/>
  <c r="L69" i="63"/>
  <c r="L68" i="63"/>
  <c r="L67" i="63"/>
  <c r="L66" i="63"/>
  <c r="L65" i="63"/>
  <c r="L64" i="63"/>
  <c r="L63" i="63"/>
  <c r="L62" i="63"/>
  <c r="L61" i="63"/>
  <c r="L60" i="63"/>
  <c r="L59" i="63"/>
  <c r="L58" i="63"/>
  <c r="L57" i="63"/>
  <c r="L56" i="63"/>
  <c r="L55" i="63"/>
  <c r="L54" i="63"/>
  <c r="L53" i="63"/>
  <c r="L52" i="63"/>
  <c r="L51" i="63"/>
  <c r="L50" i="63"/>
  <c r="L49" i="63"/>
  <c r="L48" i="63"/>
  <c r="L47" i="63"/>
  <c r="L32" i="63"/>
  <c r="H13" i="42" s="1"/>
  <c r="L27" i="63"/>
  <c r="L26" i="63"/>
  <c r="L18" i="63"/>
  <c r="L16" i="63"/>
  <c r="L15" i="63"/>
  <c r="L14" i="63"/>
  <c r="L13" i="63"/>
  <c r="L12" i="63"/>
  <c r="L11" i="63"/>
  <c r="J15" i="63"/>
  <c r="N15" i="63" s="1"/>
  <c r="J14" i="63"/>
  <c r="N14" i="63" s="1"/>
  <c r="J13" i="63"/>
  <c r="N13" i="63" s="1"/>
  <c r="J12" i="63"/>
  <c r="N12" i="63" s="1"/>
  <c r="J11" i="63"/>
  <c r="K74" i="63"/>
  <c r="K73" i="63" s="1"/>
  <c r="M74" i="63"/>
  <c r="M73" i="63" s="1"/>
  <c r="M19" i="63"/>
  <c r="M10" i="63"/>
  <c r="U5" i="85" l="1"/>
  <c r="N11" i="63"/>
  <c r="L89" i="63"/>
  <c r="L25" i="63"/>
  <c r="H12" i="42" s="1"/>
  <c r="L10" i="63"/>
  <c r="L46" i="63"/>
  <c r="H15" i="42" s="1"/>
  <c r="H14" i="42"/>
  <c r="L19" i="63"/>
  <c r="H11" i="42" s="1"/>
  <c r="H17" i="42"/>
  <c r="H16" i="42" s="1"/>
  <c r="N74" i="63"/>
  <c r="N73" i="63" s="1"/>
  <c r="J74" i="63"/>
  <c r="J73" i="63" s="1"/>
  <c r="I74" i="63"/>
  <c r="K32" i="63"/>
  <c r="M32" i="63"/>
  <c r="M9" i="63" s="1"/>
  <c r="K19" i="63"/>
  <c r="K46" i="63"/>
  <c r="M46" i="63"/>
  <c r="H44" i="63"/>
  <c r="J44" i="63" s="1"/>
  <c r="H10" i="42" l="1"/>
  <c r="H9" i="42" s="1"/>
  <c r="L9" i="63"/>
  <c r="N44" i="63"/>
  <c r="N38" i="63" s="1"/>
  <c r="J38" i="63"/>
  <c r="L80" i="63"/>
  <c r="M80" i="63"/>
  <c r="I32" i="63"/>
  <c r="N19" i="63"/>
  <c r="J19" i="63"/>
  <c r="I19" i="63"/>
  <c r="I46" i="63"/>
  <c r="J46" i="63"/>
  <c r="G21" i="103"/>
  <c r="G22" i="103"/>
  <c r="G23" i="103"/>
  <c r="G24" i="103"/>
  <c r="G25" i="103"/>
  <c r="G27" i="103"/>
  <c r="G26" i="103" s="1"/>
  <c r="G29" i="103"/>
  <c r="G28" i="103" s="1"/>
  <c r="G31" i="103"/>
  <c r="G30" i="103" s="1"/>
  <c r="G33" i="103"/>
  <c r="G32" i="103" s="1"/>
  <c r="G17" i="103"/>
  <c r="G18" i="103"/>
  <c r="G19" i="103"/>
  <c r="G15" i="103"/>
  <c r="G14" i="103" s="1"/>
  <c r="G11" i="103"/>
  <c r="G10" i="103" s="1"/>
  <c r="K19" i="101"/>
  <c r="L19" i="101"/>
  <c r="J19" i="101"/>
  <c r="F19" i="101"/>
  <c r="G19" i="101"/>
  <c r="E19" i="101"/>
  <c r="J19" i="97"/>
  <c r="K19" i="97"/>
  <c r="N19" i="97"/>
  <c r="O19" i="97"/>
  <c r="P19" i="97"/>
  <c r="I19" i="97"/>
  <c r="Q34" i="97"/>
  <c r="Q35" i="97"/>
  <c r="Q37" i="97"/>
  <c r="Q39" i="97"/>
  <c r="Q40" i="97"/>
  <c r="Q41" i="97"/>
  <c r="Q42" i="97"/>
  <c r="Q43" i="97"/>
  <c r="Q44" i="97"/>
  <c r="Q45" i="97"/>
  <c r="Q46" i="97"/>
  <c r="Q47" i="97"/>
  <c r="Q48" i="97"/>
  <c r="Q49" i="97"/>
  <c r="Q50" i="97"/>
  <c r="R50" i="97" s="1"/>
  <c r="Q51" i="97"/>
  <c r="Q52" i="97"/>
  <c r="Q53" i="97"/>
  <c r="Q54" i="97"/>
  <c r="Q55" i="97"/>
  <c r="R55" i="97" s="1"/>
  <c r="Q56" i="97"/>
  <c r="Q57" i="97"/>
  <c r="Q58" i="97"/>
  <c r="R58" i="97" s="1"/>
  <c r="Q59" i="97"/>
  <c r="Q60" i="97"/>
  <c r="Q61" i="97"/>
  <c r="Q62" i="97"/>
  <c r="Q63" i="97"/>
  <c r="Q64" i="97"/>
  <c r="Q20" i="97"/>
  <c r="Q21" i="97"/>
  <c r="Q22" i="97"/>
  <c r="Q23" i="97"/>
  <c r="R23" i="97" s="1"/>
  <c r="Q24" i="97"/>
  <c r="Q25" i="97"/>
  <c r="Q26" i="97"/>
  <c r="Q27" i="97"/>
  <c r="Q28" i="97"/>
  <c r="Q29" i="97"/>
  <c r="Q30" i="97"/>
  <c r="Q31" i="97"/>
  <c r="R31" i="97" s="1"/>
  <c r="Q32" i="97"/>
  <c r="M12" i="97"/>
  <c r="J75" i="97"/>
  <c r="F18" i="101" s="1"/>
  <c r="K75" i="97"/>
  <c r="G18" i="101" s="1"/>
  <c r="N75" i="97"/>
  <c r="J18" i="101" s="1"/>
  <c r="P75" i="97"/>
  <c r="L18" i="101" s="1"/>
  <c r="I75" i="97"/>
  <c r="E18" i="101" s="1"/>
  <c r="O77" i="97"/>
  <c r="Q77" i="97" s="1"/>
  <c r="Q76" i="97"/>
  <c r="K74" i="97"/>
  <c r="Q71" i="97"/>
  <c r="Q72" i="97"/>
  <c r="Q73" i="97"/>
  <c r="Q74" i="97"/>
  <c r="Q70" i="97"/>
  <c r="J69" i="97"/>
  <c r="F17" i="101" s="1"/>
  <c r="N69" i="97"/>
  <c r="J17" i="101" s="1"/>
  <c r="O69" i="97"/>
  <c r="K17" i="101" s="1"/>
  <c r="P69" i="97"/>
  <c r="L17" i="101" s="1"/>
  <c r="E17" i="101"/>
  <c r="K69" i="97" l="1"/>
  <c r="G17" i="101" s="1"/>
  <c r="M74" i="97"/>
  <c r="R42" i="97"/>
  <c r="R57" i="97"/>
  <c r="R41" i="97"/>
  <c r="R21" i="97"/>
  <c r="R60" i="97"/>
  <c r="R52" i="97"/>
  <c r="R44" i="97"/>
  <c r="R53" i="97"/>
  <c r="R45" i="97"/>
  <c r="R64" i="97"/>
  <c r="R56" i="97"/>
  <c r="R48" i="97"/>
  <c r="R40" i="97"/>
  <c r="R62" i="97"/>
  <c r="R54" i="97"/>
  <c r="R46" i="97"/>
  <c r="R37" i="97"/>
  <c r="R35" i="97"/>
  <c r="R29" i="97"/>
  <c r="F16" i="101"/>
  <c r="H18" i="42"/>
  <c r="H22" i="42" s="1"/>
  <c r="R34" i="97"/>
  <c r="G16" i="101"/>
  <c r="R27" i="97"/>
  <c r="R25" i="97"/>
  <c r="R61" i="97"/>
  <c r="R28" i="97"/>
  <c r="R51" i="97"/>
  <c r="T51" i="97" s="1"/>
  <c r="E16" i="101"/>
  <c r="R72" i="97"/>
  <c r="I19" i="101"/>
  <c r="L16" i="101"/>
  <c r="M19" i="101"/>
  <c r="Q19" i="97"/>
  <c r="R59" i="97"/>
  <c r="R43" i="97"/>
  <c r="J68" i="97"/>
  <c r="J16" i="101"/>
  <c r="R76" i="97"/>
  <c r="R49" i="97"/>
  <c r="M19" i="97"/>
  <c r="I68" i="97"/>
  <c r="M17" i="101"/>
  <c r="I18" i="101"/>
  <c r="I17" i="101"/>
  <c r="R63" i="97"/>
  <c r="R47" i="97"/>
  <c r="R39" i="97"/>
  <c r="M75" i="97"/>
  <c r="R30" i="97"/>
  <c r="R26" i="97"/>
  <c r="R22" i="97"/>
  <c r="P68" i="97"/>
  <c r="N68" i="97"/>
  <c r="K68" i="97"/>
  <c r="G16" i="103"/>
  <c r="G20" i="103"/>
  <c r="N32" i="63"/>
  <c r="J32" i="63"/>
  <c r="R32" i="97"/>
  <c r="R24" i="97"/>
  <c r="R20" i="97"/>
  <c r="R77" i="97"/>
  <c r="R71" i="97"/>
  <c r="O75" i="97"/>
  <c r="Q75" i="97"/>
  <c r="R73" i="97"/>
  <c r="R70" i="97"/>
  <c r="R74" i="97"/>
  <c r="Q69" i="97"/>
  <c r="S19" i="97" l="1"/>
  <c r="V5" i="85" s="1"/>
  <c r="S5" i="97"/>
  <c r="N19" i="101"/>
  <c r="H65" i="104" s="1"/>
  <c r="Q68" i="97"/>
  <c r="R75" i="97"/>
  <c r="I16" i="101"/>
  <c r="R19" i="97"/>
  <c r="K18" i="101"/>
  <c r="K16" i="101" s="1"/>
  <c r="O68" i="97"/>
  <c r="N17" i="101"/>
  <c r="H63" i="104" s="1"/>
  <c r="R69" i="97"/>
  <c r="M69" i="97"/>
  <c r="M68" i="97" s="1"/>
  <c r="R68" i="97" l="1"/>
  <c r="M18" i="101"/>
  <c r="M16" i="101" s="1"/>
  <c r="J302" i="85"/>
  <c r="I302" i="85"/>
  <c r="J180" i="85"/>
  <c r="N180" i="85" s="1"/>
  <c r="J177" i="85"/>
  <c r="N177" i="85" s="1"/>
  <c r="T177" i="85" s="1"/>
  <c r="J176" i="85"/>
  <c r="N176" i="85" s="1"/>
  <c r="T176" i="85" s="1"/>
  <c r="L11" i="85"/>
  <c r="L10" i="85" s="1"/>
  <c r="O11" i="85"/>
  <c r="O10" i="85" s="1"/>
  <c r="Q11" i="85"/>
  <c r="Q10" i="85" s="1"/>
  <c r="N78" i="85"/>
  <c r="T78" i="85" s="1"/>
  <c r="S68" i="85"/>
  <c r="T68" i="85" s="1"/>
  <c r="N65" i="85"/>
  <c r="T65" i="85" s="1"/>
  <c r="S64" i="85"/>
  <c r="T64" i="85" s="1"/>
  <c r="N62" i="85"/>
  <c r="T62" i="85" s="1"/>
  <c r="S60" i="85"/>
  <c r="T60" i="85" s="1"/>
  <c r="N59" i="85"/>
  <c r="T59" i="85" s="1"/>
  <c r="S58" i="85"/>
  <c r="T58" i="85" s="1"/>
  <c r="S57" i="85"/>
  <c r="T57" i="85" s="1"/>
  <c r="S56" i="85"/>
  <c r="T56" i="85" s="1"/>
  <c r="S55" i="85"/>
  <c r="T55" i="85" s="1"/>
  <c r="N54" i="85"/>
  <c r="T54" i="85" s="1"/>
  <c r="N53" i="85"/>
  <c r="T53" i="85" s="1"/>
  <c r="N52" i="85"/>
  <c r="T52" i="85" s="1"/>
  <c r="S47" i="85"/>
  <c r="T47" i="85" s="1"/>
  <c r="S46" i="85"/>
  <c r="T46" i="85" s="1"/>
  <c r="N41" i="85"/>
  <c r="T41" i="85" s="1"/>
  <c r="N40" i="85"/>
  <c r="T40" i="85" s="1"/>
  <c r="N39" i="85"/>
  <c r="T39" i="85" s="1"/>
  <c r="N38" i="85"/>
  <c r="T38" i="85" s="1"/>
  <c r="S36" i="85"/>
  <c r="T36" i="85" s="1"/>
  <c r="N34" i="85"/>
  <c r="T34" i="85" s="1"/>
  <c r="N33" i="85"/>
  <c r="T33" i="85" s="1"/>
  <c r="N32" i="85"/>
  <c r="T32" i="85" s="1"/>
  <c r="N31" i="85"/>
  <c r="T31" i="85" s="1"/>
  <c r="N23" i="85"/>
  <c r="T23" i="85" s="1"/>
  <c r="N21" i="85"/>
  <c r="T21" i="85" s="1"/>
  <c r="N14" i="85"/>
  <c r="T14" i="85" s="1"/>
  <c r="P11" i="85" l="1"/>
  <c r="P10" i="85" s="1"/>
  <c r="S18" i="85"/>
  <c r="T18" i="85" s="1"/>
  <c r="N18" i="101"/>
  <c r="H13" i="103"/>
  <c r="H12" i="103" s="1"/>
  <c r="L85" i="85"/>
  <c r="K85" i="85"/>
  <c r="G13" i="103"/>
  <c r="G12" i="103" s="1"/>
  <c r="J11" i="85"/>
  <c r="J10" i="85" s="1"/>
  <c r="M11" i="85"/>
  <c r="M10" i="85" s="1"/>
  <c r="R11" i="85"/>
  <c r="R10" i="85" s="1"/>
  <c r="I11" i="85"/>
  <c r="I10" i="85" s="1"/>
  <c r="G34" i="103" l="1"/>
  <c r="F19" i="40" s="1"/>
  <c r="K313" i="85"/>
  <c r="K317" i="85" s="1"/>
  <c r="S11" i="85"/>
  <c r="S10" i="85" s="1"/>
  <c r="N16" i="101"/>
  <c r="H64" i="104"/>
  <c r="H62" i="104" s="1"/>
  <c r="T11" i="85"/>
  <c r="T10" i="85" s="1"/>
  <c r="N11" i="85"/>
  <c r="N10" i="85" s="1"/>
  <c r="G38" i="103" l="1"/>
  <c r="I15" i="65"/>
  <c r="K15" i="65" s="1"/>
  <c r="J27" i="65" l="1"/>
  <c r="K105" i="94" l="1"/>
  <c r="L105" i="94"/>
  <c r="M105" i="94"/>
  <c r="O105" i="94"/>
  <c r="Q105" i="94"/>
  <c r="K109" i="94"/>
  <c r="L109" i="94"/>
  <c r="O109" i="94"/>
  <c r="Q109" i="94"/>
  <c r="P111" i="94"/>
  <c r="J111" i="94"/>
  <c r="N111" i="94" s="1"/>
  <c r="P110" i="94"/>
  <c r="J110" i="94"/>
  <c r="N110" i="94" s="1"/>
  <c r="J107" i="94"/>
  <c r="J106" i="94"/>
  <c r="L86" i="94"/>
  <c r="L85" i="94" s="1"/>
  <c r="K95" i="94"/>
  <c r="L95" i="94"/>
  <c r="M95" i="94"/>
  <c r="O95" i="94"/>
  <c r="O85" i="94" s="1"/>
  <c r="Q95" i="94"/>
  <c r="K99" i="94"/>
  <c r="L99" i="94"/>
  <c r="M99" i="94"/>
  <c r="O99" i="94"/>
  <c r="Q99" i="94"/>
  <c r="N98" i="94"/>
  <c r="R98" i="94" s="1"/>
  <c r="N103" i="94"/>
  <c r="R103" i="94" s="1"/>
  <c r="M85" i="94" l="1"/>
  <c r="Q85" i="94"/>
  <c r="Q104" i="94"/>
  <c r="L104" i="94"/>
  <c r="J105" i="94"/>
  <c r="O104" i="94"/>
  <c r="J109" i="94"/>
  <c r="K104" i="94"/>
  <c r="R110" i="94"/>
  <c r="R111" i="94"/>
  <c r="J91" i="94"/>
  <c r="J96" i="94"/>
  <c r="J95" i="94" s="1"/>
  <c r="P96" i="94"/>
  <c r="P89" i="94"/>
  <c r="N89" i="94"/>
  <c r="P88" i="94"/>
  <c r="N88" i="94"/>
  <c r="P87" i="94"/>
  <c r="J104" i="94" l="1"/>
  <c r="N96" i="94"/>
  <c r="R96" i="94" s="1"/>
  <c r="R88" i="94"/>
  <c r="N87" i="94"/>
  <c r="R87" i="94" s="1"/>
  <c r="K86" i="94"/>
  <c r="K85" i="94" s="1"/>
  <c r="R89" i="94"/>
  <c r="J18" i="70" l="1"/>
  <c r="K18" i="70" s="1"/>
  <c r="J17" i="70"/>
  <c r="K17" i="70" s="1"/>
  <c r="J16" i="70"/>
  <c r="K16" i="70" s="1"/>
  <c r="I15" i="70"/>
  <c r="J15" i="70" s="1"/>
  <c r="K15" i="70" s="1"/>
  <c r="I14" i="70"/>
  <c r="J14" i="70" s="1"/>
  <c r="K14" i="70" s="1"/>
  <c r="I12" i="70"/>
  <c r="J12" i="70" s="1"/>
  <c r="K12" i="70" s="1"/>
  <c r="N14" i="70" l="1"/>
  <c r="N16" i="70"/>
  <c r="N12" i="70"/>
  <c r="N15" i="70"/>
  <c r="N18" i="70"/>
  <c r="N19" i="70"/>
  <c r="N17" i="70"/>
  <c r="N11" i="70" l="1"/>
  <c r="Q311" i="85"/>
  <c r="M33" i="103" s="1"/>
  <c r="M32" i="103" s="1"/>
  <c r="Q302" i="85"/>
  <c r="M29" i="103" s="1"/>
  <c r="M28" i="103" s="1"/>
  <c r="J284" i="85"/>
  <c r="F21" i="103" s="1"/>
  <c r="R268" i="85"/>
  <c r="N19" i="103" s="1"/>
  <c r="J249" i="85"/>
  <c r="F18" i="103" s="1"/>
  <c r="L249" i="85"/>
  <c r="H18" i="103" s="1"/>
  <c r="O249" i="85"/>
  <c r="K18" i="103" s="1"/>
  <c r="P249" i="85"/>
  <c r="L18" i="103" s="1"/>
  <c r="R249" i="85"/>
  <c r="N18" i="103" s="1"/>
  <c r="L215" i="85"/>
  <c r="M215" i="85"/>
  <c r="O215" i="85"/>
  <c r="Q215" i="85"/>
  <c r="R215" i="85"/>
  <c r="I167" i="85"/>
  <c r="L167" i="85"/>
  <c r="M167" i="85"/>
  <c r="O167" i="85"/>
  <c r="P167" i="85"/>
  <c r="Q167" i="85"/>
  <c r="M17" i="103" l="1"/>
  <c r="R214" i="85"/>
  <c r="K17" i="103"/>
  <c r="H17" i="103"/>
  <c r="L166" i="85"/>
  <c r="H15" i="103"/>
  <c r="H14" i="103" s="1"/>
  <c r="I166" i="85"/>
  <c r="O85" i="85"/>
  <c r="K13" i="103"/>
  <c r="K12" i="103" s="1"/>
  <c r="Q166" i="85"/>
  <c r="M15" i="103"/>
  <c r="M14" i="103" s="1"/>
  <c r="O166" i="85"/>
  <c r="K15" i="103"/>
  <c r="K14" i="103" s="1"/>
  <c r="N11" i="103"/>
  <c r="N10" i="103" s="1"/>
  <c r="L11" i="103"/>
  <c r="L10" i="103" s="1"/>
  <c r="J11" i="103"/>
  <c r="J10" i="103" s="1"/>
  <c r="R85" i="85"/>
  <c r="N13" i="103"/>
  <c r="N12" i="103" s="1"/>
  <c r="P166" i="85"/>
  <c r="L15" i="103"/>
  <c r="L14" i="103" s="1"/>
  <c r="M166" i="85"/>
  <c r="I15" i="103"/>
  <c r="I14" i="103" s="1"/>
  <c r="N17" i="103"/>
  <c r="N16" i="103" s="1"/>
  <c r="I17" i="103"/>
  <c r="E15" i="103"/>
  <c r="E14" i="103" s="1"/>
  <c r="O11" i="103"/>
  <c r="O10" i="103" s="1"/>
  <c r="M11" i="103"/>
  <c r="M10" i="103" s="1"/>
  <c r="K11" i="103"/>
  <c r="K10" i="103" s="1"/>
  <c r="E11" i="103"/>
  <c r="E10" i="103" s="1"/>
  <c r="H11" i="103"/>
  <c r="H10" i="103" s="1"/>
  <c r="I11" i="103"/>
  <c r="I10" i="103" s="1"/>
  <c r="F11" i="103"/>
  <c r="F10" i="103" s="1"/>
  <c r="Y10" i="40" l="1"/>
  <c r="Z10" i="40"/>
  <c r="AB10" i="40"/>
  <c r="I33" i="96"/>
  <c r="O30" i="96"/>
  <c r="L30" i="96"/>
  <c r="K29" i="96"/>
  <c r="K28" i="96" s="1"/>
  <c r="O13" i="96"/>
  <c r="L24" i="96"/>
  <c r="L13" i="96"/>
  <c r="J10" i="96"/>
  <c r="M10" i="96"/>
  <c r="N10" i="96"/>
  <c r="I11" i="100"/>
  <c r="I10" i="100" s="1"/>
  <c r="J11" i="100"/>
  <c r="J10" i="100" s="1"/>
  <c r="O49" i="96"/>
  <c r="E15" i="100" l="1"/>
  <c r="G13" i="100"/>
  <c r="G12" i="100" s="1"/>
  <c r="H67" i="104"/>
  <c r="H66" i="104" s="1"/>
  <c r="P30" i="96"/>
  <c r="P13" i="96"/>
  <c r="F11" i="100"/>
  <c r="F10" i="100" s="1"/>
  <c r="L54" i="96" l="1"/>
  <c r="H20" i="100" s="1"/>
  <c r="H19" i="100" s="1"/>
  <c r="O54" i="96"/>
  <c r="J53" i="96"/>
  <c r="L51" i="96"/>
  <c r="O51" i="96"/>
  <c r="O46" i="96"/>
  <c r="O43" i="96"/>
  <c r="O24" i="96"/>
  <c r="O25" i="96"/>
  <c r="O31" i="96"/>
  <c r="L25" i="96"/>
  <c r="I50" i="96"/>
  <c r="E18" i="100" s="1"/>
  <c r="J50" i="96"/>
  <c r="F18" i="100" s="1"/>
  <c r="K50" i="96"/>
  <c r="G18" i="100" s="1"/>
  <c r="M50" i="96"/>
  <c r="I18" i="100" s="1"/>
  <c r="N50" i="96"/>
  <c r="J18" i="100" s="1"/>
  <c r="O52" i="96"/>
  <c r="L52" i="96"/>
  <c r="L49" i="96"/>
  <c r="P49" i="96" s="1"/>
  <c r="H84" i="104" l="1"/>
  <c r="P51" i="96"/>
  <c r="P54" i="96"/>
  <c r="L20" i="100" s="1"/>
  <c r="K20" i="100"/>
  <c r="K19" i="100" s="1"/>
  <c r="L50" i="96"/>
  <c r="H18" i="100" s="1"/>
  <c r="P52" i="96"/>
  <c r="P50" i="96" s="1"/>
  <c r="L18" i="100" s="1"/>
  <c r="H83" i="104" s="1"/>
  <c r="O50" i="96"/>
  <c r="K18" i="100" s="1"/>
  <c r="O48" i="96"/>
  <c r="L48" i="96"/>
  <c r="L46" i="96"/>
  <c r="P46" i="96" s="1"/>
  <c r="I45" i="96"/>
  <c r="E17" i="100" s="1"/>
  <c r="J45" i="96"/>
  <c r="F17" i="100" s="1"/>
  <c r="K45" i="96"/>
  <c r="G17" i="100" s="1"/>
  <c r="M45" i="96"/>
  <c r="I17" i="100" s="1"/>
  <c r="N45" i="96"/>
  <c r="J17" i="100" s="1"/>
  <c r="I42" i="96"/>
  <c r="I32" i="96" s="1"/>
  <c r="J42" i="96"/>
  <c r="F16" i="100" s="1"/>
  <c r="K42" i="96"/>
  <c r="G16" i="100" s="1"/>
  <c r="M42" i="96"/>
  <c r="I16" i="100" s="1"/>
  <c r="N42" i="96"/>
  <c r="J16" i="100" s="1"/>
  <c r="O44" i="96"/>
  <c r="L44" i="96"/>
  <c r="L43" i="96"/>
  <c r="P43" i="96" s="1"/>
  <c r="E33" i="96"/>
  <c r="E32" i="96" s="1"/>
  <c r="H33" i="96"/>
  <c r="H32" i="96" s="1"/>
  <c r="J33" i="96"/>
  <c r="K33" i="96"/>
  <c r="K32" i="96" s="1"/>
  <c r="M33" i="96"/>
  <c r="N33" i="96"/>
  <c r="O39" i="96"/>
  <c r="O38" i="96"/>
  <c r="O37" i="96"/>
  <c r="O36" i="96"/>
  <c r="O35" i="96"/>
  <c r="O34" i="96"/>
  <c r="L39" i="96"/>
  <c r="L38" i="96"/>
  <c r="L37" i="96"/>
  <c r="L36" i="96"/>
  <c r="L35" i="96"/>
  <c r="L34" i="96"/>
  <c r="L20" i="96"/>
  <c r="L19" i="96"/>
  <c r="L15" i="96"/>
  <c r="O22" i="96"/>
  <c r="O20" i="96"/>
  <c r="O19" i="96"/>
  <c r="O17" i="96"/>
  <c r="O15" i="96"/>
  <c r="P25" i="96"/>
  <c r="P24" i="96"/>
  <c r="L31" i="96"/>
  <c r="J29" i="96"/>
  <c r="M29" i="96"/>
  <c r="N29" i="96"/>
  <c r="I29" i="96"/>
  <c r="N90" i="94"/>
  <c r="N80" i="94"/>
  <c r="N79" i="94"/>
  <c r="N78" i="94"/>
  <c r="N77" i="94"/>
  <c r="N76" i="94"/>
  <c r="N75" i="94"/>
  <c r="N52" i="94"/>
  <c r="N49" i="94"/>
  <c r="N48" i="94"/>
  <c r="N47" i="94"/>
  <c r="N46" i="94"/>
  <c r="N26" i="94"/>
  <c r="N24" i="94"/>
  <c r="N17" i="94"/>
  <c r="N15" i="94"/>
  <c r="N13" i="94"/>
  <c r="J16" i="99"/>
  <c r="L16" i="99"/>
  <c r="F16" i="99"/>
  <c r="H16" i="99"/>
  <c r="M116" i="94"/>
  <c r="M115" i="94" s="1"/>
  <c r="H18" i="99" s="1"/>
  <c r="G16" i="99"/>
  <c r="P93" i="94"/>
  <c r="P97" i="94"/>
  <c r="P95" i="94" s="1"/>
  <c r="P102" i="94"/>
  <c r="G14" i="99"/>
  <c r="H14" i="99"/>
  <c r="J14" i="99"/>
  <c r="L14" i="99"/>
  <c r="F14" i="99"/>
  <c r="G12" i="99"/>
  <c r="H12" i="99"/>
  <c r="J12" i="99"/>
  <c r="L12" i="99"/>
  <c r="J15" i="100" l="1"/>
  <c r="N32" i="96"/>
  <c r="M32" i="96"/>
  <c r="J32" i="96"/>
  <c r="O11" i="96"/>
  <c r="P15" i="96"/>
  <c r="J14" i="100"/>
  <c r="L19" i="100"/>
  <c r="H86" i="104"/>
  <c r="H85" i="104" s="1"/>
  <c r="I28" i="96"/>
  <c r="E13" i="100"/>
  <c r="E12" i="100" s="1"/>
  <c r="P34" i="96"/>
  <c r="I15" i="100"/>
  <c r="I14" i="100" s="1"/>
  <c r="E16" i="100"/>
  <c r="E14" i="100" s="1"/>
  <c r="F15" i="100"/>
  <c r="F14" i="100" s="1"/>
  <c r="N28" i="96"/>
  <c r="J13" i="100"/>
  <c r="J12" i="100" s="1"/>
  <c r="J28" i="96"/>
  <c r="F13" i="100"/>
  <c r="F12" i="100" s="1"/>
  <c r="G15" i="100"/>
  <c r="G14" i="100" s="1"/>
  <c r="M28" i="96"/>
  <c r="I13" i="100"/>
  <c r="I12" i="100" s="1"/>
  <c r="I21" i="100" s="1"/>
  <c r="R90" i="94"/>
  <c r="H19" i="99"/>
  <c r="L33" i="96"/>
  <c r="P37" i="96"/>
  <c r="P48" i="96"/>
  <c r="P45" i="96" s="1"/>
  <c r="L17" i="100" s="1"/>
  <c r="H82" i="104" s="1"/>
  <c r="O45" i="96"/>
  <c r="L45" i="96"/>
  <c r="H17" i="100" s="1"/>
  <c r="P44" i="96"/>
  <c r="P42" i="96" s="1"/>
  <c r="L16" i="100" s="1"/>
  <c r="H81" i="104" s="1"/>
  <c r="P20" i="96"/>
  <c r="P19" i="96"/>
  <c r="P38" i="96"/>
  <c r="P35" i="96"/>
  <c r="P39" i="96"/>
  <c r="L42" i="96"/>
  <c r="H16" i="100" s="1"/>
  <c r="O42" i="96"/>
  <c r="K16" i="100" s="1"/>
  <c r="P36" i="96"/>
  <c r="O33" i="96"/>
  <c r="O29" i="96"/>
  <c r="K15" i="100" l="1"/>
  <c r="O32" i="96"/>
  <c r="F21" i="100"/>
  <c r="J55" i="96"/>
  <c r="H15" i="100"/>
  <c r="H14" i="100" s="1"/>
  <c r="L32" i="96"/>
  <c r="J21" i="100"/>
  <c r="K17" i="100"/>
  <c r="K14" i="100" s="1"/>
  <c r="O10" i="96"/>
  <c r="K11" i="100"/>
  <c r="K10" i="100" s="1"/>
  <c r="H36" i="104"/>
  <c r="O28" i="96"/>
  <c r="K13" i="100"/>
  <c r="K12" i="100" s="1"/>
  <c r="P33" i="96"/>
  <c r="P32" i="96" s="1"/>
  <c r="K37" i="65"/>
  <c r="K36" i="65"/>
  <c r="K22" i="65"/>
  <c r="K21" i="65"/>
  <c r="K20" i="65"/>
  <c r="K19" i="65"/>
  <c r="K17" i="65"/>
  <c r="K16" i="65"/>
  <c r="J34" i="65"/>
  <c r="F12" i="98"/>
  <c r="J11" i="65"/>
  <c r="F10" i="98" s="1"/>
  <c r="I28" i="65"/>
  <c r="I29" i="65"/>
  <c r="K29" i="65" s="1"/>
  <c r="K31" i="65"/>
  <c r="I32" i="65"/>
  <c r="K32" i="65" s="1"/>
  <c r="K21" i="100" l="1"/>
  <c r="L15" i="100"/>
  <c r="K28" i="65"/>
  <c r="K27" i="65" s="1"/>
  <c r="G12" i="98" s="1"/>
  <c r="H49" i="104" s="1"/>
  <c r="I27" i="65"/>
  <c r="E12" i="98" s="1"/>
  <c r="J33" i="65"/>
  <c r="F13" i="98" s="1"/>
  <c r="F14" i="98"/>
  <c r="L14" i="100" l="1"/>
  <c r="H80" i="104"/>
  <c r="H79" i="104" s="1"/>
  <c r="I12" i="42"/>
  <c r="I13" i="42"/>
  <c r="F15" i="42"/>
  <c r="F17" i="42"/>
  <c r="G17" i="42"/>
  <c r="G16" i="42" s="1"/>
  <c r="I17" i="42"/>
  <c r="I16" i="42" s="1"/>
  <c r="E17" i="42"/>
  <c r="E16" i="42" s="1"/>
  <c r="E15" i="42"/>
  <c r="K10" i="63"/>
  <c r="K9" i="63" s="1"/>
  <c r="J11" i="42"/>
  <c r="I11" i="42"/>
  <c r="G11" i="42"/>
  <c r="E11" i="42"/>
  <c r="J13" i="42"/>
  <c r="G13" i="42"/>
  <c r="E13" i="42"/>
  <c r="J14" i="42"/>
  <c r="I14" i="42"/>
  <c r="G14" i="42"/>
  <c r="E14" i="42"/>
  <c r="I73" i="63"/>
  <c r="H73" i="63"/>
  <c r="H24" i="104" l="1"/>
  <c r="H23" i="104" s="1"/>
  <c r="F16" i="42"/>
  <c r="I10" i="42"/>
  <c r="F11" i="42"/>
  <c r="H18" i="104" s="1"/>
  <c r="G10" i="42"/>
  <c r="F13" i="42"/>
  <c r="H20" i="104" s="1"/>
  <c r="H22" i="104"/>
  <c r="F14" i="42"/>
  <c r="H21" i="104" s="1"/>
  <c r="Z18" i="40" l="1"/>
  <c r="Y18" i="40"/>
  <c r="W18" i="40"/>
  <c r="AB5" i="40"/>
  <c r="Z5" i="40"/>
  <c r="S16" i="40"/>
  <c r="S13" i="40"/>
  <c r="S8" i="40"/>
  <c r="S5" i="40"/>
  <c r="K53" i="96"/>
  <c r="L53" i="96"/>
  <c r="M53" i="96"/>
  <c r="M55" i="96" s="1"/>
  <c r="N53" i="96"/>
  <c r="N55" i="96" s="1"/>
  <c r="O53" i="96"/>
  <c r="O55" i="96" s="1"/>
  <c r="P53" i="96"/>
  <c r="I53" i="96"/>
  <c r="S311" i="85" l="1"/>
  <c r="N311" i="85"/>
  <c r="J33" i="103" s="1"/>
  <c r="J32" i="103" s="1"/>
  <c r="R311" i="85"/>
  <c r="N33" i="103" s="1"/>
  <c r="N32" i="103" s="1"/>
  <c r="Q310" i="85"/>
  <c r="P311" i="85"/>
  <c r="L33" i="103" s="1"/>
  <c r="L32" i="103" s="1"/>
  <c r="O311" i="85"/>
  <c r="M311" i="85"/>
  <c r="L311" i="85"/>
  <c r="J311" i="85"/>
  <c r="I311" i="85"/>
  <c r="E33" i="103" s="1"/>
  <c r="E32" i="103" s="1"/>
  <c r="R310" i="85"/>
  <c r="N309" i="85"/>
  <c r="R308" i="85"/>
  <c r="Q308" i="85"/>
  <c r="M31" i="103" s="1"/>
  <c r="M30" i="103" s="1"/>
  <c r="P308" i="85"/>
  <c r="O308" i="85"/>
  <c r="K31" i="103" s="1"/>
  <c r="K30" i="103" s="1"/>
  <c r="M308" i="85"/>
  <c r="I31" i="103" s="1"/>
  <c r="I30" i="103" s="1"/>
  <c r="L308" i="85"/>
  <c r="J308" i="85"/>
  <c r="F31" i="103" s="1"/>
  <c r="F30" i="103" s="1"/>
  <c r="I308" i="85"/>
  <c r="S303" i="85"/>
  <c r="N302" i="85"/>
  <c r="R302" i="85"/>
  <c r="N29" i="103" s="1"/>
  <c r="N28" i="103" s="1"/>
  <c r="Q301" i="85"/>
  <c r="P302" i="85"/>
  <c r="O302" i="85"/>
  <c r="M302" i="85"/>
  <c r="L302" i="85"/>
  <c r="H29" i="103" s="1"/>
  <c r="H28" i="103" s="1"/>
  <c r="E29" i="103"/>
  <c r="E28" i="103" s="1"/>
  <c r="S300" i="85"/>
  <c r="S299" i="85"/>
  <c r="R298" i="85"/>
  <c r="N27" i="103" s="1"/>
  <c r="N26" i="103" s="1"/>
  <c r="Q298" i="85"/>
  <c r="P298" i="85"/>
  <c r="L27" i="103" s="1"/>
  <c r="L26" i="103" s="1"/>
  <c r="O298" i="85"/>
  <c r="M298" i="85"/>
  <c r="L298" i="85"/>
  <c r="H27" i="103" s="1"/>
  <c r="H26" i="103" s="1"/>
  <c r="J298" i="85"/>
  <c r="I298" i="85"/>
  <c r="E27" i="103" s="1"/>
  <c r="E26" i="103" s="1"/>
  <c r="S293" i="85"/>
  <c r="J293" i="85"/>
  <c r="I293" i="85"/>
  <c r="R292" i="85"/>
  <c r="Q292" i="85"/>
  <c r="P292" i="85"/>
  <c r="O292" i="85"/>
  <c r="M292" i="85"/>
  <c r="L292" i="85"/>
  <c r="S291" i="85"/>
  <c r="N290" i="85"/>
  <c r="J24" i="103" s="1"/>
  <c r="R290" i="85"/>
  <c r="N24" i="103" s="1"/>
  <c r="Q290" i="85"/>
  <c r="M24" i="103" s="1"/>
  <c r="P290" i="85"/>
  <c r="L24" i="103" s="1"/>
  <c r="O290" i="85"/>
  <c r="K24" i="103" s="1"/>
  <c r="M290" i="85"/>
  <c r="I24" i="103" s="1"/>
  <c r="L290" i="85"/>
  <c r="H24" i="103" s="1"/>
  <c r="J290" i="85"/>
  <c r="F24" i="103" s="1"/>
  <c r="I290" i="85"/>
  <c r="E24" i="103" s="1"/>
  <c r="S289" i="85"/>
  <c r="N289" i="85"/>
  <c r="N288" i="85" s="1"/>
  <c r="J23" i="103" s="1"/>
  <c r="R288" i="85"/>
  <c r="N23" i="103" s="1"/>
  <c r="Q288" i="85"/>
  <c r="M23" i="103" s="1"/>
  <c r="P288" i="85"/>
  <c r="L23" i="103" s="1"/>
  <c r="O288" i="85"/>
  <c r="K23" i="103" s="1"/>
  <c r="M288" i="85"/>
  <c r="I23" i="103" s="1"/>
  <c r="L288" i="85"/>
  <c r="H23" i="103" s="1"/>
  <c r="J288" i="85"/>
  <c r="F23" i="103" s="1"/>
  <c r="I288" i="85"/>
  <c r="E23" i="103" s="1"/>
  <c r="S287" i="85"/>
  <c r="N287" i="85"/>
  <c r="N286" i="85" s="1"/>
  <c r="J22" i="103" s="1"/>
  <c r="R286" i="85"/>
  <c r="N22" i="103" s="1"/>
  <c r="Q286" i="85"/>
  <c r="M22" i="103" s="1"/>
  <c r="P286" i="85"/>
  <c r="L22" i="103" s="1"/>
  <c r="O286" i="85"/>
  <c r="K22" i="103" s="1"/>
  <c r="M286" i="85"/>
  <c r="I22" i="103" s="1"/>
  <c r="L286" i="85"/>
  <c r="H22" i="103" s="1"/>
  <c r="J286" i="85"/>
  <c r="F22" i="103" s="1"/>
  <c r="I286" i="85"/>
  <c r="E22" i="103" s="1"/>
  <c r="N285" i="85"/>
  <c r="R284" i="85"/>
  <c r="N21" i="103" s="1"/>
  <c r="Q284" i="85"/>
  <c r="M21" i="103" s="1"/>
  <c r="P284" i="85"/>
  <c r="L21" i="103" s="1"/>
  <c r="O284" i="85"/>
  <c r="K21" i="103" s="1"/>
  <c r="M284" i="85"/>
  <c r="I21" i="103" s="1"/>
  <c r="L284" i="85"/>
  <c r="H21" i="103" s="1"/>
  <c r="I284" i="85"/>
  <c r="E21" i="103" s="1"/>
  <c r="N282" i="85"/>
  <c r="T282" i="85" s="1"/>
  <c r="N281" i="85"/>
  <c r="T281" i="85" s="1"/>
  <c r="N280" i="85"/>
  <c r="T280" i="85" s="1"/>
  <c r="N279" i="85"/>
  <c r="T279" i="85" s="1"/>
  <c r="N278" i="85"/>
  <c r="T278" i="85" s="1"/>
  <c r="J277" i="85"/>
  <c r="N277" i="85" s="1"/>
  <c r="T277" i="85" s="1"/>
  <c r="N276" i="85"/>
  <c r="T276" i="85" s="1"/>
  <c r="J275" i="85"/>
  <c r="N275" i="85" s="1"/>
  <c r="T275" i="85" s="1"/>
  <c r="N274" i="85"/>
  <c r="T274" i="85" s="1"/>
  <c r="J273" i="85"/>
  <c r="N272" i="85"/>
  <c r="T272" i="85" s="1"/>
  <c r="J271" i="85"/>
  <c r="N271" i="85" s="1"/>
  <c r="T271" i="85" s="1"/>
  <c r="N269" i="85"/>
  <c r="T269" i="85" s="1"/>
  <c r="Q268" i="85"/>
  <c r="P268" i="85"/>
  <c r="O268" i="85"/>
  <c r="O214" i="85" s="1"/>
  <c r="M268" i="85"/>
  <c r="L268" i="85"/>
  <c r="I268" i="85"/>
  <c r="E19" i="103" s="1"/>
  <c r="M264" i="85"/>
  <c r="N264" i="85" s="1"/>
  <c r="Q263" i="85"/>
  <c r="S263" i="85" s="1"/>
  <c r="T263" i="85" s="1"/>
  <c r="I258" i="85"/>
  <c r="N258" i="85" s="1"/>
  <c r="T258" i="85" s="1"/>
  <c r="I254" i="85"/>
  <c r="N254" i="85" s="1"/>
  <c r="T254" i="85" s="1"/>
  <c r="I251" i="85"/>
  <c r="N251" i="85" s="1"/>
  <c r="T251" i="85" s="1"/>
  <c r="J239" i="85"/>
  <c r="N239" i="85" s="1"/>
  <c r="T239" i="85" s="1"/>
  <c r="I233" i="85"/>
  <c r="N233" i="85" s="1"/>
  <c r="T233" i="85" s="1"/>
  <c r="P228" i="85"/>
  <c r="S228" i="85" s="1"/>
  <c r="T228" i="85" s="1"/>
  <c r="P221" i="85"/>
  <c r="S221" i="85" s="1"/>
  <c r="T221" i="85" s="1"/>
  <c r="J208" i="85"/>
  <c r="N208" i="85" s="1"/>
  <c r="T208" i="85" s="1"/>
  <c r="J207" i="85"/>
  <c r="N207" i="85" s="1"/>
  <c r="T207" i="85" s="1"/>
  <c r="N204" i="85"/>
  <c r="T204" i="85" s="1"/>
  <c r="J197" i="85"/>
  <c r="N197" i="85" s="1"/>
  <c r="T197" i="85" s="1"/>
  <c r="R196" i="85"/>
  <c r="S196" i="85" s="1"/>
  <c r="T196" i="85" s="1"/>
  <c r="R195" i="85"/>
  <c r="S195" i="85" s="1"/>
  <c r="T195" i="85" s="1"/>
  <c r="R194" i="85"/>
  <c r="S194" i="85" s="1"/>
  <c r="T194" i="85" s="1"/>
  <c r="J191" i="85"/>
  <c r="N191" i="85" s="1"/>
  <c r="T191" i="85" s="1"/>
  <c r="R190" i="85"/>
  <c r="S190" i="85" s="1"/>
  <c r="T190" i="85" s="1"/>
  <c r="J186" i="85"/>
  <c r="N186" i="85" s="1"/>
  <c r="T186" i="85" s="1"/>
  <c r="R183" i="85"/>
  <c r="S183" i="85" s="1"/>
  <c r="T183" i="85" s="1"/>
  <c r="R182" i="85"/>
  <c r="S182" i="85" s="1"/>
  <c r="T182" i="85" s="1"/>
  <c r="R181" i="85"/>
  <c r="S181" i="85" s="1"/>
  <c r="T181" i="85" s="1"/>
  <c r="R180" i="85"/>
  <c r="S180" i="85" s="1"/>
  <c r="T180" i="85" s="1"/>
  <c r="R179" i="85"/>
  <c r="S179" i="85" s="1"/>
  <c r="T179" i="85" s="1"/>
  <c r="R171" i="85"/>
  <c r="S171" i="85" s="1"/>
  <c r="T171" i="85" s="1"/>
  <c r="R170" i="85"/>
  <c r="S170" i="85" s="1"/>
  <c r="T170" i="85" s="1"/>
  <c r="J169" i="85"/>
  <c r="N169" i="85" s="1"/>
  <c r="T169" i="85" s="1"/>
  <c r="J168" i="85"/>
  <c r="N168" i="85" s="1"/>
  <c r="T168" i="85" s="1"/>
  <c r="J139" i="85"/>
  <c r="J86" i="85" s="1"/>
  <c r="P138" i="85"/>
  <c r="S138" i="85" s="1"/>
  <c r="T138" i="85" s="1"/>
  <c r="I134" i="85"/>
  <c r="N134" i="85" s="1"/>
  <c r="T134" i="85" s="1"/>
  <c r="I133" i="85"/>
  <c r="N133" i="85" s="1"/>
  <c r="T133" i="85" s="1"/>
  <c r="I132" i="85"/>
  <c r="N132" i="85" s="1"/>
  <c r="T132" i="85" s="1"/>
  <c r="I131" i="85"/>
  <c r="N131" i="85" s="1"/>
  <c r="T131" i="85" s="1"/>
  <c r="I127" i="85"/>
  <c r="N127" i="85" s="1"/>
  <c r="T127" i="85" s="1"/>
  <c r="I126" i="85"/>
  <c r="N126" i="85" s="1"/>
  <c r="T126" i="85" s="1"/>
  <c r="I125" i="85"/>
  <c r="N125" i="85" s="1"/>
  <c r="T125" i="85" s="1"/>
  <c r="I124" i="85"/>
  <c r="N124" i="85" s="1"/>
  <c r="T124" i="85" s="1"/>
  <c r="I123" i="85"/>
  <c r="N123" i="85" s="1"/>
  <c r="T123" i="85" s="1"/>
  <c r="I122" i="85"/>
  <c r="N122" i="85" s="1"/>
  <c r="T122" i="85" s="1"/>
  <c r="I121" i="85"/>
  <c r="N121" i="85" s="1"/>
  <c r="T121" i="85" s="1"/>
  <c r="I120" i="85"/>
  <c r="N120" i="85" s="1"/>
  <c r="T120" i="85" s="1"/>
  <c r="I119" i="85"/>
  <c r="N119" i="85" s="1"/>
  <c r="T119" i="85" s="1"/>
  <c r="I118" i="85"/>
  <c r="N118" i="85" s="1"/>
  <c r="T118" i="85" s="1"/>
  <c r="I116" i="85"/>
  <c r="N116" i="85" s="1"/>
  <c r="T116" i="85" s="1"/>
  <c r="I115" i="85"/>
  <c r="N115" i="85" s="1"/>
  <c r="T115" i="85" s="1"/>
  <c r="N113" i="85"/>
  <c r="T113" i="85" s="1"/>
  <c r="N111" i="85"/>
  <c r="T111" i="85" s="1"/>
  <c r="I110" i="85"/>
  <c r="N110" i="85" s="1"/>
  <c r="T110" i="85" s="1"/>
  <c r="Q109" i="85"/>
  <c r="S109" i="85" s="1"/>
  <c r="M109" i="85"/>
  <c r="N109" i="85" s="1"/>
  <c r="M108" i="85"/>
  <c r="N108" i="85" s="1"/>
  <c r="T108" i="85" s="1"/>
  <c r="M102" i="85"/>
  <c r="N102" i="85" s="1"/>
  <c r="T102" i="85" s="1"/>
  <c r="I97" i="85"/>
  <c r="P96" i="85"/>
  <c r="S96" i="85" s="1"/>
  <c r="T96" i="85" s="1"/>
  <c r="M91" i="85"/>
  <c r="P90" i="85"/>
  <c r="K87" i="87"/>
  <c r="L87" i="87" s="1"/>
  <c r="U86" i="87"/>
  <c r="L86" i="87"/>
  <c r="K86" i="87"/>
  <c r="K85" i="87"/>
  <c r="J83" i="87"/>
  <c r="K83" i="87" s="1"/>
  <c r="M83" i="87" s="1"/>
  <c r="O83" i="87" s="1"/>
  <c r="K82" i="87"/>
  <c r="M82" i="87" s="1"/>
  <c r="O82" i="87" s="1"/>
  <c r="U81" i="87"/>
  <c r="K81" i="87"/>
  <c r="L81" i="87" s="1"/>
  <c r="T80" i="87"/>
  <c r="Q80" i="87"/>
  <c r="I16" i="55" s="1"/>
  <c r="P80" i="87"/>
  <c r="U73" i="87"/>
  <c r="J72" i="87"/>
  <c r="K72" i="87" s="1"/>
  <c r="L72" i="87" s="1"/>
  <c r="K70" i="87"/>
  <c r="L70" i="87" s="1"/>
  <c r="M69" i="87"/>
  <c r="J69" i="87"/>
  <c r="K69" i="87" s="1"/>
  <c r="L69" i="87" s="1"/>
  <c r="K68" i="87"/>
  <c r="L68" i="87" s="1"/>
  <c r="M68" i="87" s="1"/>
  <c r="K67" i="87"/>
  <c r="L67" i="87" s="1"/>
  <c r="M67" i="87" s="1"/>
  <c r="K65" i="87"/>
  <c r="L65" i="87" s="1"/>
  <c r="M65" i="87" s="1"/>
  <c r="O65" i="87" s="1"/>
  <c r="K64" i="87"/>
  <c r="L64" i="87" s="1"/>
  <c r="M64" i="87" s="1"/>
  <c r="M63" i="87"/>
  <c r="K63" i="87"/>
  <c r="L63" i="87" s="1"/>
  <c r="U62" i="87"/>
  <c r="J62" i="87"/>
  <c r="K62" i="87" s="1"/>
  <c r="L62" i="87" s="1"/>
  <c r="U61" i="87"/>
  <c r="K61" i="87"/>
  <c r="L61" i="87" s="1"/>
  <c r="J60" i="87"/>
  <c r="K60" i="87" s="1"/>
  <c r="L60" i="87" s="1"/>
  <c r="M60" i="87" s="1"/>
  <c r="K58" i="87"/>
  <c r="L58" i="87" s="1"/>
  <c r="J57" i="87"/>
  <c r="K57" i="87" s="1"/>
  <c r="L57" i="87" s="1"/>
  <c r="K55" i="87"/>
  <c r="L55" i="87" s="1"/>
  <c r="M55" i="87" s="1"/>
  <c r="O55" i="87" s="1"/>
  <c r="K54" i="87"/>
  <c r="L54" i="87" s="1"/>
  <c r="M54" i="87" s="1"/>
  <c r="O54" i="87" s="1"/>
  <c r="K53" i="87"/>
  <c r="L53" i="87" s="1"/>
  <c r="M53" i="87" s="1"/>
  <c r="O53" i="87" s="1"/>
  <c r="J52" i="87"/>
  <c r="K52" i="87" s="1"/>
  <c r="L52" i="87" s="1"/>
  <c r="M52" i="87" s="1"/>
  <c r="O52" i="87" s="1"/>
  <c r="J50" i="87"/>
  <c r="K50" i="87" s="1"/>
  <c r="L50" i="87" s="1"/>
  <c r="O50" i="87" s="1"/>
  <c r="U50" i="87" s="1"/>
  <c r="O49" i="87"/>
  <c r="J49" i="87"/>
  <c r="K49" i="87" s="1"/>
  <c r="L49" i="87" s="1"/>
  <c r="K47" i="87"/>
  <c r="L47" i="87" s="1"/>
  <c r="M47" i="87" s="1"/>
  <c r="L15" i="55"/>
  <c r="I15" i="55"/>
  <c r="H15" i="55"/>
  <c r="K39" i="87"/>
  <c r="U38" i="87"/>
  <c r="U37" i="87"/>
  <c r="K37" i="87"/>
  <c r="K36" i="87"/>
  <c r="U35" i="87"/>
  <c r="K35" i="87"/>
  <c r="K34" i="87"/>
  <c r="Q34" i="87" s="1"/>
  <c r="S34" i="87" s="1"/>
  <c r="K33" i="87"/>
  <c r="L33" i="87" s="1"/>
  <c r="M33" i="87" s="1"/>
  <c r="U32" i="87"/>
  <c r="K30" i="87"/>
  <c r="L30" i="87" s="1"/>
  <c r="U29" i="87"/>
  <c r="K29" i="87"/>
  <c r="K28" i="87"/>
  <c r="L28" i="87" s="1"/>
  <c r="M28" i="87" s="1"/>
  <c r="Q27" i="87"/>
  <c r="K27" i="87"/>
  <c r="L27" i="87" s="1"/>
  <c r="M27" i="87" s="1"/>
  <c r="J26" i="87"/>
  <c r="K26" i="87" s="1"/>
  <c r="L26" i="87" s="1"/>
  <c r="J25" i="87"/>
  <c r="K25" i="87" s="1"/>
  <c r="L13" i="55"/>
  <c r="L12" i="55" s="1"/>
  <c r="H13" i="55"/>
  <c r="H12" i="55" s="1"/>
  <c r="J18" i="87"/>
  <c r="K18" i="87" s="1"/>
  <c r="L18" i="87" s="1"/>
  <c r="M18" i="87" s="1"/>
  <c r="O18" i="87" s="1"/>
  <c r="K17" i="87"/>
  <c r="L17" i="87" s="1"/>
  <c r="O17" i="87" s="1"/>
  <c r="U15" i="87"/>
  <c r="L15" i="87"/>
  <c r="U14" i="87"/>
  <c r="M13" i="87"/>
  <c r="J13" i="87"/>
  <c r="K13" i="87" s="1"/>
  <c r="L13" i="87" s="1"/>
  <c r="I11" i="55"/>
  <c r="I10" i="55" s="1"/>
  <c r="L11" i="87"/>
  <c r="J11" i="87"/>
  <c r="K59" i="89"/>
  <c r="O59" i="89" s="1"/>
  <c r="O58" i="89"/>
  <c r="O57" i="89"/>
  <c r="N56" i="89"/>
  <c r="J15" i="51" s="1"/>
  <c r="O55" i="89"/>
  <c r="O54" i="89"/>
  <c r="O53" i="89"/>
  <c r="O52" i="89"/>
  <c r="O51" i="89"/>
  <c r="O50" i="89"/>
  <c r="O49" i="89"/>
  <c r="O48" i="89"/>
  <c r="O47" i="89"/>
  <c r="O46" i="89"/>
  <c r="N45" i="89"/>
  <c r="J14" i="51" s="1"/>
  <c r="M45" i="89"/>
  <c r="I14" i="51" s="1"/>
  <c r="K45" i="89"/>
  <c r="G14" i="51" s="1"/>
  <c r="K44" i="89"/>
  <c r="O44" i="89" s="1"/>
  <c r="K42" i="89"/>
  <c r="O42" i="89" s="1"/>
  <c r="K41" i="89"/>
  <c r="O41" i="89" s="1"/>
  <c r="K40" i="89"/>
  <c r="N39" i="89"/>
  <c r="J13" i="51" s="1"/>
  <c r="L39" i="89"/>
  <c r="H13" i="51" s="1"/>
  <c r="J39" i="89"/>
  <c r="F13" i="51" s="1"/>
  <c r="I39" i="89"/>
  <c r="E13" i="51" s="1"/>
  <c r="K38" i="89"/>
  <c r="O38" i="89" s="1"/>
  <c r="K35" i="89"/>
  <c r="O35" i="89" s="1"/>
  <c r="K34" i="89"/>
  <c r="O34" i="89" s="1"/>
  <c r="K33" i="89"/>
  <c r="K32" i="89"/>
  <c r="N31" i="89"/>
  <c r="L31" i="89"/>
  <c r="H12" i="51" s="1"/>
  <c r="J31" i="89"/>
  <c r="I31" i="89"/>
  <c r="E12" i="51" s="1"/>
  <c r="K26" i="89"/>
  <c r="K25" i="89"/>
  <c r="K24" i="89"/>
  <c r="O24" i="89" s="1"/>
  <c r="K23" i="89"/>
  <c r="O23" i="89" s="1"/>
  <c r="I22" i="89"/>
  <c r="K21" i="89"/>
  <c r="K20" i="89"/>
  <c r="K19" i="89"/>
  <c r="O19" i="89" s="1"/>
  <c r="K18" i="89"/>
  <c r="O18" i="89" s="1"/>
  <c r="K16" i="89"/>
  <c r="O16" i="89" s="1"/>
  <c r="K15" i="89"/>
  <c r="O15" i="89" s="1"/>
  <c r="K14" i="89"/>
  <c r="K13" i="89"/>
  <c r="O12" i="89"/>
  <c r="J11" i="51"/>
  <c r="F11" i="51"/>
  <c r="K18" i="51"/>
  <c r="P82" i="86"/>
  <c r="O82" i="86" s="1"/>
  <c r="I15" i="51"/>
  <c r="H15" i="51"/>
  <c r="G15" i="51"/>
  <c r="F15" i="51"/>
  <c r="E15" i="51"/>
  <c r="H14" i="51"/>
  <c r="F14" i="51"/>
  <c r="E14" i="51"/>
  <c r="N33" i="73"/>
  <c r="L19" i="73"/>
  <c r="N19" i="73" s="1"/>
  <c r="H19" i="73"/>
  <c r="H14" i="73" s="1"/>
  <c r="L26" i="73"/>
  <c r="N26" i="73" s="1"/>
  <c r="L25" i="73"/>
  <c r="N25" i="73" s="1"/>
  <c r="L24" i="73"/>
  <c r="N24" i="73" s="1"/>
  <c r="M23" i="73"/>
  <c r="M22" i="73" s="1"/>
  <c r="I14" i="54" s="1"/>
  <c r="L23" i="73"/>
  <c r="K22" i="73"/>
  <c r="G14" i="54" s="1"/>
  <c r="J22" i="73"/>
  <c r="F14" i="54" s="1"/>
  <c r="I22" i="73"/>
  <c r="E14" i="54" s="1"/>
  <c r="H22" i="73"/>
  <c r="L21" i="73"/>
  <c r="N21" i="73" s="1"/>
  <c r="L18" i="73"/>
  <c r="N18" i="73" s="1"/>
  <c r="K15" i="73"/>
  <c r="M14" i="73"/>
  <c r="I13" i="54" s="1"/>
  <c r="J14" i="73"/>
  <c r="I14" i="73"/>
  <c r="E13" i="54" s="1"/>
  <c r="I12" i="73"/>
  <c r="H12" i="73"/>
  <c r="M11" i="73"/>
  <c r="M10" i="73" s="1"/>
  <c r="K11" i="73"/>
  <c r="K10" i="73" s="1"/>
  <c r="J11" i="73"/>
  <c r="J10" i="73" s="1"/>
  <c r="N22" i="90"/>
  <c r="L14" i="90"/>
  <c r="F12" i="53"/>
  <c r="L12" i="90"/>
  <c r="K10" i="90"/>
  <c r="K20" i="90" s="1"/>
  <c r="F11" i="53"/>
  <c r="J15" i="53"/>
  <c r="I12" i="53"/>
  <c r="G12" i="53"/>
  <c r="M33" i="71"/>
  <c r="M32" i="71" s="1"/>
  <c r="I13" i="52" s="1"/>
  <c r="K33" i="71"/>
  <c r="L32" i="71"/>
  <c r="H13" i="52" s="1"/>
  <c r="J32" i="71"/>
  <c r="F13" i="52" s="1"/>
  <c r="I32" i="71"/>
  <c r="E13" i="52" s="1"/>
  <c r="L14" i="71"/>
  <c r="M28" i="71"/>
  <c r="K28" i="71"/>
  <c r="M27" i="71"/>
  <c r="K27" i="71"/>
  <c r="M25" i="71"/>
  <c r="K25" i="71"/>
  <c r="M24" i="71"/>
  <c r="K24" i="71"/>
  <c r="M23" i="71"/>
  <c r="J23" i="71"/>
  <c r="K23" i="71" s="1"/>
  <c r="M22" i="71"/>
  <c r="K22" i="71"/>
  <c r="M21" i="71"/>
  <c r="J21" i="71"/>
  <c r="K21" i="71" s="1"/>
  <c r="M20" i="71"/>
  <c r="J20" i="71"/>
  <c r="K20" i="71" s="1"/>
  <c r="M19" i="71"/>
  <c r="M18" i="71"/>
  <c r="K18" i="71"/>
  <c r="M17" i="71"/>
  <c r="K17" i="71"/>
  <c r="M16" i="71"/>
  <c r="K16" i="71"/>
  <c r="M15" i="71"/>
  <c r="K15" i="71"/>
  <c r="I14" i="71"/>
  <c r="E12" i="52" s="1"/>
  <c r="M13" i="71"/>
  <c r="I13" i="71"/>
  <c r="K13" i="71" s="1"/>
  <c r="M12" i="71"/>
  <c r="K12" i="71"/>
  <c r="L11" i="71"/>
  <c r="J11" i="71"/>
  <c r="L25" i="70"/>
  <c r="L24" i="70" s="1"/>
  <c r="G11" i="50"/>
  <c r="M10" i="70"/>
  <c r="L10" i="70"/>
  <c r="L27" i="70" s="1"/>
  <c r="M45" i="69"/>
  <c r="N45" i="69" s="1"/>
  <c r="M42" i="69"/>
  <c r="J42" i="69"/>
  <c r="K42" i="69" s="1"/>
  <c r="N42" i="69" s="1"/>
  <c r="M41" i="69"/>
  <c r="K41" i="69"/>
  <c r="N41" i="69" s="1"/>
  <c r="M40" i="69"/>
  <c r="K40" i="69"/>
  <c r="N40" i="69" s="1"/>
  <c r="M39" i="69"/>
  <c r="K39" i="69"/>
  <c r="N39" i="69" s="1"/>
  <c r="M38" i="69"/>
  <c r="J38" i="69"/>
  <c r="K38" i="69" s="1"/>
  <c r="N38" i="69" s="1"/>
  <c r="M37" i="69"/>
  <c r="K37" i="69"/>
  <c r="N37" i="69" s="1"/>
  <c r="M36" i="69"/>
  <c r="J36" i="69"/>
  <c r="K36" i="69" s="1"/>
  <c r="N36" i="69" s="1"/>
  <c r="M35" i="69"/>
  <c r="J35" i="69"/>
  <c r="M34" i="69"/>
  <c r="K34" i="69"/>
  <c r="N34" i="69" s="1"/>
  <c r="M33" i="69"/>
  <c r="K33" i="69"/>
  <c r="N33" i="69" s="1"/>
  <c r="M32" i="69"/>
  <c r="K32" i="69"/>
  <c r="N32" i="69" s="1"/>
  <c r="M31" i="69"/>
  <c r="J31" i="69"/>
  <c r="K31" i="69" s="1"/>
  <c r="N31" i="69" s="1"/>
  <c r="M30" i="69"/>
  <c r="J30" i="69"/>
  <c r="K30" i="69" s="1"/>
  <c r="N30" i="69" s="1"/>
  <c r="M29" i="69"/>
  <c r="J29" i="69"/>
  <c r="K29" i="69" s="1"/>
  <c r="N29" i="69" s="1"/>
  <c r="M28" i="69"/>
  <c r="K28" i="69"/>
  <c r="N28" i="69" s="1"/>
  <c r="L27" i="69"/>
  <c r="K27" i="69"/>
  <c r="L26" i="69"/>
  <c r="K26" i="69"/>
  <c r="M25" i="69"/>
  <c r="K25" i="69"/>
  <c r="N25" i="69" s="1"/>
  <c r="M24" i="69"/>
  <c r="K24" i="69"/>
  <c r="N24" i="69" s="1"/>
  <c r="M23" i="69"/>
  <c r="K23" i="69"/>
  <c r="N23" i="69" s="1"/>
  <c r="M22" i="69"/>
  <c r="J22" i="69"/>
  <c r="K22" i="69" s="1"/>
  <c r="N22" i="69" s="1"/>
  <c r="L21" i="69"/>
  <c r="K21" i="69"/>
  <c r="L20" i="69"/>
  <c r="K20" i="69"/>
  <c r="M19" i="69"/>
  <c r="K19" i="69"/>
  <c r="N19" i="69" s="1"/>
  <c r="M18" i="69"/>
  <c r="K18" i="69"/>
  <c r="N18" i="69" s="1"/>
  <c r="M15" i="69"/>
  <c r="K15" i="69"/>
  <c r="M14" i="69"/>
  <c r="K14" i="69"/>
  <c r="M13" i="69"/>
  <c r="J13" i="69"/>
  <c r="J11" i="69" s="1"/>
  <c r="E11" i="49" s="1"/>
  <c r="E10" i="49" s="1"/>
  <c r="M12" i="69"/>
  <c r="K12" i="69"/>
  <c r="L11" i="69"/>
  <c r="L10" i="69" s="1"/>
  <c r="O10" i="76"/>
  <c r="F11" i="47"/>
  <c r="F10" i="47" s="1"/>
  <c r="F12" i="47" s="1"/>
  <c r="I11" i="76"/>
  <c r="I10" i="76" s="1"/>
  <c r="H87" i="104"/>
  <c r="H25" i="96"/>
  <c r="H24" i="96"/>
  <c r="L22" i="96"/>
  <c r="P22" i="96" s="1"/>
  <c r="K17" i="96"/>
  <c r="K11" i="96" s="1"/>
  <c r="J15" i="101"/>
  <c r="J14" i="101" s="1"/>
  <c r="E15" i="101"/>
  <c r="E14" i="101" s="1"/>
  <c r="Q17" i="97"/>
  <c r="I17" i="97"/>
  <c r="M17" i="97" s="1"/>
  <c r="Q16" i="97"/>
  <c r="P15" i="97"/>
  <c r="L13" i="101" s="1"/>
  <c r="L12" i="101" s="1"/>
  <c r="O15" i="97"/>
  <c r="K13" i="101" s="1"/>
  <c r="K12" i="101" s="1"/>
  <c r="N15" i="97"/>
  <c r="K15" i="97"/>
  <c r="G13" i="101" s="1"/>
  <c r="G12" i="101" s="1"/>
  <c r="J15" i="97"/>
  <c r="F13" i="101" s="1"/>
  <c r="F12" i="101" s="1"/>
  <c r="Q13" i="97"/>
  <c r="I13" i="97"/>
  <c r="Q12" i="97"/>
  <c r="P11" i="97"/>
  <c r="O11" i="97"/>
  <c r="K11" i="101" s="1"/>
  <c r="K10" i="101" s="1"/>
  <c r="N11" i="97"/>
  <c r="J11" i="101" s="1"/>
  <c r="J10" i="101" s="1"/>
  <c r="J11" i="97"/>
  <c r="P42" i="86"/>
  <c r="J13" i="65"/>
  <c r="I12" i="65"/>
  <c r="K12" i="65" s="1"/>
  <c r="I13" i="65"/>
  <c r="I35" i="65"/>
  <c r="P125" i="94"/>
  <c r="N123" i="94"/>
  <c r="R123" i="94" s="1"/>
  <c r="P122" i="94"/>
  <c r="J122" i="94"/>
  <c r="N122" i="94" s="1"/>
  <c r="P121" i="94"/>
  <c r="N121" i="94"/>
  <c r="P120" i="94"/>
  <c r="J120" i="94"/>
  <c r="N120" i="94" s="1"/>
  <c r="N119" i="94"/>
  <c r="R119" i="94" s="1"/>
  <c r="P118" i="94"/>
  <c r="J118" i="94"/>
  <c r="N118" i="94" s="1"/>
  <c r="P117" i="94"/>
  <c r="J117" i="94"/>
  <c r="N117" i="94" s="1"/>
  <c r="Q116" i="94"/>
  <c r="O116" i="94"/>
  <c r="L116" i="94"/>
  <c r="K116" i="94"/>
  <c r="M109" i="94"/>
  <c r="M104" i="94" s="1"/>
  <c r="P112" i="94"/>
  <c r="N112" i="94"/>
  <c r="J17" i="99"/>
  <c r="G17" i="99"/>
  <c r="F17" i="99"/>
  <c r="E17" i="99"/>
  <c r="N108" i="94"/>
  <c r="R108" i="94" s="1"/>
  <c r="P107" i="94"/>
  <c r="N107" i="94"/>
  <c r="P106" i="94"/>
  <c r="N93" i="94"/>
  <c r="R93" i="94" s="1"/>
  <c r="N97" i="94"/>
  <c r="N102" i="94"/>
  <c r="R102" i="94" s="1"/>
  <c r="P92" i="94"/>
  <c r="P91" i="94"/>
  <c r="N91" i="94"/>
  <c r="P101" i="94"/>
  <c r="N101" i="94"/>
  <c r="P100" i="94"/>
  <c r="P80" i="94"/>
  <c r="P79" i="94"/>
  <c r="P78" i="94"/>
  <c r="P77" i="94"/>
  <c r="P76" i="94"/>
  <c r="P75" i="94"/>
  <c r="P73" i="94"/>
  <c r="J73" i="94"/>
  <c r="N73" i="94" s="1"/>
  <c r="P72" i="94"/>
  <c r="N72" i="94"/>
  <c r="P70" i="94"/>
  <c r="P69" i="94"/>
  <c r="R69" i="94" s="1"/>
  <c r="P65" i="94"/>
  <c r="P64" i="94"/>
  <c r="P63" i="94"/>
  <c r="P62" i="94"/>
  <c r="J62" i="94"/>
  <c r="N62" i="94" s="1"/>
  <c r="P61" i="94"/>
  <c r="J61" i="94"/>
  <c r="N61" i="94" s="1"/>
  <c r="P60" i="94"/>
  <c r="N60" i="94"/>
  <c r="P59" i="94"/>
  <c r="J59" i="94"/>
  <c r="N59" i="94" s="1"/>
  <c r="P58" i="94"/>
  <c r="P57" i="94"/>
  <c r="P56" i="94"/>
  <c r="N56" i="94"/>
  <c r="P55" i="94"/>
  <c r="N55" i="94"/>
  <c r="P53" i="94"/>
  <c r="N53" i="94"/>
  <c r="P52" i="94"/>
  <c r="P51" i="94"/>
  <c r="N51" i="94"/>
  <c r="P50" i="94"/>
  <c r="N50" i="94"/>
  <c r="P49" i="94"/>
  <c r="P48" i="94"/>
  <c r="P47" i="94"/>
  <c r="P46" i="94"/>
  <c r="P45" i="94"/>
  <c r="N45" i="94"/>
  <c r="P44" i="94"/>
  <c r="N44" i="94"/>
  <c r="P43" i="94"/>
  <c r="N43" i="94"/>
  <c r="P42" i="94"/>
  <c r="N42" i="94"/>
  <c r="P41" i="94"/>
  <c r="J41" i="94"/>
  <c r="N41" i="94" s="1"/>
  <c r="P40" i="94"/>
  <c r="J40" i="94"/>
  <c r="N40" i="94" s="1"/>
  <c r="P39" i="94"/>
  <c r="J39" i="94"/>
  <c r="N39" i="94" s="1"/>
  <c r="P38" i="94"/>
  <c r="P37" i="94"/>
  <c r="P36" i="94"/>
  <c r="P35" i="94"/>
  <c r="O34" i="94"/>
  <c r="P33" i="94"/>
  <c r="P32" i="94"/>
  <c r="P31" i="94"/>
  <c r="P30" i="94"/>
  <c r="J30" i="94"/>
  <c r="N30" i="94" s="1"/>
  <c r="P29" i="94"/>
  <c r="J29" i="94"/>
  <c r="N29" i="94" s="1"/>
  <c r="P28" i="94"/>
  <c r="N28" i="94"/>
  <c r="P27" i="94"/>
  <c r="N27" i="94"/>
  <c r="P26" i="94"/>
  <c r="P25" i="94"/>
  <c r="N25" i="94"/>
  <c r="P24" i="94"/>
  <c r="P23" i="94"/>
  <c r="N23" i="94"/>
  <c r="P20" i="94"/>
  <c r="N20" i="94"/>
  <c r="P19" i="94"/>
  <c r="N19" i="94"/>
  <c r="P18" i="94"/>
  <c r="N18" i="94"/>
  <c r="P17" i="94"/>
  <c r="P16" i="94"/>
  <c r="N16" i="94"/>
  <c r="P15" i="94"/>
  <c r="P14" i="94"/>
  <c r="N14" i="94"/>
  <c r="P13" i="94"/>
  <c r="P12" i="94"/>
  <c r="N12" i="94"/>
  <c r="P11" i="94"/>
  <c r="J11" i="94"/>
  <c r="N72" i="63"/>
  <c r="N71" i="63"/>
  <c r="N70" i="63"/>
  <c r="N69" i="63"/>
  <c r="N68" i="63"/>
  <c r="N67" i="63"/>
  <c r="N66" i="63"/>
  <c r="N65" i="63"/>
  <c r="N64" i="63"/>
  <c r="N63" i="63"/>
  <c r="N62" i="63"/>
  <c r="N61" i="63"/>
  <c r="N60" i="63"/>
  <c r="N59" i="63"/>
  <c r="N58" i="63"/>
  <c r="N57" i="63"/>
  <c r="N56" i="63"/>
  <c r="N55" i="63"/>
  <c r="N54" i="63"/>
  <c r="N53" i="63"/>
  <c r="N52" i="63"/>
  <c r="N51" i="63"/>
  <c r="N50" i="63"/>
  <c r="N49" i="63"/>
  <c r="N48" i="63"/>
  <c r="N47" i="63"/>
  <c r="G15" i="42"/>
  <c r="J18" i="63"/>
  <c r="N18" i="63" s="1"/>
  <c r="H18" i="63"/>
  <c r="J27" i="63"/>
  <c r="N27" i="63" s="1"/>
  <c r="H27" i="63"/>
  <c r="I26" i="63"/>
  <c r="I25" i="63" s="1"/>
  <c r="H26" i="63"/>
  <c r="H16" i="63"/>
  <c r="I10" i="63" s="1"/>
  <c r="I9" i="63" s="1"/>
  <c r="J20" i="42"/>
  <c r="O53" i="62"/>
  <c r="O52" i="62"/>
  <c r="O51" i="62"/>
  <c r="O50" i="62"/>
  <c r="O49" i="62"/>
  <c r="O48" i="62"/>
  <c r="O47" i="62"/>
  <c r="O46" i="62"/>
  <c r="O45" i="62"/>
  <c r="O44" i="62"/>
  <c r="O43" i="62"/>
  <c r="O42" i="62"/>
  <c r="O41" i="62"/>
  <c r="O40" i="62"/>
  <c r="O39" i="62"/>
  <c r="O38" i="62"/>
  <c r="O37" i="62"/>
  <c r="O36" i="62"/>
  <c r="O35" i="62"/>
  <c r="O34" i="62"/>
  <c r="O33" i="62"/>
  <c r="O32" i="62"/>
  <c r="O31" i="62"/>
  <c r="N30" i="62"/>
  <c r="M30" i="62"/>
  <c r="I14" i="41" s="1"/>
  <c r="L30" i="62"/>
  <c r="H14" i="41" s="1"/>
  <c r="K30" i="62"/>
  <c r="G14" i="41" s="1"/>
  <c r="J30" i="62"/>
  <c r="F14" i="41" s="1"/>
  <c r="I30" i="62"/>
  <c r="E14" i="41" s="1"/>
  <c r="I25" i="62"/>
  <c r="M25" i="62" s="1"/>
  <c r="O25" i="62" s="1"/>
  <c r="H24" i="62"/>
  <c r="I24" i="62" s="1"/>
  <c r="M24" i="62" s="1"/>
  <c r="O24" i="62" s="1"/>
  <c r="H23" i="62"/>
  <c r="I23" i="62" s="1"/>
  <c r="M23" i="62" s="1"/>
  <c r="O23" i="62" s="1"/>
  <c r="H22" i="62"/>
  <c r="I22" i="62" s="1"/>
  <c r="M22" i="62" s="1"/>
  <c r="O22" i="62" s="1"/>
  <c r="H21" i="62"/>
  <c r="I21" i="62" s="1"/>
  <c r="M21" i="62" s="1"/>
  <c r="O21" i="62" s="1"/>
  <c r="H20" i="62"/>
  <c r="I20" i="62" s="1"/>
  <c r="M19" i="62"/>
  <c r="G19" i="62"/>
  <c r="H19" i="62" s="1"/>
  <c r="J13" i="41"/>
  <c r="H13" i="41"/>
  <c r="G13" i="41"/>
  <c r="H15" i="62"/>
  <c r="M15" i="62" s="1"/>
  <c r="M14" i="62" s="1"/>
  <c r="G12" i="41"/>
  <c r="M13" i="62"/>
  <c r="O13" i="62" s="1"/>
  <c r="O12" i="62" s="1"/>
  <c r="K11" i="41" s="1"/>
  <c r="H13" i="62"/>
  <c r="N12" i="62"/>
  <c r="J11" i="41" s="1"/>
  <c r="L12" i="62"/>
  <c r="H11" i="41" s="1"/>
  <c r="K12" i="62"/>
  <c r="J12" i="62"/>
  <c r="F11" i="41" s="1"/>
  <c r="I12" i="62"/>
  <c r="E11" i="41" s="1"/>
  <c r="H10" i="62"/>
  <c r="H10" i="41"/>
  <c r="G10" i="41"/>
  <c r="J12" i="41"/>
  <c r="H12" i="41"/>
  <c r="F12" i="41"/>
  <c r="J10" i="41"/>
  <c r="AB21" i="40"/>
  <c r="Z21" i="40"/>
  <c r="Y21" i="40"/>
  <c r="W21" i="40"/>
  <c r="Y19" i="40"/>
  <c r="W19" i="40"/>
  <c r="C19" i="40"/>
  <c r="AB17" i="40"/>
  <c r="Z17" i="40"/>
  <c r="Y17" i="40"/>
  <c r="W17" i="40"/>
  <c r="AB16" i="40"/>
  <c r="Z16" i="40"/>
  <c r="W16" i="40"/>
  <c r="AB15" i="40"/>
  <c r="Z15" i="40"/>
  <c r="Y15" i="40"/>
  <c r="AB14" i="40"/>
  <c r="Z14" i="40"/>
  <c r="Y14" i="40"/>
  <c r="W14" i="40"/>
  <c r="Z13" i="40"/>
  <c r="Y13" i="40"/>
  <c r="W13" i="40"/>
  <c r="AB13" i="40"/>
  <c r="Z12" i="40"/>
  <c r="Y12" i="40"/>
  <c r="W12" i="40"/>
  <c r="AB11" i="40"/>
  <c r="Z11" i="40"/>
  <c r="AB9" i="40"/>
  <c r="Z9" i="40"/>
  <c r="AB8" i="40"/>
  <c r="Y8" i="40"/>
  <c r="W8" i="40"/>
  <c r="Z8" i="40"/>
  <c r="AB7" i="40"/>
  <c r="Z7" i="40"/>
  <c r="AB6" i="40"/>
  <c r="Z6" i="40"/>
  <c r="Y6" i="40"/>
  <c r="W6" i="40"/>
  <c r="H113" i="86"/>
  <c r="H112" i="86"/>
  <c r="J112" i="86" s="1"/>
  <c r="H111" i="86"/>
  <c r="J110" i="86"/>
  <c r="H105" i="86"/>
  <c r="J103" i="86"/>
  <c r="J98" i="86"/>
  <c r="P90" i="86"/>
  <c r="O90" i="86" s="1"/>
  <c r="M90" i="86"/>
  <c r="K90" i="86"/>
  <c r="I90" i="86"/>
  <c r="P89" i="86"/>
  <c r="O89" i="86" s="1"/>
  <c r="M89" i="86"/>
  <c r="K89" i="86"/>
  <c r="I89" i="86"/>
  <c r="M88" i="86"/>
  <c r="K88" i="86"/>
  <c r="I88" i="86"/>
  <c r="M87" i="86"/>
  <c r="K87" i="86"/>
  <c r="I87" i="86"/>
  <c r="M86" i="86"/>
  <c r="K86" i="86"/>
  <c r="I86" i="86"/>
  <c r="O85" i="86"/>
  <c r="M85" i="86"/>
  <c r="K85" i="86"/>
  <c r="I85" i="86"/>
  <c r="N84" i="86"/>
  <c r="L84" i="86"/>
  <c r="J84" i="86"/>
  <c r="H84" i="86"/>
  <c r="M82" i="86"/>
  <c r="K82" i="86"/>
  <c r="I82" i="86"/>
  <c r="M81" i="86"/>
  <c r="K81" i="86"/>
  <c r="I81" i="86"/>
  <c r="N80" i="86"/>
  <c r="L80" i="86"/>
  <c r="J80" i="86"/>
  <c r="H80" i="86"/>
  <c r="M78" i="86"/>
  <c r="K78" i="86"/>
  <c r="I78" i="86"/>
  <c r="M77" i="86"/>
  <c r="K77" i="86"/>
  <c r="I77" i="86"/>
  <c r="N76" i="86"/>
  <c r="L76" i="86"/>
  <c r="J76" i="86"/>
  <c r="H76" i="86"/>
  <c r="P73" i="86"/>
  <c r="P72" i="86"/>
  <c r="O72" i="86" s="1"/>
  <c r="M72" i="86"/>
  <c r="K72" i="86"/>
  <c r="I72" i="86"/>
  <c r="N71" i="86"/>
  <c r="L71" i="86"/>
  <c r="J71" i="86"/>
  <c r="H71" i="86"/>
  <c r="P70" i="86"/>
  <c r="O70" i="86" s="1"/>
  <c r="M70" i="86"/>
  <c r="K70" i="86"/>
  <c r="I70" i="86"/>
  <c r="M69" i="86"/>
  <c r="K69" i="86"/>
  <c r="I69" i="86"/>
  <c r="N68" i="86"/>
  <c r="L68" i="86"/>
  <c r="M68" i="86" s="1"/>
  <c r="J68" i="86"/>
  <c r="H68" i="86"/>
  <c r="M67" i="86"/>
  <c r="K67" i="86"/>
  <c r="I67" i="86"/>
  <c r="M66" i="86"/>
  <c r="K66" i="86"/>
  <c r="I66" i="86"/>
  <c r="N65" i="86"/>
  <c r="L65" i="86"/>
  <c r="J65" i="86"/>
  <c r="H65" i="86"/>
  <c r="M63" i="86"/>
  <c r="K63" i="86"/>
  <c r="I63" i="86"/>
  <c r="M62" i="86"/>
  <c r="K62" i="86"/>
  <c r="I62" i="86"/>
  <c r="N61" i="86"/>
  <c r="L61" i="86"/>
  <c r="M61" i="86" s="1"/>
  <c r="J61" i="86"/>
  <c r="H61" i="86"/>
  <c r="I61" i="86" s="1"/>
  <c r="P59" i="86"/>
  <c r="O59" i="86" s="1"/>
  <c r="M59" i="86"/>
  <c r="K59" i="86"/>
  <c r="I59" i="86"/>
  <c r="P58" i="86"/>
  <c r="P57" i="86"/>
  <c r="O57" i="86" s="1"/>
  <c r="M57" i="86"/>
  <c r="K57" i="86"/>
  <c r="I57" i="86"/>
  <c r="P56" i="86"/>
  <c r="O56" i="86" s="1"/>
  <c r="M56" i="86"/>
  <c r="K56" i="86"/>
  <c r="I56" i="86"/>
  <c r="P55" i="86"/>
  <c r="O55" i="86" s="1"/>
  <c r="M55" i="86"/>
  <c r="K55" i="86"/>
  <c r="I55" i="86"/>
  <c r="P54" i="86"/>
  <c r="O54" i="86" s="1"/>
  <c r="M54" i="86"/>
  <c r="K54" i="86"/>
  <c r="I54" i="86"/>
  <c r="P53" i="86"/>
  <c r="P52" i="86" s="1"/>
  <c r="M53" i="86"/>
  <c r="K53" i="86"/>
  <c r="I53" i="86"/>
  <c r="N52" i="86"/>
  <c r="L52" i="86"/>
  <c r="J52" i="86"/>
  <c r="H52" i="86"/>
  <c r="M51" i="86"/>
  <c r="K51" i="86"/>
  <c r="I51" i="86"/>
  <c r="P50" i="86"/>
  <c r="O50" i="86" s="1"/>
  <c r="M50" i="86"/>
  <c r="K50" i="86"/>
  <c r="I50" i="86"/>
  <c r="P49" i="86"/>
  <c r="O49" i="86" s="1"/>
  <c r="M49" i="86"/>
  <c r="K49" i="86"/>
  <c r="I49" i="86"/>
  <c r="N48" i="86"/>
  <c r="L48" i="86"/>
  <c r="J48" i="86"/>
  <c r="I48" i="86" s="1"/>
  <c r="H48" i="86"/>
  <c r="O46" i="86"/>
  <c r="M46" i="86"/>
  <c r="K46" i="86"/>
  <c r="I46" i="86"/>
  <c r="M45" i="86"/>
  <c r="K45" i="86"/>
  <c r="I45" i="86"/>
  <c r="M44" i="86"/>
  <c r="K44" i="86"/>
  <c r="I44" i="86"/>
  <c r="M43" i="86"/>
  <c r="K43" i="86"/>
  <c r="I43" i="86"/>
  <c r="M42" i="86"/>
  <c r="K42" i="86"/>
  <c r="I42" i="86"/>
  <c r="N41" i="86"/>
  <c r="L41" i="86"/>
  <c r="J41" i="86"/>
  <c r="H41" i="86"/>
  <c r="P40" i="86"/>
  <c r="O40" i="86" s="1"/>
  <c r="M40" i="86"/>
  <c r="K40" i="86"/>
  <c r="I40" i="86"/>
  <c r="P39" i="86"/>
  <c r="O39" i="86" s="1"/>
  <c r="M39" i="86"/>
  <c r="K39" i="86"/>
  <c r="I39" i="86"/>
  <c r="P38" i="86"/>
  <c r="O38" i="86" s="1"/>
  <c r="M38" i="86"/>
  <c r="K38" i="86"/>
  <c r="I38" i="86"/>
  <c r="N37" i="86"/>
  <c r="L37" i="86"/>
  <c r="J37" i="86"/>
  <c r="H37" i="86"/>
  <c r="M36" i="86"/>
  <c r="K36" i="86"/>
  <c r="I36" i="86"/>
  <c r="M35" i="86"/>
  <c r="K35" i="86"/>
  <c r="I35" i="86"/>
  <c r="M34" i="86"/>
  <c r="K34" i="86"/>
  <c r="I34" i="86"/>
  <c r="M33" i="86"/>
  <c r="K33" i="86"/>
  <c r="I33" i="86"/>
  <c r="M32" i="86"/>
  <c r="K32" i="86"/>
  <c r="I32" i="86"/>
  <c r="M31" i="86"/>
  <c r="K31" i="86"/>
  <c r="I31" i="86"/>
  <c r="M30" i="86"/>
  <c r="K30" i="86"/>
  <c r="I30" i="86"/>
  <c r="M29" i="86"/>
  <c r="K29" i="86"/>
  <c r="I29" i="86"/>
  <c r="M28" i="86"/>
  <c r="K28" i="86"/>
  <c r="I28" i="86"/>
  <c r="M27" i="86"/>
  <c r="K27" i="86"/>
  <c r="I27" i="86"/>
  <c r="N26" i="86"/>
  <c r="L26" i="86"/>
  <c r="J26" i="86"/>
  <c r="H26" i="86"/>
  <c r="P24" i="86"/>
  <c r="O24" i="86" s="1"/>
  <c r="M24" i="86"/>
  <c r="K24" i="86"/>
  <c r="I24" i="86"/>
  <c r="P23" i="86"/>
  <c r="O23" i="86" s="1"/>
  <c r="M23" i="86"/>
  <c r="K23" i="86"/>
  <c r="I23" i="86"/>
  <c r="P22" i="86"/>
  <c r="O22" i="86" s="1"/>
  <c r="M22" i="86"/>
  <c r="K22" i="86"/>
  <c r="I22" i="86"/>
  <c r="P21" i="86"/>
  <c r="P20" i="86"/>
  <c r="O20" i="86" s="1"/>
  <c r="M20" i="86"/>
  <c r="K20" i="86"/>
  <c r="I20" i="86"/>
  <c r="P19" i="86"/>
  <c r="O19" i="86" s="1"/>
  <c r="M19" i="86"/>
  <c r="K19" i="86"/>
  <c r="I19" i="86"/>
  <c r="P18" i="86"/>
  <c r="O18" i="86" s="1"/>
  <c r="M18" i="86"/>
  <c r="K18" i="86"/>
  <c r="I18" i="86"/>
  <c r="P17" i="86"/>
  <c r="O17" i="86" s="1"/>
  <c r="M17" i="86"/>
  <c r="K17" i="86"/>
  <c r="I17" i="86"/>
  <c r="P16" i="86"/>
  <c r="P15" i="86"/>
  <c r="O15" i="86" s="1"/>
  <c r="M15" i="86"/>
  <c r="K15" i="86"/>
  <c r="I15" i="86"/>
  <c r="P14" i="86"/>
  <c r="O14" i="86" s="1"/>
  <c r="M14" i="86"/>
  <c r="K14" i="86"/>
  <c r="I14" i="86"/>
  <c r="P13" i="86"/>
  <c r="O13" i="86" s="1"/>
  <c r="M13" i="86"/>
  <c r="K13" i="86"/>
  <c r="I13" i="86"/>
  <c r="N12" i="86"/>
  <c r="L12" i="86"/>
  <c r="M12" i="86" s="1"/>
  <c r="J12" i="86"/>
  <c r="H12" i="86"/>
  <c r="M11" i="86"/>
  <c r="K11" i="86"/>
  <c r="I11" i="86"/>
  <c r="M10" i="86"/>
  <c r="K10" i="86"/>
  <c r="I10" i="86"/>
  <c r="N9" i="86"/>
  <c r="M9" i="86" s="1"/>
  <c r="L9" i="86"/>
  <c r="J9" i="86"/>
  <c r="H9" i="86"/>
  <c r="I9" i="86" s="1"/>
  <c r="M8" i="86"/>
  <c r="K8" i="86"/>
  <c r="I8" i="86"/>
  <c r="M7" i="86"/>
  <c r="K7" i="86"/>
  <c r="I7" i="86"/>
  <c r="N6" i="86"/>
  <c r="L6" i="86"/>
  <c r="J6" i="86"/>
  <c r="H6" i="86"/>
  <c r="I17" i="91"/>
  <c r="H17" i="91"/>
  <c r="G17" i="91"/>
  <c r="F17" i="91"/>
  <c r="E17" i="91"/>
  <c r="D17" i="91"/>
  <c r="J16" i="91"/>
  <c r="J15" i="91"/>
  <c r="J14" i="91"/>
  <c r="J13" i="91"/>
  <c r="J12" i="91"/>
  <c r="J11" i="91"/>
  <c r="J10" i="91"/>
  <c r="J9" i="91"/>
  <c r="J8" i="91"/>
  <c r="J7" i="91"/>
  <c r="J6" i="91"/>
  <c r="J5" i="91"/>
  <c r="J4" i="91"/>
  <c r="J3" i="91"/>
  <c r="J2" i="91"/>
  <c r="H52" i="88"/>
  <c r="E21" i="77"/>
  <c r="E20" i="77"/>
  <c r="E19" i="77"/>
  <c r="E18" i="77"/>
  <c r="G13" i="77"/>
  <c r="F13" i="77"/>
  <c r="E13" i="77"/>
  <c r="D13" i="77"/>
  <c r="B9" i="79"/>
  <c r="C4" i="79" s="1"/>
  <c r="M20" i="30"/>
  <c r="L20" i="30"/>
  <c r="E18" i="30"/>
  <c r="K6" i="86" l="1"/>
  <c r="C5" i="79"/>
  <c r="O53" i="86"/>
  <c r="K71" i="86"/>
  <c r="J20" i="101"/>
  <c r="C6" i="79"/>
  <c r="H11" i="52"/>
  <c r="L10" i="71"/>
  <c r="M52" i="86"/>
  <c r="M48" i="86"/>
  <c r="C7" i="79"/>
  <c r="I6" i="86"/>
  <c r="K80" i="86"/>
  <c r="Q283" i="85"/>
  <c r="M283" i="85"/>
  <c r="O283" i="85"/>
  <c r="H25" i="103"/>
  <c r="H20" i="103" s="1"/>
  <c r="L283" i="85"/>
  <c r="N25" i="103"/>
  <c r="R283" i="85"/>
  <c r="L25" i="103"/>
  <c r="L20" i="103" s="1"/>
  <c r="P283" i="85"/>
  <c r="N293" i="85"/>
  <c r="T293" i="85" s="1"/>
  <c r="I292" i="85"/>
  <c r="I283" i="85" s="1"/>
  <c r="I11" i="97"/>
  <c r="E11" i="101" s="1"/>
  <c r="E10" i="101" s="1"/>
  <c r="M13" i="97"/>
  <c r="M11" i="97" s="1"/>
  <c r="O14" i="89"/>
  <c r="K66" i="89"/>
  <c r="N21" i="71"/>
  <c r="N23" i="71"/>
  <c r="M24" i="87"/>
  <c r="G11" i="54"/>
  <c r="G10" i="54" s="1"/>
  <c r="K14" i="73"/>
  <c r="G13" i="54" s="1"/>
  <c r="L15" i="73"/>
  <c r="N15" i="73" s="1"/>
  <c r="N14" i="73" s="1"/>
  <c r="J13" i="54" s="1"/>
  <c r="N22" i="71"/>
  <c r="N15" i="69"/>
  <c r="N12" i="90"/>
  <c r="N27" i="90" s="1"/>
  <c r="L11" i="90"/>
  <c r="M41" i="86"/>
  <c r="M84" i="86"/>
  <c r="I68" i="86"/>
  <c r="M37" i="86"/>
  <c r="P109" i="94"/>
  <c r="R112" i="94"/>
  <c r="K13" i="69"/>
  <c r="K11" i="69" s="1"/>
  <c r="M46" i="87"/>
  <c r="M11" i="71"/>
  <c r="N16" i="71"/>
  <c r="P99" i="94"/>
  <c r="K14" i="99" s="1"/>
  <c r="N91" i="85"/>
  <c r="M86" i="85"/>
  <c r="N97" i="85"/>
  <c r="T97" i="85" s="1"/>
  <c r="I86" i="85"/>
  <c r="T105" i="85"/>
  <c r="Q86" i="85"/>
  <c r="P86" i="85"/>
  <c r="O47" i="87"/>
  <c r="O13" i="87"/>
  <c r="O11" i="87" s="1"/>
  <c r="G11" i="55" s="1"/>
  <c r="G10" i="55" s="1"/>
  <c r="M11" i="87"/>
  <c r="M10" i="87" s="1"/>
  <c r="S27" i="87"/>
  <c r="S24" i="87" s="1"/>
  <c r="K13" i="55" s="1"/>
  <c r="K12" i="55" s="1"/>
  <c r="Q24" i="87"/>
  <c r="I13" i="55" s="1"/>
  <c r="I12" i="55" s="1"/>
  <c r="O27" i="87"/>
  <c r="K22" i="89"/>
  <c r="K11" i="89" s="1"/>
  <c r="I11" i="89"/>
  <c r="N14" i="90"/>
  <c r="R21" i="90"/>
  <c r="E12" i="53"/>
  <c r="F10" i="53"/>
  <c r="F13" i="53" s="1"/>
  <c r="E13" i="50"/>
  <c r="E12" i="50" s="1"/>
  <c r="E11" i="50"/>
  <c r="E10" i="50" s="1"/>
  <c r="J11" i="47"/>
  <c r="J10" i="47" s="1"/>
  <c r="J12" i="47" s="1"/>
  <c r="J17" i="47" s="1"/>
  <c r="N11" i="94"/>
  <c r="N10" i="94" s="1"/>
  <c r="J10" i="94"/>
  <c r="P34" i="94"/>
  <c r="R34" i="94" s="1"/>
  <c r="O10" i="94"/>
  <c r="P86" i="94"/>
  <c r="P85" i="94" s="1"/>
  <c r="J18" i="62"/>
  <c r="F13" i="41" s="1"/>
  <c r="O19" i="62"/>
  <c r="I18" i="62"/>
  <c r="E13" i="41" s="1"/>
  <c r="K41" i="86"/>
  <c r="K76" i="86"/>
  <c r="I80" i="86"/>
  <c r="I11" i="65"/>
  <c r="E10" i="98" s="1"/>
  <c r="G11" i="53"/>
  <c r="G10" i="53" s="1"/>
  <c r="G13" i="53" s="1"/>
  <c r="M26" i="62"/>
  <c r="M80" i="86"/>
  <c r="K39" i="89"/>
  <c r="G13" i="51" s="1"/>
  <c r="I84" i="86"/>
  <c r="K37" i="86"/>
  <c r="I76" i="86"/>
  <c r="O58" i="87"/>
  <c r="U58" i="87" s="1"/>
  <c r="O60" i="87"/>
  <c r="U60" i="87" s="1"/>
  <c r="O68" i="87"/>
  <c r="U68" i="87" s="1"/>
  <c r="O28" i="87"/>
  <c r="U28" i="87" s="1"/>
  <c r="O64" i="87"/>
  <c r="U64" i="87" s="1"/>
  <c r="O87" i="87"/>
  <c r="U87" i="87" s="1"/>
  <c r="I12" i="86"/>
  <c r="I26" i="86"/>
  <c r="I65" i="86"/>
  <c r="M71" i="86"/>
  <c r="O72" i="87"/>
  <c r="U72" i="87" s="1"/>
  <c r="C8" i="79"/>
  <c r="K12" i="86"/>
  <c r="M26" i="86"/>
  <c r="I37" i="86"/>
  <c r="M65" i="86"/>
  <c r="P33" i="62"/>
  <c r="S33" i="62" s="1"/>
  <c r="S56" i="62" s="1"/>
  <c r="J10" i="69"/>
  <c r="O67" i="87"/>
  <c r="U67" i="87" s="1"/>
  <c r="O75" i="87"/>
  <c r="U75" i="87" s="1"/>
  <c r="J13" i="73"/>
  <c r="F13" i="54"/>
  <c r="F12" i="54" s="1"/>
  <c r="P47" i="63"/>
  <c r="S47" i="63" s="1"/>
  <c r="S81" i="63" s="1"/>
  <c r="I52" i="86"/>
  <c r="K68" i="86"/>
  <c r="M12" i="62"/>
  <c r="I11" i="41" s="1"/>
  <c r="H7" i="104" s="1"/>
  <c r="O85" i="87"/>
  <c r="U85" i="87" s="1"/>
  <c r="J111" i="86"/>
  <c r="H132" i="104"/>
  <c r="O57" i="87"/>
  <c r="U57" i="87" s="1"/>
  <c r="C3" i="79"/>
  <c r="J17" i="91"/>
  <c r="K61" i="86"/>
  <c r="I71" i="86"/>
  <c r="H13" i="73"/>
  <c r="O33" i="87"/>
  <c r="U33" i="87" s="1"/>
  <c r="K9" i="86"/>
  <c r="I41" i="86"/>
  <c r="O63" i="87"/>
  <c r="U63" i="87" s="1"/>
  <c r="O69" i="87"/>
  <c r="U69" i="87" s="1"/>
  <c r="T23" i="87"/>
  <c r="T10" i="87"/>
  <c r="L11" i="55"/>
  <c r="L10" i="55" s="1"/>
  <c r="I14" i="55"/>
  <c r="T45" i="87"/>
  <c r="L16" i="55"/>
  <c r="L14" i="55" s="1"/>
  <c r="P10" i="87"/>
  <c r="H11" i="55"/>
  <c r="H10" i="55" s="1"/>
  <c r="P23" i="87"/>
  <c r="P45" i="87"/>
  <c r="H16" i="55"/>
  <c r="H14" i="55" s="1"/>
  <c r="N21" i="69"/>
  <c r="G11" i="49"/>
  <c r="G10" i="49" s="1"/>
  <c r="N12" i="71"/>
  <c r="N24" i="71"/>
  <c r="N27" i="71"/>
  <c r="K11" i="71"/>
  <c r="N20" i="71"/>
  <c r="N25" i="71"/>
  <c r="N28" i="71"/>
  <c r="N139" i="85"/>
  <c r="T139" i="85" s="1"/>
  <c r="H19" i="103"/>
  <c r="H16" i="103" s="1"/>
  <c r="L214" i="85"/>
  <c r="S90" i="85"/>
  <c r="T109" i="85"/>
  <c r="N284" i="85"/>
  <c r="J21" i="103" s="1"/>
  <c r="T285" i="85"/>
  <c r="T284" i="85" s="1"/>
  <c r="N308" i="85"/>
  <c r="N307" i="85" s="1"/>
  <c r="T309" i="85"/>
  <c r="T308" i="85" s="1"/>
  <c r="P71" i="86"/>
  <c r="O71" i="86" s="1"/>
  <c r="H114" i="104"/>
  <c r="H113" i="104" s="1"/>
  <c r="H116" i="104"/>
  <c r="H115" i="104" s="1"/>
  <c r="H108" i="104"/>
  <c r="H107" i="104" s="1"/>
  <c r="H106" i="104"/>
  <c r="H105" i="104" s="1"/>
  <c r="G10" i="50"/>
  <c r="E12" i="54"/>
  <c r="I13" i="73"/>
  <c r="M13" i="73"/>
  <c r="K13" i="73"/>
  <c r="P48" i="86"/>
  <c r="O48" i="86" s="1"/>
  <c r="N12" i="69"/>
  <c r="N14" i="69"/>
  <c r="I12" i="54"/>
  <c r="F11" i="54"/>
  <c r="F10" i="54" s="1"/>
  <c r="I11" i="54"/>
  <c r="I10" i="54" s="1"/>
  <c r="G12" i="54"/>
  <c r="H12" i="52"/>
  <c r="H10" i="52" s="1"/>
  <c r="L34" i="71"/>
  <c r="L38" i="71" s="1"/>
  <c r="H125" i="104"/>
  <c r="I11" i="71"/>
  <c r="I10" i="71" s="1"/>
  <c r="M14" i="71"/>
  <c r="I12" i="52" s="1"/>
  <c r="J19" i="71"/>
  <c r="K19" i="71" s="1"/>
  <c r="N19" i="71" s="1"/>
  <c r="N33" i="71"/>
  <c r="N32" i="71" s="1"/>
  <c r="J13" i="52" s="1"/>
  <c r="H124" i="104" s="1"/>
  <c r="O22" i="89"/>
  <c r="H150" i="104"/>
  <c r="L10" i="89"/>
  <c r="O13" i="89"/>
  <c r="O20" i="89"/>
  <c r="O21" i="89"/>
  <c r="O25" i="89"/>
  <c r="O26" i="89"/>
  <c r="O33" i="89"/>
  <c r="K31" i="89"/>
  <c r="G12" i="51" s="1"/>
  <c r="O40" i="89"/>
  <c r="O39" i="89" s="1"/>
  <c r="K13" i="51" s="1"/>
  <c r="U17" i="87"/>
  <c r="U34" i="87"/>
  <c r="K15" i="55"/>
  <c r="U65" i="87"/>
  <c r="U25" i="87"/>
  <c r="U26" i="87"/>
  <c r="U36" i="87"/>
  <c r="U39" i="87"/>
  <c r="U49" i="87"/>
  <c r="U53" i="87"/>
  <c r="U54" i="87"/>
  <c r="U55" i="87"/>
  <c r="S80" i="87"/>
  <c r="K16" i="55" s="1"/>
  <c r="R301" i="85"/>
  <c r="N20" i="103"/>
  <c r="E12" i="41"/>
  <c r="M10" i="62"/>
  <c r="E10" i="41"/>
  <c r="J14" i="41"/>
  <c r="J9" i="41" s="1"/>
  <c r="N8" i="62"/>
  <c r="N54" i="62" s="1"/>
  <c r="N58" i="62" s="1"/>
  <c r="O30" i="62"/>
  <c r="K14" i="41" s="1"/>
  <c r="L8" i="62"/>
  <c r="L54" i="62" s="1"/>
  <c r="L58" i="62" s="1"/>
  <c r="H9" i="41"/>
  <c r="N46" i="63"/>
  <c r="J15" i="42" s="1"/>
  <c r="F11" i="101"/>
  <c r="F10" i="101" s="1"/>
  <c r="J10" i="97"/>
  <c r="K10" i="76"/>
  <c r="I15" i="101"/>
  <c r="I14" i="101" s="1"/>
  <c r="I15" i="97"/>
  <c r="I14" i="97" s="1"/>
  <c r="K11" i="97"/>
  <c r="K10" i="97" s="1"/>
  <c r="N10" i="97"/>
  <c r="J14" i="97"/>
  <c r="K14" i="97"/>
  <c r="R17" i="97"/>
  <c r="P14" i="97"/>
  <c r="N18" i="97"/>
  <c r="L297" i="85"/>
  <c r="I301" i="85"/>
  <c r="J292" i="85"/>
  <c r="J283" i="85" s="1"/>
  <c r="N298" i="85"/>
  <c r="N297" i="85" s="1"/>
  <c r="R297" i="85"/>
  <c r="M307" i="85"/>
  <c r="S302" i="85"/>
  <c r="O29" i="103" s="1"/>
  <c r="O28" i="103" s="1"/>
  <c r="I310" i="85"/>
  <c r="I297" i="85"/>
  <c r="S298" i="85"/>
  <c r="S297" i="85" s="1"/>
  <c r="Q307" i="85"/>
  <c r="N310" i="85"/>
  <c r="R12" i="97"/>
  <c r="Q11" i="97"/>
  <c r="I18" i="97"/>
  <c r="I12" i="41"/>
  <c r="H8" i="104" s="1"/>
  <c r="O15" i="62"/>
  <c r="M20" i="62"/>
  <c r="G15" i="101"/>
  <c r="G14" i="101" s="1"/>
  <c r="K18" i="97"/>
  <c r="K10" i="96"/>
  <c r="K55" i="96" s="1"/>
  <c r="G11" i="100"/>
  <c r="G10" i="100" s="1"/>
  <c r="G21" i="100" s="1"/>
  <c r="M11" i="69"/>
  <c r="N27" i="69"/>
  <c r="M27" i="69"/>
  <c r="J17" i="69"/>
  <c r="M25" i="70"/>
  <c r="N26" i="70"/>
  <c r="N25" i="70" s="1"/>
  <c r="N15" i="71"/>
  <c r="N17" i="71"/>
  <c r="I11" i="53"/>
  <c r="I10" i="53" s="1"/>
  <c r="I13" i="53" s="1"/>
  <c r="M10" i="90"/>
  <c r="M20" i="90" s="1"/>
  <c r="Q45" i="87"/>
  <c r="H91" i="86"/>
  <c r="F15" i="101"/>
  <c r="F14" i="101" s="1"/>
  <c r="J18" i="97"/>
  <c r="L15" i="101"/>
  <c r="L14" i="101" s="1"/>
  <c r="P18" i="97"/>
  <c r="K32" i="71"/>
  <c r="G13" i="52" s="1"/>
  <c r="L29" i="103"/>
  <c r="L28" i="103" s="1"/>
  <c r="P301" i="85"/>
  <c r="O52" i="86"/>
  <c r="K65" i="86"/>
  <c r="K84" i="86"/>
  <c r="K8" i="62"/>
  <c r="K54" i="62" s="1"/>
  <c r="G11" i="41"/>
  <c r="G9" i="41" s="1"/>
  <c r="G15" i="41" s="1"/>
  <c r="J91" i="86"/>
  <c r="N91" i="86"/>
  <c r="F10" i="41"/>
  <c r="J8" i="62"/>
  <c r="J54" i="62" s="1"/>
  <c r="I10" i="97"/>
  <c r="O14" i="97"/>
  <c r="N10" i="76"/>
  <c r="I11" i="47"/>
  <c r="I10" i="47" s="1"/>
  <c r="N20" i="69"/>
  <c r="L17" i="69"/>
  <c r="M21" i="69"/>
  <c r="K35" i="69"/>
  <c r="N35" i="69" s="1"/>
  <c r="F11" i="52"/>
  <c r="L25" i="87"/>
  <c r="L24" i="87" s="1"/>
  <c r="L23" i="87" s="1"/>
  <c r="K24" i="87"/>
  <c r="K23" i="87" s="1"/>
  <c r="L91" i="86"/>
  <c r="L11" i="101"/>
  <c r="L10" i="101" s="1"/>
  <c r="L20" i="101" s="1"/>
  <c r="P10" i="97"/>
  <c r="M27" i="73"/>
  <c r="M31" i="73" s="1"/>
  <c r="M6" i="86"/>
  <c r="K26" i="86"/>
  <c r="K48" i="86"/>
  <c r="K52" i="86"/>
  <c r="M76" i="86"/>
  <c r="P37" i="86"/>
  <c r="O37" i="86" s="1"/>
  <c r="J13" i="101"/>
  <c r="J12" i="101" s="1"/>
  <c r="Q15" i="97"/>
  <c r="N14" i="97"/>
  <c r="R16" i="97"/>
  <c r="M15" i="97"/>
  <c r="K15" i="101"/>
  <c r="K14" i="101" s="1"/>
  <c r="K20" i="101" s="1"/>
  <c r="O18" i="97"/>
  <c r="O79" i="97" s="1"/>
  <c r="O16" i="76"/>
  <c r="O20" i="76" s="1"/>
  <c r="M20" i="69"/>
  <c r="N26" i="69"/>
  <c r="M26" i="69"/>
  <c r="N13" i="71"/>
  <c r="N18" i="71"/>
  <c r="K24" i="90"/>
  <c r="O32" i="89"/>
  <c r="M31" i="89"/>
  <c r="I12" i="51" s="1"/>
  <c r="M39" i="89"/>
  <c r="I13" i="51" s="1"/>
  <c r="G12" i="42"/>
  <c r="G9" i="42" s="1"/>
  <c r="G18" i="42" s="1"/>
  <c r="K80" i="63"/>
  <c r="I15" i="42"/>
  <c r="I9" i="42" s="1"/>
  <c r="I18" i="42" s="1"/>
  <c r="O10" i="97"/>
  <c r="E11" i="53"/>
  <c r="N23" i="73"/>
  <c r="N22" i="73" s="1"/>
  <c r="J14" i="54" s="1"/>
  <c r="L22" i="73"/>
  <c r="H14" i="54" s="1"/>
  <c r="H11" i="51"/>
  <c r="H10" i="51" s="1"/>
  <c r="H16" i="51" s="1"/>
  <c r="U83" i="87"/>
  <c r="M80" i="87"/>
  <c r="E16" i="55" s="1"/>
  <c r="J17" i="42"/>
  <c r="J10" i="90"/>
  <c r="J20" i="90" s="1"/>
  <c r="L12" i="73"/>
  <c r="I11" i="73"/>
  <c r="I10" i="73" s="1"/>
  <c r="J10" i="89"/>
  <c r="J60" i="89" s="1"/>
  <c r="F12" i="51"/>
  <c r="F10" i="51" s="1"/>
  <c r="F16" i="51" s="1"/>
  <c r="N10" i="89"/>
  <c r="O56" i="89"/>
  <c r="K15" i="51" s="1"/>
  <c r="U12" i="87"/>
  <c r="O45" i="89"/>
  <c r="K14" i="51" s="1"/>
  <c r="K11" i="55"/>
  <c r="K10" i="55" s="1"/>
  <c r="H33" i="103"/>
  <c r="H32" i="103" s="1"/>
  <c r="L310" i="85"/>
  <c r="J12" i="51"/>
  <c r="J10" i="51" s="1"/>
  <c r="J16" i="51" s="1"/>
  <c r="Q10" i="87"/>
  <c r="U18" i="87"/>
  <c r="U30" i="87"/>
  <c r="U52" i="87"/>
  <c r="U70" i="87"/>
  <c r="U82" i="87"/>
  <c r="S292" i="85"/>
  <c r="I25" i="103"/>
  <c r="I20" i="103" s="1"/>
  <c r="J297" i="85"/>
  <c r="F27" i="103"/>
  <c r="F26" i="103" s="1"/>
  <c r="M297" i="85"/>
  <c r="I27" i="103"/>
  <c r="I26" i="103" s="1"/>
  <c r="O301" i="85"/>
  <c r="K29" i="103"/>
  <c r="K28" i="103" s="1"/>
  <c r="J310" i="85"/>
  <c r="F33" i="103"/>
  <c r="F32" i="103" s="1"/>
  <c r="M310" i="85"/>
  <c r="I33" i="103"/>
  <c r="I32" i="103" s="1"/>
  <c r="R167" i="85"/>
  <c r="J215" i="85"/>
  <c r="J167" i="85"/>
  <c r="J166" i="85" s="1"/>
  <c r="P215" i="85"/>
  <c r="I215" i="85"/>
  <c r="I249" i="85"/>
  <c r="E18" i="103" s="1"/>
  <c r="M249" i="85"/>
  <c r="K25" i="103"/>
  <c r="K20" i="103" s="1"/>
  <c r="M25" i="103"/>
  <c r="M20" i="103" s="1"/>
  <c r="P297" i="85"/>
  <c r="O297" i="85"/>
  <c r="K27" i="103"/>
  <c r="K26" i="103" s="1"/>
  <c r="Q297" i="85"/>
  <c r="M27" i="103"/>
  <c r="M26" i="103" s="1"/>
  <c r="T299" i="85"/>
  <c r="T300" i="85"/>
  <c r="L301" i="85"/>
  <c r="J301" i="85"/>
  <c r="F29" i="103"/>
  <c r="F28" i="103" s="1"/>
  <c r="M301" i="85"/>
  <c r="I29" i="103"/>
  <c r="I28" i="103" s="1"/>
  <c r="J307" i="85"/>
  <c r="O307" i="85"/>
  <c r="I307" i="85"/>
  <c r="E31" i="103"/>
  <c r="E30" i="103" s="1"/>
  <c r="L307" i="85"/>
  <c r="H31" i="103"/>
  <c r="H30" i="103" s="1"/>
  <c r="P307" i="85"/>
  <c r="L31" i="103"/>
  <c r="L30" i="103" s="1"/>
  <c r="R307" i="85"/>
  <c r="N31" i="103"/>
  <c r="N30" i="103" s="1"/>
  <c r="P310" i="85"/>
  <c r="O310" i="85"/>
  <c r="K33" i="103"/>
  <c r="K32" i="103" s="1"/>
  <c r="S310" i="85"/>
  <c r="O33" i="103"/>
  <c r="O32" i="103" s="1"/>
  <c r="I19" i="103"/>
  <c r="L19" i="103"/>
  <c r="K19" i="103"/>
  <c r="K16" i="103" s="1"/>
  <c r="M19" i="103"/>
  <c r="P105" i="94"/>
  <c r="N100" i="94"/>
  <c r="N99" i="94" s="1"/>
  <c r="I14" i="99" s="1"/>
  <c r="J99" i="94"/>
  <c r="E14" i="99" s="1"/>
  <c r="N92" i="94"/>
  <c r="N86" i="94" s="1"/>
  <c r="J86" i="94"/>
  <c r="J85" i="94" s="1"/>
  <c r="R97" i="94"/>
  <c r="R95" i="94" s="1"/>
  <c r="N95" i="94"/>
  <c r="F12" i="99"/>
  <c r="F11" i="50"/>
  <c r="F10" i="50" s="1"/>
  <c r="N10" i="70"/>
  <c r="Q264" i="85"/>
  <c r="S264" i="85" s="1"/>
  <c r="T264" i="85" s="1"/>
  <c r="V264" i="85" s="1"/>
  <c r="X264" i="85" s="1"/>
  <c r="N273" i="85"/>
  <c r="J268" i="85"/>
  <c r="S284" i="85"/>
  <c r="O21" i="103" s="1"/>
  <c r="T287" i="85"/>
  <c r="T286" i="85" s="1"/>
  <c r="P22" i="103" s="1"/>
  <c r="H178" i="104" s="1"/>
  <c r="S286" i="85"/>
  <c r="O22" i="103" s="1"/>
  <c r="T289" i="85"/>
  <c r="T288" i="85" s="1"/>
  <c r="P23" i="103" s="1"/>
  <c r="H179" i="104" s="1"/>
  <c r="S288" i="85"/>
  <c r="O23" i="103" s="1"/>
  <c r="T291" i="85"/>
  <c r="T290" i="85" s="1"/>
  <c r="P24" i="103" s="1"/>
  <c r="H180" i="104" s="1"/>
  <c r="S290" i="85"/>
  <c r="O24" i="103" s="1"/>
  <c r="H181" i="104"/>
  <c r="S268" i="85"/>
  <c r="T303" i="85"/>
  <c r="T302" i="85" s="1"/>
  <c r="S308" i="85"/>
  <c r="T311" i="85"/>
  <c r="P12" i="86"/>
  <c r="O12" i="86" s="1"/>
  <c r="L17" i="96"/>
  <c r="L11" i="96" s="1"/>
  <c r="O42" i="86"/>
  <c r="P41" i="86"/>
  <c r="O41" i="86" s="1"/>
  <c r="L29" i="96"/>
  <c r="P31" i="96"/>
  <c r="P29" i="96" s="1"/>
  <c r="F15" i="99"/>
  <c r="L9" i="94"/>
  <c r="G10" i="99"/>
  <c r="N109" i="94"/>
  <c r="K115" i="94"/>
  <c r="F18" i="99" s="1"/>
  <c r="F19" i="99"/>
  <c r="Q115" i="94"/>
  <c r="L18" i="99" s="1"/>
  <c r="L19" i="99"/>
  <c r="K9" i="94"/>
  <c r="F10" i="99"/>
  <c r="M9" i="94"/>
  <c r="H10" i="99"/>
  <c r="Q9" i="94"/>
  <c r="L10" i="99"/>
  <c r="N106" i="94"/>
  <c r="E16" i="99"/>
  <c r="L15" i="99"/>
  <c r="L17" i="99"/>
  <c r="L115" i="94"/>
  <c r="G18" i="99" s="1"/>
  <c r="G19" i="99"/>
  <c r="O115" i="94"/>
  <c r="J18" i="99" s="1"/>
  <c r="J19" i="99"/>
  <c r="K12" i="99"/>
  <c r="R118" i="94"/>
  <c r="R42" i="94"/>
  <c r="P116" i="94"/>
  <c r="R125" i="94"/>
  <c r="R43" i="94"/>
  <c r="R17" i="94"/>
  <c r="R25" i="94"/>
  <c r="R36" i="94"/>
  <c r="R38" i="94"/>
  <c r="R39" i="94"/>
  <c r="R46" i="94"/>
  <c r="R48" i="94"/>
  <c r="R50" i="94"/>
  <c r="R51" i="94"/>
  <c r="N116" i="94"/>
  <c r="R120" i="94"/>
  <c r="R12" i="94"/>
  <c r="R15" i="94"/>
  <c r="R16" i="94"/>
  <c r="R40" i="94"/>
  <c r="R41" i="94"/>
  <c r="R44" i="94"/>
  <c r="R45" i="94"/>
  <c r="R52" i="94"/>
  <c r="R60" i="94"/>
  <c r="R61" i="94"/>
  <c r="R62" i="94"/>
  <c r="R64" i="94"/>
  <c r="R70" i="94"/>
  <c r="R76" i="94"/>
  <c r="R78" i="94"/>
  <c r="R80" i="94"/>
  <c r="K35" i="65"/>
  <c r="K34" i="65" s="1"/>
  <c r="I34" i="65"/>
  <c r="K14" i="65"/>
  <c r="K18" i="65"/>
  <c r="K11" i="65"/>
  <c r="R13" i="94"/>
  <c r="R14" i="94"/>
  <c r="R24" i="94"/>
  <c r="R26" i="94"/>
  <c r="R27" i="94"/>
  <c r="R28" i="94"/>
  <c r="R29" i="94"/>
  <c r="R30" i="94"/>
  <c r="R31" i="94"/>
  <c r="R32" i="94"/>
  <c r="R33" i="94"/>
  <c r="R35" i="94"/>
  <c r="R37" i="94"/>
  <c r="R47" i="94"/>
  <c r="R49" i="94"/>
  <c r="R63" i="94"/>
  <c r="R65" i="94"/>
  <c r="R75" i="94"/>
  <c r="R77" i="94"/>
  <c r="R79" i="94"/>
  <c r="R101" i="94"/>
  <c r="R107" i="94"/>
  <c r="R121" i="94"/>
  <c r="R122" i="94"/>
  <c r="P27" i="86"/>
  <c r="O27" i="86" s="1"/>
  <c r="P28" i="86"/>
  <c r="O28" i="86" s="1"/>
  <c r="P30" i="86"/>
  <c r="O30" i="86" s="1"/>
  <c r="P31" i="86"/>
  <c r="O31" i="86" s="1"/>
  <c r="P36" i="86"/>
  <c r="O36" i="86" s="1"/>
  <c r="P33" i="86"/>
  <c r="O33" i="86" s="1"/>
  <c r="R18" i="94"/>
  <c r="R19" i="94"/>
  <c r="R20" i="94"/>
  <c r="R23" i="94"/>
  <c r="R53" i="94"/>
  <c r="R55" i="94"/>
  <c r="R56" i="94"/>
  <c r="R57" i="94"/>
  <c r="R58" i="94"/>
  <c r="R72" i="94"/>
  <c r="R73" i="94"/>
  <c r="R91" i="94"/>
  <c r="R59" i="94"/>
  <c r="R117" i="94"/>
  <c r="J116" i="94"/>
  <c r="J16" i="63"/>
  <c r="E12" i="42"/>
  <c r="J26" i="63"/>
  <c r="W11" i="40"/>
  <c r="N79" i="97" l="1"/>
  <c r="G11" i="52"/>
  <c r="C9" i="79"/>
  <c r="P79" i="97"/>
  <c r="I11" i="52"/>
  <c r="M10" i="71"/>
  <c r="M34" i="71" s="1"/>
  <c r="M38" i="71" s="1"/>
  <c r="I79" i="97"/>
  <c r="J79" i="97"/>
  <c r="K79" i="97"/>
  <c r="F20" i="101"/>
  <c r="N85" i="94"/>
  <c r="O313" i="85"/>
  <c r="E25" i="103"/>
  <c r="E20" i="103" s="1"/>
  <c r="O25" i="103"/>
  <c r="S283" i="85"/>
  <c r="K34" i="103"/>
  <c r="L313" i="85"/>
  <c r="E14" i="50"/>
  <c r="J13" i="40" s="1"/>
  <c r="AA13" i="40" s="1"/>
  <c r="N16" i="63"/>
  <c r="N89" i="63" s="1"/>
  <c r="J89" i="63"/>
  <c r="H34" i="103"/>
  <c r="M59" i="96"/>
  <c r="P10" i="94"/>
  <c r="P9" i="94" s="1"/>
  <c r="N40" i="71"/>
  <c r="N11" i="90"/>
  <c r="J11" i="53" s="1"/>
  <c r="L13" i="90"/>
  <c r="H12" i="53" s="1"/>
  <c r="N13" i="90"/>
  <c r="J12" i="53" s="1"/>
  <c r="H131" i="104" s="1"/>
  <c r="N13" i="69"/>
  <c r="N11" i="69" s="1"/>
  <c r="O26" i="62"/>
  <c r="M18" i="62"/>
  <c r="M9" i="62"/>
  <c r="I10" i="41" s="1"/>
  <c r="K13" i="65"/>
  <c r="I17" i="55"/>
  <c r="O59" i="96"/>
  <c r="L31" i="70"/>
  <c r="N60" i="89"/>
  <c r="N64" i="89" s="1"/>
  <c r="J59" i="96"/>
  <c r="K59" i="96"/>
  <c r="U13" i="87"/>
  <c r="U11" i="87" s="1"/>
  <c r="M11" i="55" s="1"/>
  <c r="M10" i="55" s="1"/>
  <c r="L17" i="55"/>
  <c r="L21" i="55" s="1"/>
  <c r="L60" i="89"/>
  <c r="L64" i="89" s="1"/>
  <c r="H17" i="55"/>
  <c r="M18" i="40" s="1"/>
  <c r="P88" i="87"/>
  <c r="P92" i="87" s="1"/>
  <c r="P104" i="94"/>
  <c r="K15" i="99" s="1"/>
  <c r="K25" i="100"/>
  <c r="O11" i="89"/>
  <c r="O10" i="40"/>
  <c r="E11" i="52"/>
  <c r="E10" i="52" s="1"/>
  <c r="E14" i="52" s="1"/>
  <c r="N11" i="71"/>
  <c r="O14" i="62"/>
  <c r="K12" i="41" s="1"/>
  <c r="R11" i="94"/>
  <c r="R10" i="94" s="1"/>
  <c r="L9" i="99"/>
  <c r="Q126" i="94"/>
  <c r="F9" i="99"/>
  <c r="K126" i="94"/>
  <c r="G9" i="99"/>
  <c r="L126" i="94"/>
  <c r="H9" i="99"/>
  <c r="M126" i="94"/>
  <c r="O10" i="62"/>
  <c r="O63" i="62" s="1"/>
  <c r="H15" i="41"/>
  <c r="F5" i="40" s="1"/>
  <c r="W5" i="40" s="1"/>
  <c r="T90" i="85"/>
  <c r="S86" i="85"/>
  <c r="T91" i="85"/>
  <c r="N86" i="85"/>
  <c r="O24" i="87"/>
  <c r="O23" i="87" s="1"/>
  <c r="U27" i="87"/>
  <c r="U24" i="87" s="1"/>
  <c r="M13" i="55" s="1"/>
  <c r="M12" i="55" s="1"/>
  <c r="O46" i="87"/>
  <c r="G15" i="55" s="1"/>
  <c r="T88" i="87"/>
  <c r="T92" i="87" s="1"/>
  <c r="O31" i="89"/>
  <c r="K12" i="51" s="1"/>
  <c r="K16" i="76"/>
  <c r="K20" i="76" s="1"/>
  <c r="R92" i="94"/>
  <c r="R86" i="94" s="1"/>
  <c r="N26" i="63"/>
  <c r="J25" i="63"/>
  <c r="F12" i="42" s="1"/>
  <c r="H19" i="104" s="1"/>
  <c r="J15" i="41"/>
  <c r="J19" i="41" s="1"/>
  <c r="F9" i="41"/>
  <c r="F15" i="41" s="1"/>
  <c r="I8" i="62"/>
  <c r="I54" i="62" s="1"/>
  <c r="I58" i="62" s="1"/>
  <c r="I91" i="86"/>
  <c r="H149" i="104"/>
  <c r="I10" i="90"/>
  <c r="E10" i="53"/>
  <c r="E13" i="53" s="1"/>
  <c r="J31" i="103"/>
  <c r="J30" i="103" s="1"/>
  <c r="K91" i="86"/>
  <c r="R100" i="94"/>
  <c r="R99" i="94" s="1"/>
  <c r="M14" i="99" s="1"/>
  <c r="H35" i="104" s="1"/>
  <c r="L14" i="73"/>
  <c r="H13" i="54" s="1"/>
  <c r="P88" i="86"/>
  <c r="O88" i="86" s="1"/>
  <c r="K14" i="55"/>
  <c r="K17" i="55" s="1"/>
  <c r="J14" i="71"/>
  <c r="J10" i="71" s="1"/>
  <c r="L17" i="103"/>
  <c r="L16" i="103" s="1"/>
  <c r="P214" i="85"/>
  <c r="F17" i="103"/>
  <c r="J214" i="85"/>
  <c r="N268" i="85"/>
  <c r="J19" i="103" s="1"/>
  <c r="T273" i="85"/>
  <c r="T268" i="85" s="1"/>
  <c r="I18" i="103"/>
  <c r="I16" i="103" s="1"/>
  <c r="M214" i="85"/>
  <c r="I214" i="85"/>
  <c r="H148" i="104"/>
  <c r="I10" i="52"/>
  <c r="I14" i="52" s="1"/>
  <c r="I18" i="52" s="1"/>
  <c r="H14" i="52"/>
  <c r="H18" i="52" s="1"/>
  <c r="P67" i="86"/>
  <c r="O67" i="86" s="1"/>
  <c r="H117" i="104"/>
  <c r="H112" i="104"/>
  <c r="H111" i="104" s="1"/>
  <c r="E11" i="55"/>
  <c r="E10" i="55" s="1"/>
  <c r="I15" i="54"/>
  <c r="AC16" i="40" s="1"/>
  <c r="N13" i="73"/>
  <c r="H72" i="104"/>
  <c r="H71" i="104" s="1"/>
  <c r="H74" i="104"/>
  <c r="H73" i="104" s="1"/>
  <c r="K17" i="69"/>
  <c r="K16" i="69" s="1"/>
  <c r="M17" i="69"/>
  <c r="M16" i="69" s="1"/>
  <c r="J16" i="42"/>
  <c r="P11" i="86" s="1"/>
  <c r="O11" i="86" s="1"/>
  <c r="K83" i="97"/>
  <c r="J83" i="97"/>
  <c r="N83" i="97"/>
  <c r="K14" i="71"/>
  <c r="G12" i="52" s="1"/>
  <c r="G10" i="52" s="1"/>
  <c r="G17" i="40"/>
  <c r="X17" i="40" s="1"/>
  <c r="M17" i="40"/>
  <c r="S17" i="40" s="1"/>
  <c r="H20" i="51"/>
  <c r="AC17" i="40"/>
  <c r="I10" i="89"/>
  <c r="E11" i="51"/>
  <c r="U80" i="87"/>
  <c r="S45" i="87"/>
  <c r="O20" i="103"/>
  <c r="E9" i="41"/>
  <c r="H25" i="104"/>
  <c r="M18" i="97"/>
  <c r="E13" i="101"/>
  <c r="E12" i="101" s="1"/>
  <c r="E20" i="101" s="1"/>
  <c r="G11" i="101"/>
  <c r="G10" i="101" s="1"/>
  <c r="G20" i="101" s="1"/>
  <c r="R13" i="97"/>
  <c r="I11" i="101"/>
  <c r="I10" i="101" s="1"/>
  <c r="I20" i="101" s="1"/>
  <c r="M10" i="97"/>
  <c r="R11" i="97"/>
  <c r="N11" i="101" s="1"/>
  <c r="M11" i="101"/>
  <c r="M10" i="101" s="1"/>
  <c r="H191" i="104"/>
  <c r="J27" i="103"/>
  <c r="J26" i="103" s="1"/>
  <c r="O27" i="103"/>
  <c r="O26" i="103" s="1"/>
  <c r="F25" i="103"/>
  <c r="F20" i="103" s="1"/>
  <c r="S301" i="85"/>
  <c r="T301" i="85"/>
  <c r="Q10" i="97"/>
  <c r="O80" i="87"/>
  <c r="G16" i="55" s="1"/>
  <c r="S23" i="87"/>
  <c r="J64" i="89"/>
  <c r="O10" i="87"/>
  <c r="M45" i="87"/>
  <c r="E15" i="55"/>
  <c r="E14" i="55" s="1"/>
  <c r="E11" i="54"/>
  <c r="E10" i="54" s="1"/>
  <c r="K10" i="89"/>
  <c r="K60" i="89" s="1"/>
  <c r="G11" i="51"/>
  <c r="I13" i="101"/>
  <c r="I12" i="101" s="1"/>
  <c r="M14" i="97"/>
  <c r="N10" i="63"/>
  <c r="J10" i="63"/>
  <c r="J9" i="63" s="1"/>
  <c r="Q23" i="87"/>
  <c r="K11" i="51"/>
  <c r="L16" i="69"/>
  <c r="G13" i="49"/>
  <c r="G12" i="49" s="1"/>
  <c r="K10" i="69"/>
  <c r="F11" i="49"/>
  <c r="F10" i="49" s="1"/>
  <c r="M15" i="101"/>
  <c r="M14" i="101" s="1"/>
  <c r="Q18" i="97"/>
  <c r="M24" i="90"/>
  <c r="I34" i="71"/>
  <c r="E13" i="49"/>
  <c r="E12" i="49" s="1"/>
  <c r="J16" i="69"/>
  <c r="O20" i="62"/>
  <c r="L10" i="96"/>
  <c r="L55" i="96" s="1"/>
  <c r="H11" i="100"/>
  <c r="H10" i="100" s="1"/>
  <c r="H21" i="100" s="1"/>
  <c r="H11" i="53"/>
  <c r="S10" i="87"/>
  <c r="N12" i="73"/>
  <c r="L11" i="73"/>
  <c r="L10" i="73" s="1"/>
  <c r="E11" i="100"/>
  <c r="E10" i="100" s="1"/>
  <c r="E21" i="100" s="1"/>
  <c r="I10" i="96"/>
  <c r="I55" i="96" s="1"/>
  <c r="F15" i="40"/>
  <c r="G17" i="53"/>
  <c r="K85" i="63"/>
  <c r="N17" i="69"/>
  <c r="N15" i="101"/>
  <c r="R18" i="97"/>
  <c r="J58" i="62"/>
  <c r="H11" i="40"/>
  <c r="F17" i="47"/>
  <c r="M23" i="87"/>
  <c r="E13" i="55"/>
  <c r="E12" i="55" s="1"/>
  <c r="M10" i="89"/>
  <c r="M60" i="89" s="1"/>
  <c r="I11" i="51"/>
  <c r="I10" i="51" s="1"/>
  <c r="I16" i="51" s="1"/>
  <c r="J24" i="90"/>
  <c r="Q14" i="97"/>
  <c r="O9" i="40"/>
  <c r="K58" i="62"/>
  <c r="G5" i="40"/>
  <c r="X5" i="40" s="1"/>
  <c r="N14" i="71"/>
  <c r="J12" i="52" s="1"/>
  <c r="G13" i="50"/>
  <c r="N24" i="70"/>
  <c r="N27" i="70" s="1"/>
  <c r="K27" i="73"/>
  <c r="G15" i="54"/>
  <c r="U47" i="87"/>
  <c r="I22" i="42"/>
  <c r="M85" i="63"/>
  <c r="J27" i="73"/>
  <c r="F15" i="54"/>
  <c r="M13" i="101"/>
  <c r="M12" i="101" s="1"/>
  <c r="R15" i="97"/>
  <c r="N13" i="101" s="1"/>
  <c r="N12" i="101" s="1"/>
  <c r="E10" i="42"/>
  <c r="E9" i="42" s="1"/>
  <c r="E18" i="42" s="1"/>
  <c r="I80" i="63"/>
  <c r="J12" i="54"/>
  <c r="I12" i="47"/>
  <c r="N16" i="76"/>
  <c r="N20" i="76" s="1"/>
  <c r="M91" i="86"/>
  <c r="F13" i="50"/>
  <c r="F12" i="50" s="1"/>
  <c r="F14" i="50" s="1"/>
  <c r="M24" i="70"/>
  <c r="M27" i="70" s="1"/>
  <c r="H11" i="49"/>
  <c r="H10" i="49" s="1"/>
  <c r="M10" i="69"/>
  <c r="S307" i="85"/>
  <c r="O31" i="103"/>
  <c r="O30" i="103" s="1"/>
  <c r="P21" i="103"/>
  <c r="H177" i="104" s="1"/>
  <c r="N249" i="85"/>
  <c r="N215" i="85"/>
  <c r="S215" i="85"/>
  <c r="N167" i="85"/>
  <c r="P85" i="85"/>
  <c r="L13" i="103"/>
  <c r="L12" i="103" s="1"/>
  <c r="Q249" i="85"/>
  <c r="Q214" i="85" s="1"/>
  <c r="R166" i="85"/>
  <c r="R313" i="85" s="1"/>
  <c r="N15" i="103"/>
  <c r="N14" i="103" s="1"/>
  <c r="N34" i="103" s="1"/>
  <c r="J85" i="85"/>
  <c r="F13" i="103"/>
  <c r="F12" i="103" s="1"/>
  <c r="I85" i="85"/>
  <c r="E13" i="103"/>
  <c r="E12" i="103" s="1"/>
  <c r="M85" i="85"/>
  <c r="M313" i="85" s="1"/>
  <c r="I13" i="103"/>
  <c r="I12" i="103" s="1"/>
  <c r="T310" i="85"/>
  <c r="P33" i="103"/>
  <c r="T307" i="85"/>
  <c r="P31" i="103"/>
  <c r="N301" i="85"/>
  <c r="J29" i="103"/>
  <c r="J28" i="103" s="1"/>
  <c r="T298" i="85"/>
  <c r="E17" i="103"/>
  <c r="E16" i="103" s="1"/>
  <c r="F15" i="103"/>
  <c r="F14" i="103" s="1"/>
  <c r="S249" i="85"/>
  <c r="O18" i="103" s="1"/>
  <c r="S167" i="85"/>
  <c r="Q85" i="85"/>
  <c r="M13" i="103"/>
  <c r="M12" i="103" s="1"/>
  <c r="O19" i="103"/>
  <c r="F19" i="103"/>
  <c r="O317" i="85"/>
  <c r="L317" i="85"/>
  <c r="I17" i="99"/>
  <c r="R109" i="94"/>
  <c r="N105" i="94"/>
  <c r="N104" i="94" s="1"/>
  <c r="K16" i="99"/>
  <c r="G10" i="98"/>
  <c r="H47" i="104" s="1"/>
  <c r="E15" i="99"/>
  <c r="R106" i="94"/>
  <c r="R105" i="94" s="1"/>
  <c r="M16" i="99" s="1"/>
  <c r="H38" i="104" s="1"/>
  <c r="N292" i="85"/>
  <c r="N283" i="85" s="1"/>
  <c r="T292" i="85"/>
  <c r="P28" i="96"/>
  <c r="L13" i="100"/>
  <c r="L28" i="96"/>
  <c r="H13" i="100"/>
  <c r="H12" i="100" s="1"/>
  <c r="P26" i="86"/>
  <c r="O26" i="86" s="1"/>
  <c r="P17" i="96"/>
  <c r="P11" i="96" s="1"/>
  <c r="J10" i="65"/>
  <c r="F11" i="98"/>
  <c r="I10" i="65"/>
  <c r="E11" i="98"/>
  <c r="I33" i="65"/>
  <c r="E13" i="98" s="1"/>
  <c r="E14" i="98"/>
  <c r="K33" i="65"/>
  <c r="G13" i="98" s="1"/>
  <c r="G14" i="98"/>
  <c r="H51" i="104" s="1"/>
  <c r="H50" i="104" s="1"/>
  <c r="K17" i="99"/>
  <c r="N115" i="94"/>
  <c r="I19" i="99"/>
  <c r="I12" i="99"/>
  <c r="P115" i="94"/>
  <c r="K18" i="99" s="1"/>
  <c r="K19" i="99"/>
  <c r="O9" i="94"/>
  <c r="J10" i="99"/>
  <c r="J115" i="94"/>
  <c r="E19" i="99"/>
  <c r="E12" i="99"/>
  <c r="N9" i="94"/>
  <c r="I9" i="99" s="1"/>
  <c r="I10" i="99"/>
  <c r="J9" i="94"/>
  <c r="E9" i="99" s="1"/>
  <c r="E10" i="99"/>
  <c r="H15" i="99"/>
  <c r="H17" i="99"/>
  <c r="J15" i="99"/>
  <c r="G15" i="99"/>
  <c r="H42" i="104"/>
  <c r="R116" i="94"/>
  <c r="I11" i="49" l="1"/>
  <c r="N10" i="69"/>
  <c r="O18" i="62"/>
  <c r="Q313" i="85"/>
  <c r="M79" i="97"/>
  <c r="J11" i="52"/>
  <c r="H122" i="104" s="1"/>
  <c r="N10" i="71"/>
  <c r="K10" i="71"/>
  <c r="M20" i="101"/>
  <c r="Q79" i="97"/>
  <c r="R85" i="94"/>
  <c r="J313" i="85"/>
  <c r="J317" i="85" s="1"/>
  <c r="P313" i="85"/>
  <c r="P317" i="85" s="1"/>
  <c r="E34" i="103"/>
  <c r="P25" i="103"/>
  <c r="H182" i="104" s="1"/>
  <c r="T283" i="85"/>
  <c r="L34" i="103"/>
  <c r="K10" i="99"/>
  <c r="I34" i="103"/>
  <c r="I313" i="85"/>
  <c r="I317" i="85" s="1"/>
  <c r="K47" i="65"/>
  <c r="K10" i="51"/>
  <c r="K16" i="51" s="1"/>
  <c r="K20" i="51" s="1"/>
  <c r="U23" i="87"/>
  <c r="N11" i="73"/>
  <c r="N10" i="73" s="1"/>
  <c r="N35" i="73"/>
  <c r="L13" i="73"/>
  <c r="H10" i="53"/>
  <c r="H13" i="53" s="1"/>
  <c r="N10" i="90"/>
  <c r="N20" i="90" s="1"/>
  <c r="N24" i="90" s="1"/>
  <c r="H130" i="104"/>
  <c r="H129" i="104" s="1"/>
  <c r="H133" i="104" s="1"/>
  <c r="J10" i="53"/>
  <c r="J13" i="53" s="1"/>
  <c r="J17" i="53" s="1"/>
  <c r="L10" i="90"/>
  <c r="L20" i="90" s="1"/>
  <c r="L24" i="90" s="1"/>
  <c r="O9" i="62"/>
  <c r="G13" i="55"/>
  <c r="G12" i="55" s="1"/>
  <c r="P86" i="86" s="1"/>
  <c r="O86" i="86" s="1"/>
  <c r="E17" i="55"/>
  <c r="E21" i="55" s="1"/>
  <c r="I20" i="90"/>
  <c r="I24" i="90" s="1"/>
  <c r="E18" i="50"/>
  <c r="O10" i="89"/>
  <c r="I60" i="89"/>
  <c r="I64" i="89" s="1"/>
  <c r="K21" i="55"/>
  <c r="K34" i="71"/>
  <c r="K38" i="71" s="1"/>
  <c r="F13" i="49"/>
  <c r="F12" i="49" s="1"/>
  <c r="F14" i="49" s="1"/>
  <c r="F18" i="49" s="1"/>
  <c r="H13" i="49"/>
  <c r="H12" i="49" s="1"/>
  <c r="AC5" i="40"/>
  <c r="H19" i="41"/>
  <c r="K9" i="99"/>
  <c r="P126" i="94"/>
  <c r="J9" i="99"/>
  <c r="O126" i="94"/>
  <c r="N31" i="70"/>
  <c r="I18" i="99"/>
  <c r="N126" i="94"/>
  <c r="E18" i="99"/>
  <c r="J126" i="94"/>
  <c r="K10" i="41"/>
  <c r="H6" i="104" s="1"/>
  <c r="E15" i="41"/>
  <c r="J5" i="40" s="1"/>
  <c r="AA5" i="40" s="1"/>
  <c r="T86" i="85"/>
  <c r="T85" i="85" s="1"/>
  <c r="M317" i="85"/>
  <c r="U46" i="87"/>
  <c r="M15" i="55" s="1"/>
  <c r="M88" i="87"/>
  <c r="M92" i="87" s="1"/>
  <c r="S88" i="87"/>
  <c r="S92" i="87" s="1"/>
  <c r="Q88" i="87"/>
  <c r="Q92" i="87" s="1"/>
  <c r="G14" i="55"/>
  <c r="N25" i="63"/>
  <c r="J12" i="42" s="1"/>
  <c r="AE18" i="40"/>
  <c r="AE20" i="40" s="1"/>
  <c r="AE22" i="40" s="1"/>
  <c r="AE24" i="40" s="1"/>
  <c r="F16" i="103"/>
  <c r="F34" i="103" s="1"/>
  <c r="M14" i="40"/>
  <c r="S14" i="40" s="1"/>
  <c r="M16" i="55"/>
  <c r="H162" i="104"/>
  <c r="F12" i="52"/>
  <c r="F10" i="52" s="1"/>
  <c r="F14" i="52" s="1"/>
  <c r="J14" i="40" s="1"/>
  <c r="J34" i="71"/>
  <c r="J38" i="71" s="1"/>
  <c r="H5" i="40"/>
  <c r="Y5" i="40" s="1"/>
  <c r="P8" i="86"/>
  <c r="O8" i="86" s="1"/>
  <c r="H12" i="104"/>
  <c r="I19" i="54"/>
  <c r="P30" i="103"/>
  <c r="H188" i="104"/>
  <c r="H187" i="104" s="1"/>
  <c r="P32" i="103"/>
  <c r="H190" i="104"/>
  <c r="H189" i="104" s="1"/>
  <c r="H176" i="104"/>
  <c r="G10" i="51"/>
  <c r="H147" i="104"/>
  <c r="H146" i="104" s="1"/>
  <c r="H151" i="104" s="1"/>
  <c r="E10" i="51"/>
  <c r="E16" i="51" s="1"/>
  <c r="J20" i="51"/>
  <c r="H110" i="104"/>
  <c r="H109" i="104" s="1"/>
  <c r="H118" i="104" s="1"/>
  <c r="G12" i="50"/>
  <c r="G14" i="50" s="1"/>
  <c r="N10" i="101"/>
  <c r="H57" i="104"/>
  <c r="H56" i="104" s="1"/>
  <c r="N14" i="101"/>
  <c r="H61" i="104"/>
  <c r="H60" i="104" s="1"/>
  <c r="H123" i="104"/>
  <c r="H158" i="104"/>
  <c r="H157" i="104" s="1"/>
  <c r="L12" i="100"/>
  <c r="H78" i="104"/>
  <c r="H77" i="104" s="1"/>
  <c r="H25" i="100"/>
  <c r="H98" i="104"/>
  <c r="H97" i="104" s="1"/>
  <c r="I10" i="49"/>
  <c r="P62" i="86" s="1"/>
  <c r="H12" i="54"/>
  <c r="H141" i="104"/>
  <c r="H140" i="104" s="1"/>
  <c r="Q83" i="97"/>
  <c r="J18" i="103"/>
  <c r="N214" i="85"/>
  <c r="O17" i="103"/>
  <c r="O16" i="103" s="1"/>
  <c r="S214" i="85"/>
  <c r="K19" i="40"/>
  <c r="H38" i="103"/>
  <c r="M19" i="40"/>
  <c r="K38" i="103"/>
  <c r="F9" i="40"/>
  <c r="R10" i="97"/>
  <c r="P29" i="103"/>
  <c r="T167" i="85"/>
  <c r="P15" i="103" s="1"/>
  <c r="T215" i="85"/>
  <c r="K24" i="101"/>
  <c r="R9" i="40"/>
  <c r="H9" i="40"/>
  <c r="F24" i="101"/>
  <c r="R11" i="40"/>
  <c r="S11" i="40" s="1"/>
  <c r="I17" i="47"/>
  <c r="J15" i="40"/>
  <c r="E17" i="53"/>
  <c r="O45" i="87"/>
  <c r="O88" i="87" s="1"/>
  <c r="G14" i="52"/>
  <c r="G18" i="52" s="1"/>
  <c r="G19" i="41"/>
  <c r="W15" i="40"/>
  <c r="H11" i="54"/>
  <c r="I13" i="41"/>
  <c r="M8" i="62"/>
  <c r="M54" i="62" s="1"/>
  <c r="E14" i="49"/>
  <c r="J43" i="69"/>
  <c r="J47" i="69" s="1"/>
  <c r="M15" i="40"/>
  <c r="S15" i="40" s="1"/>
  <c r="I17" i="53"/>
  <c r="J80" i="63"/>
  <c r="F10" i="42"/>
  <c r="F9" i="42" s="1"/>
  <c r="F19" i="41"/>
  <c r="I85" i="63"/>
  <c r="H16" i="40"/>
  <c r="Y16" i="40" s="1"/>
  <c r="G19" i="54"/>
  <c r="J10" i="40"/>
  <c r="AA10" i="40" s="1"/>
  <c r="F25" i="100"/>
  <c r="G10" i="40"/>
  <c r="E25" i="100"/>
  <c r="J11" i="54"/>
  <c r="J10" i="54" s="1"/>
  <c r="H17" i="53"/>
  <c r="K13" i="41"/>
  <c r="O8" i="62"/>
  <c r="O54" i="62" s="1"/>
  <c r="K43" i="69"/>
  <c r="K47" i="69" s="1"/>
  <c r="J10" i="42"/>
  <c r="K64" i="89"/>
  <c r="R104" i="94"/>
  <c r="M15" i="99" s="1"/>
  <c r="G16" i="40"/>
  <c r="X16" i="40" s="1"/>
  <c r="F19" i="54"/>
  <c r="N10" i="40"/>
  <c r="S10" i="40" s="1"/>
  <c r="I25" i="100"/>
  <c r="AB12" i="40"/>
  <c r="R14" i="97"/>
  <c r="G15" i="40"/>
  <c r="X15" i="40" s="1"/>
  <c r="F17" i="53"/>
  <c r="L11" i="40"/>
  <c r="M6" i="40"/>
  <c r="G22" i="42"/>
  <c r="U10" i="87"/>
  <c r="E18" i="52"/>
  <c r="G14" i="40"/>
  <c r="X14" i="40" s="1"/>
  <c r="I83" i="97"/>
  <c r="H14" i="49"/>
  <c r="H18" i="49" s="1"/>
  <c r="T249" i="85"/>
  <c r="P18" i="103" s="1"/>
  <c r="H174" i="104" s="1"/>
  <c r="F10" i="40"/>
  <c r="G25" i="100"/>
  <c r="M31" i="70"/>
  <c r="J31" i="73"/>
  <c r="AC6" i="40"/>
  <c r="M64" i="89"/>
  <c r="I13" i="49"/>
  <c r="N16" i="69"/>
  <c r="N48" i="69" s="1"/>
  <c r="O83" i="97"/>
  <c r="Q18" i="40"/>
  <c r="I21" i="55"/>
  <c r="I38" i="71"/>
  <c r="G14" i="49"/>
  <c r="L43" i="69"/>
  <c r="L27" i="73"/>
  <c r="L31" i="73" s="1"/>
  <c r="E15" i="54"/>
  <c r="I27" i="73"/>
  <c r="P19" i="103"/>
  <c r="H175" i="104" s="1"/>
  <c r="J25" i="103"/>
  <c r="J20" i="103" s="1"/>
  <c r="N85" i="85"/>
  <c r="J13" i="103"/>
  <c r="J12" i="103" s="1"/>
  <c r="S166" i="85"/>
  <c r="O15" i="103"/>
  <c r="O14" i="103" s="1"/>
  <c r="S85" i="85"/>
  <c r="O13" i="103"/>
  <c r="O12" i="103" s="1"/>
  <c r="T297" i="85"/>
  <c r="P27" i="103"/>
  <c r="M18" i="103"/>
  <c r="M16" i="103" s="1"/>
  <c r="M34" i="103" s="1"/>
  <c r="N166" i="85"/>
  <c r="J15" i="103"/>
  <c r="J14" i="103" s="1"/>
  <c r="R317" i="85"/>
  <c r="J17" i="103"/>
  <c r="M12" i="99"/>
  <c r="H33" i="104" s="1"/>
  <c r="I16" i="99"/>
  <c r="M17" i="99"/>
  <c r="H39" i="104" s="1"/>
  <c r="H37" i="104" s="1"/>
  <c r="P66" i="86"/>
  <c r="P11" i="103"/>
  <c r="L59" i="96"/>
  <c r="I59" i="96"/>
  <c r="K10" i="65"/>
  <c r="G11" i="98"/>
  <c r="H48" i="104" s="1"/>
  <c r="H46" i="104" s="1"/>
  <c r="H52" i="104" s="1"/>
  <c r="I38" i="65"/>
  <c r="I42" i="65" s="1"/>
  <c r="E9" i="98"/>
  <c r="E15" i="98" s="1"/>
  <c r="J38" i="65"/>
  <c r="J42" i="65" s="1"/>
  <c r="F9" i="98"/>
  <c r="F15" i="98" s="1"/>
  <c r="R9" i="94"/>
  <c r="M9" i="99" s="1"/>
  <c r="M10" i="99"/>
  <c r="H31" i="104" s="1"/>
  <c r="H30" i="104" s="1"/>
  <c r="R115" i="94"/>
  <c r="M19" i="99"/>
  <c r="H41" i="104" s="1"/>
  <c r="H40" i="104" s="1"/>
  <c r="I15" i="99"/>
  <c r="P34" i="86"/>
  <c r="O34" i="86" s="1"/>
  <c r="P32" i="86"/>
  <c r="O32" i="86" s="1"/>
  <c r="P29" i="86"/>
  <c r="O29" i="86" s="1"/>
  <c r="R79" i="97" l="1"/>
  <c r="N20" i="101"/>
  <c r="H121" i="104"/>
  <c r="H126" i="104" s="1"/>
  <c r="J10" i="52"/>
  <c r="N9" i="63"/>
  <c r="R132" i="94"/>
  <c r="P20" i="103"/>
  <c r="S313" i="85"/>
  <c r="S317" i="85" s="1"/>
  <c r="G18" i="50"/>
  <c r="N313" i="85"/>
  <c r="N317" i="85" s="1"/>
  <c r="O34" i="103"/>
  <c r="O38" i="103" s="1"/>
  <c r="R136" i="99"/>
  <c r="R137" i="98"/>
  <c r="R138" i="65"/>
  <c r="P13" i="103"/>
  <c r="P12" i="103" s="1"/>
  <c r="U45" i="87"/>
  <c r="U88" i="87" s="1"/>
  <c r="U92" i="87" s="1"/>
  <c r="AC20" i="40"/>
  <c r="AC22" i="40" s="1"/>
  <c r="AC24" i="40" s="1"/>
  <c r="G17" i="55"/>
  <c r="G21" i="55" s="1"/>
  <c r="O60" i="89"/>
  <c r="O64" i="89" s="1"/>
  <c r="G16" i="51"/>
  <c r="G20" i="51" s="1"/>
  <c r="F18" i="52"/>
  <c r="N80" i="63"/>
  <c r="M18" i="99"/>
  <c r="R126" i="94"/>
  <c r="K9" i="41"/>
  <c r="K15" i="41" s="1"/>
  <c r="E19" i="41"/>
  <c r="M14" i="55"/>
  <c r="M17" i="55" s="1"/>
  <c r="M21" i="55" s="1"/>
  <c r="J18" i="40"/>
  <c r="AA18" i="40" s="1"/>
  <c r="J9" i="42"/>
  <c r="J18" i="42" s="1"/>
  <c r="N9" i="40"/>
  <c r="S9" i="40" s="1"/>
  <c r="AA14" i="40"/>
  <c r="AF14" i="40" s="1"/>
  <c r="AA15" i="40"/>
  <c r="AF15" i="40" s="1"/>
  <c r="H68" i="104"/>
  <c r="X10" i="40"/>
  <c r="H161" i="104"/>
  <c r="I9" i="41"/>
  <c r="I15" i="41" s="1"/>
  <c r="H9" i="104"/>
  <c r="H5" i="104" s="1"/>
  <c r="H13" i="104" s="1"/>
  <c r="J16" i="103"/>
  <c r="P14" i="103"/>
  <c r="H171" i="104"/>
  <c r="H170" i="104" s="1"/>
  <c r="P10" i="103"/>
  <c r="H167" i="104"/>
  <c r="H166" i="104" s="1"/>
  <c r="P26" i="103"/>
  <c r="H184" i="104"/>
  <c r="H183" i="104" s="1"/>
  <c r="P28" i="103"/>
  <c r="H186" i="104"/>
  <c r="H185" i="104" s="1"/>
  <c r="E20" i="51"/>
  <c r="J17" i="40"/>
  <c r="AA17" i="40" s="1"/>
  <c r="H160" i="104"/>
  <c r="H156" i="104"/>
  <c r="H155" i="104" s="1"/>
  <c r="H100" i="104"/>
  <c r="H99" i="104" s="1"/>
  <c r="H101" i="104" s="1"/>
  <c r="I12" i="49"/>
  <c r="I14" i="49" s="1"/>
  <c r="I18" i="49" s="1"/>
  <c r="H10" i="54"/>
  <c r="H15" i="54" s="1"/>
  <c r="H19" i="54" s="1"/>
  <c r="H138" i="104"/>
  <c r="H137" i="104" s="1"/>
  <c r="H142" i="104" s="1"/>
  <c r="H17" i="104"/>
  <c r="H16" i="104" s="1"/>
  <c r="H26" i="104" s="1"/>
  <c r="R20" i="40"/>
  <c r="R22" i="40" s="1"/>
  <c r="R24" i="40" s="1"/>
  <c r="K20" i="40"/>
  <c r="K22" i="40" s="1"/>
  <c r="K24" i="40" s="1"/>
  <c r="P77" i="86"/>
  <c r="O77" i="86" s="1"/>
  <c r="P87" i="86"/>
  <c r="O87" i="86" s="1"/>
  <c r="P17" i="103"/>
  <c r="H173" i="104" s="1"/>
  <c r="H172" i="104" s="1"/>
  <c r="T214" i="85"/>
  <c r="J19" i="40"/>
  <c r="AA19" i="40" s="1"/>
  <c r="F38" i="103"/>
  <c r="Q19" i="40"/>
  <c r="Q20" i="40" s="1"/>
  <c r="Q22" i="40" s="1"/>
  <c r="Q24" i="40" s="1"/>
  <c r="N38" i="103"/>
  <c r="G19" i="40"/>
  <c r="E38" i="103"/>
  <c r="N19" i="40"/>
  <c r="L38" i="103"/>
  <c r="I19" i="40"/>
  <c r="I20" i="40" s="1"/>
  <c r="I22" i="40" s="1"/>
  <c r="I24" i="40" s="1"/>
  <c r="I38" i="103"/>
  <c r="O92" i="87"/>
  <c r="Y11" i="40"/>
  <c r="AF11" i="40" s="1"/>
  <c r="G24" i="101"/>
  <c r="J24" i="101"/>
  <c r="T166" i="85"/>
  <c r="I31" i="73"/>
  <c r="L47" i="69"/>
  <c r="M43" i="69"/>
  <c r="M47" i="69" s="1"/>
  <c r="AB18" i="40"/>
  <c r="S18" i="40"/>
  <c r="I24" i="101"/>
  <c r="M83" i="97"/>
  <c r="F18" i="50"/>
  <c r="G13" i="40"/>
  <c r="X13" i="40" s="1"/>
  <c r="O58" i="62"/>
  <c r="M58" i="62"/>
  <c r="J16" i="40"/>
  <c r="AA16" i="40" s="1"/>
  <c r="E19" i="54"/>
  <c r="M12" i="40"/>
  <c r="S12" i="40" s="1"/>
  <c r="G18" i="49"/>
  <c r="P81" i="86"/>
  <c r="I20" i="51"/>
  <c r="O62" i="86"/>
  <c r="L14" i="40"/>
  <c r="N34" i="71"/>
  <c r="N38" i="71" s="1"/>
  <c r="W9" i="40"/>
  <c r="J6" i="40"/>
  <c r="AA6" i="40" s="1"/>
  <c r="E22" i="42"/>
  <c r="G9" i="40"/>
  <c r="E24" i="101"/>
  <c r="L10" i="40"/>
  <c r="W10" i="40"/>
  <c r="N43" i="69"/>
  <c r="N47" i="69" s="1"/>
  <c r="S6" i="40"/>
  <c r="P78" i="86"/>
  <c r="O78" i="86" s="1"/>
  <c r="J15" i="54"/>
  <c r="J19" i="54" s="1"/>
  <c r="L11" i="100"/>
  <c r="P10" i="96"/>
  <c r="P55" i="96" s="1"/>
  <c r="M24" i="101"/>
  <c r="N24" i="101"/>
  <c r="N27" i="73"/>
  <c r="N31" i="73" s="1"/>
  <c r="J12" i="40"/>
  <c r="E18" i="49"/>
  <c r="L15" i="40"/>
  <c r="AF5" i="40"/>
  <c r="L5" i="40"/>
  <c r="Y9" i="40"/>
  <c r="Q317" i="85"/>
  <c r="O66" i="86"/>
  <c r="P65" i="86"/>
  <c r="P45" i="86"/>
  <c r="O45" i="86" s="1"/>
  <c r="P43" i="86"/>
  <c r="O43" i="86" s="1"/>
  <c r="P44" i="86"/>
  <c r="O44" i="86" s="1"/>
  <c r="F19" i="98"/>
  <c r="J8" i="40"/>
  <c r="AA8" i="40" s="1"/>
  <c r="E19" i="98"/>
  <c r="G8" i="40"/>
  <c r="X8" i="40" s="1"/>
  <c r="K38" i="65"/>
  <c r="K42" i="65" s="1"/>
  <c r="G9" i="98"/>
  <c r="G15" i="98" s="1"/>
  <c r="G19" i="98" s="1"/>
  <c r="P35" i="86"/>
  <c r="O35" i="86" s="1"/>
  <c r="T313" i="85" l="1"/>
  <c r="T317" i="85" s="1"/>
  <c r="K19" i="41"/>
  <c r="X9" i="40"/>
  <c r="J34" i="103"/>
  <c r="J38" i="103" s="1"/>
  <c r="H159" i="104"/>
  <c r="H163" i="104" s="1"/>
  <c r="H169" i="104"/>
  <c r="H168" i="104" s="1"/>
  <c r="H192" i="104" s="1"/>
  <c r="L18" i="40"/>
  <c r="P63" i="86"/>
  <c r="O63" i="86" s="1"/>
  <c r="F18" i="42"/>
  <c r="F22" i="42" s="1"/>
  <c r="P16" i="103"/>
  <c r="N85" i="63"/>
  <c r="P82" i="63"/>
  <c r="P81" i="63"/>
  <c r="AA12" i="40"/>
  <c r="X19" i="40"/>
  <c r="AB19" i="40"/>
  <c r="AB20" i="40" s="1"/>
  <c r="AB22" i="40" s="1"/>
  <c r="AB24" i="40" s="1"/>
  <c r="L17" i="40"/>
  <c r="AF10" i="40"/>
  <c r="AF9" i="40"/>
  <c r="AF16" i="40"/>
  <c r="C16" i="40" s="1"/>
  <c r="AF18" i="40"/>
  <c r="L19" i="40"/>
  <c r="AF17" i="40"/>
  <c r="C17" i="40" s="1"/>
  <c r="P84" i="86"/>
  <c r="O84" i="86" s="1"/>
  <c r="L10" i="100"/>
  <c r="L21" i="100" s="1"/>
  <c r="H76" i="104"/>
  <c r="H75" i="104" s="1"/>
  <c r="H88" i="104" s="1"/>
  <c r="M20" i="40"/>
  <c r="M22" i="40" s="1"/>
  <c r="M24" i="40" s="1"/>
  <c r="P19" i="40"/>
  <c r="S19" i="40" s="1"/>
  <c r="M38" i="103"/>
  <c r="R83" i="97"/>
  <c r="L12" i="40"/>
  <c r="P76" i="86"/>
  <c r="O76" i="86" s="1"/>
  <c r="L6" i="40"/>
  <c r="J14" i="52"/>
  <c r="J18" i="52" s="1"/>
  <c r="P69" i="86"/>
  <c r="P59" i="96"/>
  <c r="N86" i="63"/>
  <c r="J85" i="63"/>
  <c r="P7" i="86"/>
  <c r="I19" i="41"/>
  <c r="L13" i="40"/>
  <c r="J22" i="42"/>
  <c r="P10" i="86"/>
  <c r="L16" i="40"/>
  <c r="L9" i="40"/>
  <c r="O81" i="86"/>
  <c r="P80" i="86"/>
  <c r="O80" i="86" s="1"/>
  <c r="O65" i="86"/>
  <c r="L8" i="40"/>
  <c r="P34" i="103" l="1"/>
  <c r="P38" i="103" s="1"/>
  <c r="L25" i="100"/>
  <c r="P61" i="86"/>
  <c r="O61" i="86" s="1"/>
  <c r="P20" i="40"/>
  <c r="P22" i="40" s="1"/>
  <c r="P24" i="40" s="1"/>
  <c r="AF6" i="40"/>
  <c r="C5" i="40" s="1"/>
  <c r="AF8" i="40"/>
  <c r="AF13" i="40"/>
  <c r="C13" i="40" s="1"/>
  <c r="AF12" i="40"/>
  <c r="C12" i="40" s="1"/>
  <c r="Z19" i="40"/>
  <c r="O10" i="86"/>
  <c r="P9" i="86"/>
  <c r="O9" i="86" s="1"/>
  <c r="O69" i="86"/>
  <c r="P68" i="86"/>
  <c r="P6" i="86"/>
  <c r="O6" i="86" s="1"/>
  <c r="O7" i="86"/>
  <c r="C9" i="40"/>
  <c r="I13" i="99"/>
  <c r="P130" i="94"/>
  <c r="M13" i="99"/>
  <c r="H34" i="104" s="1"/>
  <c r="H32" i="104" s="1"/>
  <c r="H43" i="104" s="1"/>
  <c r="J13" i="99"/>
  <c r="G13" i="99"/>
  <c r="F13" i="99"/>
  <c r="Z20" i="40" l="1"/>
  <c r="Z22" i="40" s="1"/>
  <c r="Z24" i="40" s="1"/>
  <c r="AF19" i="40"/>
  <c r="C18" i="40" s="1"/>
  <c r="O68" i="86"/>
  <c r="P91" i="86"/>
  <c r="O91" i="86" s="1"/>
  <c r="K13" i="99"/>
  <c r="E13" i="99"/>
  <c r="K130" i="94"/>
  <c r="G11" i="99"/>
  <c r="G20" i="99" s="1"/>
  <c r="L130" i="94"/>
  <c r="O130" i="94"/>
  <c r="J11" i="99"/>
  <c r="J20" i="99" s="1"/>
  <c r="K11" i="99"/>
  <c r="K45" i="99" s="1"/>
  <c r="F11" i="99"/>
  <c r="F20" i="99" s="1"/>
  <c r="H13" i="99"/>
  <c r="M11" i="99"/>
  <c r="L13" i="99"/>
  <c r="J130" i="94"/>
  <c r="E11" i="99"/>
  <c r="E20" i="99" s="1"/>
  <c r="K20" i="99" l="1"/>
  <c r="K24" i="99" s="1"/>
  <c r="M20" i="99"/>
  <c r="M24" i="99" s="1"/>
  <c r="G7" i="40"/>
  <c r="E24" i="99"/>
  <c r="Q130" i="94"/>
  <c r="L11" i="99"/>
  <c r="L20" i="99" s="1"/>
  <c r="R130" i="94"/>
  <c r="M130" i="94"/>
  <c r="H11" i="99"/>
  <c r="H20" i="99" s="1"/>
  <c r="F24" i="99"/>
  <c r="F7" i="40"/>
  <c r="N7" i="40"/>
  <c r="J24" i="99"/>
  <c r="I11" i="99"/>
  <c r="N130" i="94"/>
  <c r="G24" i="99"/>
  <c r="H7" i="40"/>
  <c r="I20" i="99" l="1"/>
  <c r="I24" i="99" s="1"/>
  <c r="X7" i="40"/>
  <c r="X20" i="40" s="1"/>
  <c r="X22" i="40" s="1"/>
  <c r="X24" i="40" s="1"/>
  <c r="Y7" i="40"/>
  <c r="Y20" i="40" s="1"/>
  <c r="Y22" i="40" s="1"/>
  <c r="Y24" i="40" s="1"/>
  <c r="H20" i="40"/>
  <c r="H22" i="40" s="1"/>
  <c r="H24" i="40" s="1"/>
  <c r="O20" i="40"/>
  <c r="O22" i="40" s="1"/>
  <c r="O24" i="40" s="1"/>
  <c r="F20" i="40"/>
  <c r="F22" i="40" s="1"/>
  <c r="F24" i="40" s="1"/>
  <c r="H24" i="99"/>
  <c r="J7" i="40"/>
  <c r="AA7" i="40" s="1"/>
  <c r="AA20" i="40" s="1"/>
  <c r="L24" i="99"/>
  <c r="AD7" i="40"/>
  <c r="AD20" i="40" s="1"/>
  <c r="AD22" i="40" s="1"/>
  <c r="AD24" i="40" s="1"/>
  <c r="N20" i="40"/>
  <c r="N22" i="40" s="1"/>
  <c r="N24" i="40" s="1"/>
  <c r="G20" i="40"/>
  <c r="G22" i="40" s="1"/>
  <c r="G24" i="40" s="1"/>
  <c r="S7" i="40" l="1"/>
  <c r="S20" i="40" s="1"/>
  <c r="AA22" i="40"/>
  <c r="AA24" i="40" s="1"/>
  <c r="J20" i="40"/>
  <c r="J22" i="40" s="1"/>
  <c r="J24" i="40" s="1"/>
  <c r="W7" i="40"/>
  <c r="AF7" i="40" s="1"/>
  <c r="AF20" i="40" s="1"/>
  <c r="L7" i="40"/>
  <c r="L20" i="40" s="1"/>
  <c r="L22" i="40" l="1"/>
  <c r="L24" i="40" s="1"/>
  <c r="S22" i="40"/>
  <c r="S24" i="40" s="1"/>
  <c r="W20" i="40"/>
  <c r="W22" i="40" s="1"/>
  <c r="W24" i="40" s="1"/>
  <c r="C7" i="40" l="1"/>
  <c r="C20" i="40" s="1"/>
  <c r="AF22" i="40"/>
  <c r="AF24" i="40" s="1"/>
  <c r="J10" i="76" l="1"/>
  <c r="J16" i="76" s="1"/>
  <c r="J20" i="76" s="1"/>
  <c r="H11" i="47" l="1"/>
  <c r="H10" i="47" s="1"/>
  <c r="M10" i="76"/>
  <c r="M16" i="76" s="1"/>
  <c r="M20" i="76" s="1"/>
  <c r="P13" i="76"/>
  <c r="P11" i="76" s="1"/>
  <c r="P10" i="76" l="1"/>
  <c r="P16" i="76" s="1"/>
  <c r="P20" i="76" s="1"/>
  <c r="K11" i="47"/>
  <c r="P51" i="86"/>
  <c r="O51" i="86" s="1"/>
  <c r="H12" i="47"/>
  <c r="H17" i="47" s="1"/>
  <c r="H92" i="104" l="1"/>
  <c r="H91" i="104" s="1"/>
  <c r="H93" i="104" s="1"/>
  <c r="H193" i="104" s="1"/>
  <c r="K10" i="47"/>
  <c r="K12" i="47" s="1"/>
  <c r="K17" i="47" s="1"/>
</calcChain>
</file>

<file path=xl/comments1.xml><?xml version="1.0" encoding="utf-8"?>
<comments xmlns="http://schemas.openxmlformats.org/spreadsheetml/2006/main">
  <authors>
    <author>Autor</author>
  </authors>
  <commentList>
    <comment ref="C88" authorId="0" shapeId="0">
      <text>
        <r>
          <rPr>
            <b/>
            <sz val="9"/>
            <color indexed="81"/>
            <rFont val="Tahoma"/>
            <family val="2"/>
          </rPr>
          <t>Autor:</t>
        </r>
        <r>
          <rPr>
            <sz val="9"/>
            <color indexed="81"/>
            <rFont val="Tahoma"/>
            <family val="2"/>
          </rPr>
          <t xml:space="preserve">
A pesar de tener solo dos indicadores de producto, dentro de estos se desagregan actividades con diferentes códigos de producto</t>
        </r>
      </text>
    </comment>
  </commentList>
</comments>
</file>

<file path=xl/comments2.xml><?xml version="1.0" encoding="utf-8"?>
<comments xmlns="http://schemas.openxmlformats.org/spreadsheetml/2006/main">
  <authors>
    <author>Deyci Martina Cabrera Ochoa</author>
    <author>Asus</author>
  </authors>
  <commentList>
    <comment ref="B29" authorId="0" shapeId="0">
      <text>
        <r>
          <rPr>
            <b/>
            <sz val="9"/>
            <color indexed="81"/>
            <rFont val="Tahoma"/>
            <family val="2"/>
          </rPr>
          <t>Deyci Martina Cabrera Ochoa:</t>
        </r>
        <r>
          <rPr>
            <sz val="9"/>
            <color indexed="81"/>
            <rFont val="Tahoma"/>
            <family val="2"/>
          </rPr>
          <t xml:space="preserve">
Avance en un área de ifluenca en los grupos de monitoreo más otra área.
No se pudo hacer en le áre de litigio en 2020, por temas jurídicas, entonces se hizo en Dorado y Peñas Blancas y corredor Oseras, siberia--Ceibas
Para 2021 - Corredor TransAndino Amazónico mas uno del año 2020 que no se reportó</t>
        </r>
      </text>
    </comment>
    <comment ref="B30" authorId="0" shapeId="0">
      <text>
        <r>
          <rPr>
            <b/>
            <sz val="9"/>
            <color indexed="81"/>
            <rFont val="Tahoma"/>
            <family val="2"/>
          </rPr>
          <t>Deyci Martina Cabrera Ochoa:</t>
        </r>
        <r>
          <rPr>
            <sz val="9"/>
            <color indexed="81"/>
            <rFont val="Tahoma"/>
            <family val="2"/>
          </rPr>
          <t xml:space="preserve">
Se contrató fase de aprestamento en 2020 de las 3 áreas y en 2021 la terminación.
Se debe trasladar la Meta 2021 para 2022</t>
        </r>
      </text>
    </comment>
    <comment ref="B31" authorId="0" shapeId="0">
      <text>
        <r>
          <rPr>
            <b/>
            <sz val="9"/>
            <color indexed="81"/>
            <rFont val="Tahoma"/>
            <family val="2"/>
          </rPr>
          <t>Deyci Martina Cabrera Ochoa:</t>
        </r>
        <r>
          <rPr>
            <sz val="9"/>
            <color indexed="81"/>
            <rFont val="Tahoma"/>
            <family val="2"/>
          </rPr>
          <t xml:space="preserve">
2020: L.B. Valoración económica para (4)humedales (Guatipán, Colores, 
          Voltezuela y La Vega) - En Cumplimiento de la Política
2021: Terminación valoración económica
          Zonificación y régimen de uso de páramos (En 2016 se realizó el dcto
          que recoge la información, salió en marzo de 2018 y en mayo salieron
          los lineamientos). Se deben hacer 6 comisiones conjuntas, Ej CVC 
          avanzó en zonificaciones parciales.
2022: PSA
</t>
        </r>
      </text>
    </comment>
    <comment ref="B32" authorId="0" shapeId="0">
      <text>
        <r>
          <rPr>
            <b/>
            <sz val="9"/>
            <color indexed="81"/>
            <rFont val="Tahoma"/>
            <family val="2"/>
          </rPr>
          <t>Deyci Martina Cabrera Ochoa:</t>
        </r>
        <r>
          <rPr>
            <sz val="9"/>
            <color indexed="81"/>
            <rFont val="Tahoma"/>
            <family val="2"/>
          </rPr>
          <t xml:space="preserve">
medios de divulgación, medidas de prevención y control, capacitaciones y educ ambiental (Caracol africano, en áreas protegidas también se trabajan otras especies)</t>
        </r>
      </text>
    </comment>
    <comment ref="B34" authorId="0" shapeId="0">
      <text>
        <r>
          <rPr>
            <b/>
            <sz val="9"/>
            <color indexed="81"/>
            <rFont val="Tahoma"/>
            <family val="2"/>
          </rPr>
          <t>Deyci Martina Cabrera Ochoa:</t>
        </r>
        <r>
          <rPr>
            <sz val="9"/>
            <color indexed="81"/>
            <rFont val="Tahoma"/>
            <family val="2"/>
          </rPr>
          <t xml:space="preserve">
167 Ha. Correspondiente a BST y Humedales</t>
        </r>
      </text>
    </comment>
    <comment ref="B35" authorId="0" shapeId="0">
      <text>
        <r>
          <rPr>
            <b/>
            <sz val="9"/>
            <color indexed="81"/>
            <rFont val="Tahoma"/>
            <family val="2"/>
          </rPr>
          <t>Deyci Martina Cabrera Ochoa:</t>
        </r>
        <r>
          <rPr>
            <sz val="9"/>
            <color indexed="81"/>
            <rFont val="Tahoma"/>
            <family val="2"/>
          </rPr>
          <t xml:space="preserve">
6 especies amenazadas (Oso de anteojos, danta, caimán, Nutria, pataló y roble negro) </t>
        </r>
      </text>
    </comment>
    <comment ref="B56" authorId="1" shapeId="0">
      <text>
        <r>
          <rPr>
            <b/>
            <sz val="9"/>
            <color indexed="81"/>
            <rFont val="Tahoma"/>
            <family val="2"/>
          </rPr>
          <t xml:space="preserve">Actividades: 
Actualización estudio de priorización del Ordenamiento del Recurso Hidrico.
Cuerpos de agua con plan de ordenamiento del recurso hídrico (PORH) adoptados
</t>
        </r>
      </text>
    </comment>
  </commentList>
</comments>
</file>

<file path=xl/comments3.xml><?xml version="1.0" encoding="utf-8"?>
<comments xmlns="http://schemas.openxmlformats.org/spreadsheetml/2006/main">
  <authors>
    <author>User</author>
    <author>Diana Marcela Bermeo</author>
  </authors>
  <commentList>
    <comment ref="C6" authorId="0" shapeId="0">
      <text>
        <r>
          <rPr>
            <b/>
            <sz val="9"/>
            <color indexed="81"/>
            <rFont val="Tahoma"/>
            <family val="2"/>
          </rPr>
          <t>User:</t>
        </r>
        <r>
          <rPr>
            <sz val="9"/>
            <color indexed="81"/>
            <rFont val="Tahoma"/>
            <family val="2"/>
          </rPr>
          <t xml:space="preserve">
1. Suscribir un acuerdo de voluntades con cafeteros</t>
        </r>
      </text>
    </comment>
    <comment ref="D6" authorId="0" shapeId="0">
      <text>
        <r>
          <rPr>
            <b/>
            <sz val="9"/>
            <color indexed="81"/>
            <rFont val="Tahoma"/>
            <family val="2"/>
          </rPr>
          <t>User:</t>
        </r>
        <r>
          <rPr>
            <sz val="9"/>
            <color indexed="81"/>
            <rFont val="Tahoma"/>
            <family val="2"/>
          </rPr>
          <t xml:space="preserve">
1. Renovar piscultura 
2. Renovar ladrilleros</t>
        </r>
      </text>
    </comment>
    <comment ref="E6" authorId="0" shapeId="0">
      <text>
        <r>
          <rPr>
            <b/>
            <sz val="9"/>
            <color indexed="81"/>
            <rFont val="Tahoma"/>
            <family val="2"/>
          </rPr>
          <t>User:</t>
        </r>
        <r>
          <rPr>
            <sz val="9"/>
            <color indexed="81"/>
            <rFont val="Tahoma"/>
            <family val="2"/>
          </rPr>
          <t xml:space="preserve">
1. Renonar cacoteros
2. suscripción con paneleros</t>
        </r>
      </text>
    </comment>
    <comment ref="F6" authorId="0" shapeId="0">
      <text>
        <r>
          <rPr>
            <b/>
            <sz val="9"/>
            <color indexed="81"/>
            <rFont val="Tahoma"/>
            <family val="2"/>
          </rPr>
          <t>User:</t>
        </r>
        <r>
          <rPr>
            <sz val="9"/>
            <color indexed="81"/>
            <rFont val="Tahoma"/>
            <family val="2"/>
          </rPr>
          <t xml:space="preserve">
1. Renovación cafeteros
2. Renovar ganaderos</t>
        </r>
      </text>
    </comment>
    <comment ref="C7" authorId="0" shapeId="0">
      <text>
        <r>
          <rPr>
            <b/>
            <sz val="9"/>
            <color indexed="81"/>
            <rFont val="Tahoma"/>
            <family val="2"/>
          </rPr>
          <t>User:</t>
        </r>
        <r>
          <rPr>
            <sz val="9"/>
            <color indexed="81"/>
            <rFont val="Tahoma"/>
            <family val="2"/>
          </rPr>
          <t xml:space="preserve">
1. Filtros verdes - cafeteros
2. Biodigestores - porcícola y gandero</t>
        </r>
      </text>
    </comment>
    <comment ref="D7" authorId="0" shapeId="0">
      <text>
        <r>
          <rPr>
            <b/>
            <sz val="9"/>
            <color indexed="81"/>
            <rFont val="Tahoma"/>
            <family val="2"/>
          </rPr>
          <t>User:</t>
        </r>
        <r>
          <rPr>
            <sz val="9"/>
            <color indexed="81"/>
            <rFont val="Tahoma"/>
            <family val="2"/>
          </rPr>
          <t xml:space="preserve">
1. Proyectoorgánico - cacaoteros.
2. Cosecha de agua - ganaderos</t>
        </r>
      </text>
    </comment>
    <comment ref="E7" authorId="0" shapeId="0">
      <text>
        <r>
          <rPr>
            <b/>
            <sz val="9"/>
            <color indexed="81"/>
            <rFont val="Tahoma"/>
            <family val="2"/>
          </rPr>
          <t>User:</t>
        </r>
        <r>
          <rPr>
            <sz val="9"/>
            <color indexed="81"/>
            <rFont val="Tahoma"/>
            <family val="2"/>
          </rPr>
          <t xml:space="preserve">
1. Silvopastoriles - ganadería
2. Agroforestal - cafeteros</t>
        </r>
      </text>
    </comment>
    <comment ref="F7" authorId="0" shapeId="0">
      <text>
        <r>
          <rPr>
            <b/>
            <sz val="9"/>
            <color indexed="81"/>
            <rFont val="Tahoma"/>
            <family val="2"/>
          </rPr>
          <t>User:</t>
        </r>
        <r>
          <rPr>
            <sz val="9"/>
            <color indexed="81"/>
            <rFont val="Tahoma"/>
            <family val="2"/>
          </rPr>
          <t xml:space="preserve">
1. Efciencia energética - ladrilleros y paneleros
2. Reconversión productiva en arroz</t>
        </r>
      </text>
    </comment>
    <comment ref="J7" authorId="0" shapeId="0">
      <text>
        <r>
          <rPr>
            <b/>
            <sz val="9"/>
            <color indexed="81"/>
            <rFont val="Tahoma"/>
            <family val="2"/>
          </rPr>
          <t>User:</t>
        </r>
        <r>
          <rPr>
            <sz val="9"/>
            <color indexed="81"/>
            <rFont val="Tahoma"/>
            <family val="2"/>
          </rPr>
          <t xml:space="preserve">
El DG puso 100 millones luego dijo que ajustaramos teiendo en cuenta incrmeento del 8% total</t>
        </r>
      </text>
    </comment>
    <comment ref="J9" authorId="0" shapeId="0">
      <text>
        <r>
          <rPr>
            <b/>
            <sz val="9"/>
            <color indexed="81"/>
            <rFont val="Tahoma"/>
            <family val="2"/>
          </rPr>
          <t>User:</t>
        </r>
        <r>
          <rPr>
            <sz val="9"/>
            <color indexed="81"/>
            <rFont val="Tahoma"/>
            <family val="2"/>
          </rPr>
          <t xml:space="preserve">
Vigencia futura</t>
        </r>
      </text>
    </comment>
    <comment ref="G17" authorId="0" shapeId="0">
      <text>
        <r>
          <rPr>
            <b/>
            <sz val="9"/>
            <color indexed="81"/>
            <rFont val="Tahoma"/>
            <family val="2"/>
          </rPr>
          <t>User:</t>
        </r>
        <r>
          <rPr>
            <sz val="9"/>
            <color indexed="81"/>
            <rFont val="Tahoma"/>
            <family val="2"/>
          </rPr>
          <t xml:space="preserve">
Linea base 203, meta cuatrienio en el PGAr es llegar a las 268</t>
        </r>
      </text>
    </comment>
    <comment ref="K20" authorId="0" shapeId="0">
      <text>
        <r>
          <rPr>
            <b/>
            <sz val="9"/>
            <color indexed="81"/>
            <rFont val="Tahoma"/>
            <family val="2"/>
          </rPr>
          <t>User:</t>
        </r>
        <r>
          <rPr>
            <sz val="9"/>
            <color indexed="81"/>
            <rFont val="Tahoma"/>
            <family val="2"/>
          </rPr>
          <t xml:space="preserve">
Como subimos los valores de los años 2024 y 2025 porque no tenía meta en esos años en el indicador: Diseñar e implementar una estrategia de articulación institucional para el fortalecimiento de los negocios verdes. Por la fórmula me subía el valor del año 2026 que eran del mimo indicador por eso me toco restarselos</t>
        </r>
      </text>
    </comment>
    <comment ref="I31" authorId="0" shapeId="0">
      <text>
        <r>
          <rPr>
            <b/>
            <sz val="9"/>
            <color indexed="81"/>
            <rFont val="Tahoma"/>
            <family val="2"/>
          </rPr>
          <t>User:</t>
        </r>
        <r>
          <rPr>
            <sz val="9"/>
            <color indexed="81"/>
            <rFont val="Tahoma"/>
            <family val="2"/>
          </rPr>
          <t xml:space="preserve">
1. Asistencia técnia AP Registradas
2. Assitencia técnica AP de gestión de áreas protegidas
3. Implementación de proyectos en ejecución de áreas protegidas</t>
        </r>
      </text>
    </comment>
    <comment ref="I33" authorId="0" shapeId="0">
      <text>
        <r>
          <rPr>
            <b/>
            <sz val="9"/>
            <color indexed="81"/>
            <rFont val="Tahoma"/>
            <family val="2"/>
          </rPr>
          <t>User:</t>
        </r>
        <r>
          <rPr>
            <sz val="9"/>
            <color indexed="81"/>
            <rFont val="Tahoma"/>
            <family val="2"/>
          </rPr>
          <t xml:space="preserve">
Se incluyen os $20.000.000 que estaban en gestión ambiental urbana en autoridada de construcción del dique </t>
        </r>
      </text>
    </comment>
    <comment ref="B35" authorId="0" shapeId="0">
      <text>
        <r>
          <rPr>
            <b/>
            <sz val="9"/>
            <color indexed="81"/>
            <rFont val="Tahoma"/>
            <family val="2"/>
          </rPr>
          <t>User:</t>
        </r>
        <r>
          <rPr>
            <sz val="9"/>
            <color indexed="81"/>
            <rFont val="Tahoma"/>
            <family val="2"/>
          </rPr>
          <t xml:space="preserve">
Se estableció de acuerdo a las acciones definidas en la convención de las Naciones Unidas para l lucha contra la desertificación</t>
        </r>
      </text>
    </comment>
    <comment ref="C41" authorId="0" shapeId="0">
      <text>
        <r>
          <rPr>
            <b/>
            <sz val="9"/>
            <color indexed="81"/>
            <rFont val="Tahoma"/>
            <family val="2"/>
          </rPr>
          <t>User:</t>
        </r>
        <r>
          <rPr>
            <sz val="9"/>
            <color indexed="81"/>
            <rFont val="Tahoma"/>
            <family val="2"/>
          </rPr>
          <t xml:space="preserve">
Macizo Colombiano
CTAA</t>
        </r>
      </text>
    </comment>
    <comment ref="I43" authorId="0" shapeId="0">
      <text>
        <r>
          <rPr>
            <b/>
            <sz val="9"/>
            <color indexed="81"/>
            <rFont val="Tahoma"/>
            <family val="2"/>
          </rPr>
          <t>User:</t>
        </r>
        <r>
          <rPr>
            <sz val="9"/>
            <color indexed="81"/>
            <rFont val="Tahoma"/>
            <family val="2"/>
          </rPr>
          <t xml:space="preserve">
Sumamos este proyecto PROYECTO 3. CONSERVACIÓN Y PROTECCIÓN DE ÁREAS PROTEGIDAS Y ECOSISTEMAS ESTRATÉGICOS  mas el de fauna y flora y los 121 millones de planes de manejo que están en POT y nos da el total proyecto 320201 $4.440.579.315</t>
        </r>
      </text>
    </comment>
    <comment ref="C47" authorId="0" shapeId="0">
      <text>
        <r>
          <rPr>
            <b/>
            <sz val="9"/>
            <color indexed="81"/>
            <rFont val="Tahoma"/>
            <family val="2"/>
          </rPr>
          <t>User:</t>
        </r>
        <r>
          <rPr>
            <sz val="9"/>
            <color indexed="81"/>
            <rFont val="Tahoma"/>
            <family val="2"/>
          </rPr>
          <t xml:space="preserve">
Roble Negro
Fortalecimiento de los grupos de monitoreo</t>
        </r>
      </text>
    </comment>
    <comment ref="C48" authorId="0" shapeId="0">
      <text>
        <r>
          <rPr>
            <b/>
            <sz val="9"/>
            <color indexed="81"/>
            <rFont val="Tahoma"/>
            <family val="2"/>
          </rPr>
          <t>User:</t>
        </r>
        <r>
          <rPr>
            <sz val="9"/>
            <color indexed="81"/>
            <rFont val="Tahoma"/>
            <family val="2"/>
          </rPr>
          <t xml:space="preserve">
Plan de conservación de las 8 especies:
Danta 
Oso
Aguila
Venado
Nutria
Mono Churuco
Jaguar
Caimán del Magdalena
Fortalecimiento de los grupos de monitoreo</t>
        </r>
      </text>
    </comment>
    <comment ref="C51" authorId="0" shapeId="0">
      <text>
        <r>
          <rPr>
            <b/>
            <sz val="9"/>
            <color indexed="81"/>
            <rFont val="Tahoma"/>
            <family val="2"/>
          </rPr>
          <t>User:</t>
        </r>
        <r>
          <rPr>
            <sz val="9"/>
            <color indexed="81"/>
            <rFont val="Tahoma"/>
            <family val="2"/>
          </rPr>
          <t xml:space="preserve">
Caracol Africano</t>
        </r>
      </text>
    </comment>
    <comment ref="I51" authorId="0" shapeId="0">
      <text>
        <r>
          <rPr>
            <b/>
            <sz val="9"/>
            <color indexed="81"/>
            <rFont val="Tahoma"/>
            <family val="2"/>
          </rPr>
          <t>User:</t>
        </r>
        <r>
          <rPr>
            <sz val="9"/>
            <color indexed="81"/>
            <rFont val="Tahoma"/>
            <family val="2"/>
          </rPr>
          <t xml:space="preserve">
Subimos los 41,230,681 que estaban en otra actividad que tenia este indicador y que decidimos quitarla: Diagnóstico del estado actual y potencial de la problemática de especies exóticas priorizadas</t>
        </r>
      </text>
    </comment>
    <comment ref="A56" authorId="0" shapeId="0">
      <text>
        <r>
          <rPr>
            <b/>
            <sz val="9"/>
            <color indexed="81"/>
            <rFont val="Tahoma"/>
            <family val="2"/>
          </rPr>
          <t>User:</t>
        </r>
        <r>
          <rPr>
            <sz val="9"/>
            <color indexed="81"/>
            <rFont val="Tahoma"/>
            <family val="2"/>
          </rPr>
          <t xml:space="preserve">
Este indicador estaba en POT </t>
        </r>
      </text>
    </comment>
    <comment ref="C57" authorId="0" shapeId="0">
      <text>
        <r>
          <rPr>
            <b/>
            <sz val="9"/>
            <color indexed="81"/>
            <rFont val="Tahoma"/>
            <family val="2"/>
          </rPr>
          <t>User:</t>
        </r>
        <r>
          <rPr>
            <sz val="9"/>
            <color indexed="81"/>
            <rFont val="Tahoma"/>
            <family val="2"/>
          </rPr>
          <t xml:space="preserve">
</t>
        </r>
      </text>
    </comment>
    <comment ref="D57" authorId="0" shapeId="0">
      <text>
        <r>
          <rPr>
            <b/>
            <sz val="9"/>
            <color indexed="81"/>
            <rFont val="Tahoma"/>
            <family val="2"/>
          </rPr>
          <t>User:</t>
        </r>
        <r>
          <rPr>
            <sz val="9"/>
            <color indexed="81"/>
            <rFont val="Tahoma"/>
            <family val="2"/>
          </rPr>
          <t xml:space="preserve">
PORH Rio Fortalecillas</t>
        </r>
      </text>
    </comment>
    <comment ref="F57" authorId="0" shapeId="0">
      <text>
        <r>
          <rPr>
            <b/>
            <sz val="9"/>
            <color indexed="81"/>
            <rFont val="Tahoma"/>
            <family val="2"/>
          </rPr>
          <t>User:</t>
        </r>
        <r>
          <rPr>
            <sz val="9"/>
            <color indexed="81"/>
            <rFont val="Tahoma"/>
            <family val="2"/>
          </rPr>
          <t xml:space="preserve">
PORH Quebrada abastecedora del acueducto San Agustín</t>
        </r>
      </text>
    </comment>
    <comment ref="I57" authorId="0" shapeId="0">
      <text>
        <r>
          <rPr>
            <b/>
            <sz val="9"/>
            <color indexed="81"/>
            <rFont val="Tahoma"/>
            <family val="2"/>
          </rPr>
          <t>User:</t>
        </r>
        <r>
          <rPr>
            <sz val="9"/>
            <color indexed="81"/>
            <rFont val="Tahoma"/>
            <family val="2"/>
          </rPr>
          <t xml:space="preserve">
Rio Fortalecillas
Se suman los indicadores del POAI actual: 
Porcentaje de cuerpos de agua con reglamentación por uso de las aguas (IM 4) $257.530.000 + Porcentaje de cuerpos de agua con plan de ordenamiento del recurso hídrico (PORH) adoptados (IM 2) $72.037.980
</t>
        </r>
      </text>
    </comment>
    <comment ref="J57" authorId="0" shapeId="0">
      <text>
        <r>
          <rPr>
            <b/>
            <sz val="9"/>
            <color indexed="81"/>
            <rFont val="Tahoma"/>
            <family val="2"/>
          </rPr>
          <t>User:</t>
        </r>
        <r>
          <rPr>
            <sz val="9"/>
            <color indexed="81"/>
            <rFont val="Tahoma"/>
            <family val="2"/>
          </rPr>
          <t xml:space="preserve">
Rio Fortalecillas</t>
        </r>
      </text>
    </comment>
    <comment ref="K57" authorId="0" shapeId="0">
      <text>
        <r>
          <rPr>
            <b/>
            <sz val="9"/>
            <color indexed="81"/>
            <rFont val="Tahoma"/>
            <family val="2"/>
          </rPr>
          <t>User:</t>
        </r>
        <r>
          <rPr>
            <sz val="9"/>
            <color indexed="81"/>
            <rFont val="Tahoma"/>
            <family val="2"/>
          </rPr>
          <t xml:space="preserve">
Guachico</t>
        </r>
      </text>
    </comment>
    <comment ref="L57" authorId="0" shapeId="0">
      <text>
        <r>
          <rPr>
            <b/>
            <sz val="9"/>
            <color indexed="81"/>
            <rFont val="Tahoma"/>
            <family val="2"/>
          </rPr>
          <t>User:</t>
        </r>
        <r>
          <rPr>
            <sz val="9"/>
            <color indexed="81"/>
            <rFont val="Tahoma"/>
            <family val="2"/>
          </rPr>
          <t xml:space="preserve">
Guachico</t>
        </r>
      </text>
    </comment>
    <comment ref="A58" authorId="0" shapeId="0">
      <text>
        <r>
          <rPr>
            <b/>
            <sz val="9"/>
            <color indexed="81"/>
            <rFont val="Tahoma"/>
            <family val="2"/>
          </rPr>
          <t>User:</t>
        </r>
        <r>
          <rPr>
            <sz val="9"/>
            <color indexed="81"/>
            <rFont val="Tahoma"/>
            <family val="2"/>
          </rPr>
          <t xml:space="preserve">
Este indicador estaba en POT </t>
        </r>
      </text>
    </comment>
    <comment ref="H59" authorId="0" shapeId="0">
      <text>
        <r>
          <rPr>
            <b/>
            <sz val="9"/>
            <color indexed="81"/>
            <rFont val="Tahoma"/>
            <family val="2"/>
          </rPr>
          <t>User:</t>
        </r>
        <r>
          <rPr>
            <sz val="9"/>
            <color indexed="81"/>
            <rFont val="Tahoma"/>
            <family val="2"/>
          </rPr>
          <t xml:space="preserve">
NO TIENE META NO DEBERIA TENER PLATA</t>
        </r>
      </text>
    </comment>
    <comment ref="I59" authorId="0" shapeId="0">
      <text>
        <r>
          <rPr>
            <b/>
            <sz val="9"/>
            <color indexed="81"/>
            <rFont val="Tahoma"/>
            <family val="2"/>
          </rPr>
          <t>User:</t>
        </r>
        <r>
          <rPr>
            <sz val="9"/>
            <color indexed="81"/>
            <rFont val="Tahoma"/>
            <family val="2"/>
          </rPr>
          <t xml:space="preserve">
Subimos valor $257,530,000 sujeto a ajustes del proceso contratación POR Rio Fortalecillas</t>
        </r>
      </text>
    </comment>
    <comment ref="J59" authorId="0" shapeId="0">
      <text>
        <r>
          <rPr>
            <b/>
            <sz val="9"/>
            <color indexed="81"/>
            <rFont val="Tahoma"/>
            <family val="2"/>
          </rPr>
          <t>User:</t>
        </r>
        <r>
          <rPr>
            <sz val="9"/>
            <color indexed="81"/>
            <rFont val="Tahoma"/>
            <family val="2"/>
          </rPr>
          <t xml:space="preserve">
Reglamentada Fortalecillas</t>
        </r>
      </text>
    </comment>
    <comment ref="I63" authorId="0" shapeId="0">
      <text>
        <r>
          <rPr>
            <b/>
            <sz val="9"/>
            <color indexed="81"/>
            <rFont val="Tahoma"/>
            <family val="2"/>
          </rPr>
          <t>User:</t>
        </r>
        <r>
          <rPr>
            <sz val="9"/>
            <color indexed="81"/>
            <rFont val="Tahoma"/>
            <family val="2"/>
          </rPr>
          <t xml:space="preserve">
Incluye 5  profesionles que aparecen en ERA Calidad y seguimiento RH calidad del indicador PIRMA. Están en rosado en el POAI trabajado con Chucho</t>
        </r>
      </text>
    </comment>
    <comment ref="I64" authorId="0" shapeId="0">
      <text>
        <r>
          <rPr>
            <sz val="9"/>
            <color indexed="81"/>
            <rFont val="Tahoma"/>
            <family val="2"/>
          </rPr>
          <t>Incluye las siguientes actividades del Indicador: Implementación del Programa Institucional Regional de monitoreo del agua - PIRMA en aguas superficial y subterráneas:
1. Campañas De Monitoreo - IDEAM $325.522.438+Muestreos Y/O Contramuestreos  $755.181.560</t>
        </r>
      </text>
    </comment>
    <comment ref="I65" authorId="0" shapeId="0">
      <text>
        <r>
          <rPr>
            <b/>
            <sz val="9"/>
            <color indexed="81"/>
            <rFont val="Tahoma"/>
            <family val="2"/>
          </rPr>
          <t>User:</t>
        </r>
        <r>
          <rPr>
            <sz val="9"/>
            <color indexed="81"/>
            <rFont val="Tahoma"/>
            <family val="2"/>
          </rPr>
          <t xml:space="preserve">
Ing. Carolina reporrta el valor de $1.124.434.823 Está contratado? Este valor sale de Ceibas? Y de Anturi? Y de regulación?</t>
        </r>
      </text>
    </comment>
    <comment ref="J65" authorId="0" shapeId="0">
      <text>
        <r>
          <rPr>
            <b/>
            <sz val="9"/>
            <color indexed="81"/>
            <rFont val="Tahoma"/>
            <family val="2"/>
          </rPr>
          <t>User:</t>
        </r>
        <r>
          <rPr>
            <sz val="9"/>
            <color indexed="81"/>
            <rFont val="Tahoma"/>
            <family val="2"/>
          </rPr>
          <t xml:space="preserve">
36.653.911 se baja este rubro a 30,000,000</t>
        </r>
      </text>
    </comment>
    <comment ref="K67" authorId="0" shapeId="0">
      <text>
        <r>
          <rPr>
            <b/>
            <sz val="9"/>
            <color indexed="81"/>
            <rFont val="Tahoma"/>
            <family val="2"/>
          </rPr>
          <t>User:</t>
        </r>
        <r>
          <rPr>
            <sz val="9"/>
            <color indexed="81"/>
            <rFont val="Tahoma"/>
            <family val="2"/>
          </rPr>
          <t xml:space="preserve">
Teniamos 419164918, tocó bajarle</t>
        </r>
      </text>
    </comment>
    <comment ref="I68" authorId="0" shapeId="0">
      <text>
        <r>
          <rPr>
            <b/>
            <sz val="9"/>
            <color indexed="81"/>
            <rFont val="Tahoma"/>
            <family val="2"/>
          </rPr>
          <t>User:</t>
        </r>
        <r>
          <rPr>
            <sz val="9"/>
            <color indexed="81"/>
            <rFont val="Tahoma"/>
            <family val="2"/>
          </rPr>
          <t xml:space="preserve">
Sumando loas valores no coincide con el valor de Implementación del PIRMA en el POAI $3.402.411.610</t>
        </r>
      </text>
    </comment>
    <comment ref="C74" authorId="0" shapeId="0">
      <text>
        <r>
          <rPr>
            <b/>
            <sz val="9"/>
            <color indexed="81"/>
            <rFont val="Tahoma"/>
            <family val="2"/>
          </rPr>
          <t>User:</t>
        </r>
        <r>
          <rPr>
            <sz val="9"/>
            <color indexed="81"/>
            <rFont val="Tahoma"/>
            <family val="2"/>
          </rPr>
          <t xml:space="preserve">
revisar metas son espaciso de diálogo? O son POMCAS?</t>
        </r>
      </text>
    </comment>
    <comment ref="I76" authorId="0" shapeId="0">
      <text>
        <r>
          <rPr>
            <b/>
            <sz val="9"/>
            <color indexed="81"/>
            <rFont val="Tahoma"/>
            <family val="2"/>
          </rPr>
          <t>User:</t>
        </r>
        <r>
          <rPr>
            <sz val="9"/>
            <color indexed="81"/>
            <rFont val="Tahoma"/>
            <family val="2"/>
          </rPr>
          <t xml:space="preserve">
Los valores los pusimos del poai De los $5.795.042.319 corresponde para CEIBAS: $4.365.894.000. se sacaron  $30,000,000 para el indicador Espacios de diálogo para tramitar conflictos socioambientales alrededor del recurso hídrico, y $10,000,000 para PSA contrato de Diani</t>
        </r>
      </text>
    </comment>
    <comment ref="L76" authorId="0" shapeId="0">
      <text>
        <r>
          <rPr>
            <b/>
            <sz val="9"/>
            <color indexed="81"/>
            <rFont val="Tahoma"/>
            <family val="2"/>
          </rPr>
          <t>User:</t>
        </r>
        <r>
          <rPr>
            <sz val="9"/>
            <color indexed="81"/>
            <rFont val="Tahoma"/>
            <family val="2"/>
          </rPr>
          <t xml:space="preserve">
S resta el excedente 8.683.980,80541992</t>
        </r>
      </text>
    </comment>
    <comment ref="C78" authorId="0" shapeId="0">
      <text>
        <r>
          <rPr>
            <b/>
            <sz val="9"/>
            <color indexed="81"/>
            <rFont val="Tahoma"/>
            <family val="2"/>
          </rPr>
          <t>User:</t>
        </r>
        <r>
          <rPr>
            <sz val="9"/>
            <color indexed="81"/>
            <rFont val="Tahoma"/>
            <family val="2"/>
          </rPr>
          <t xml:space="preserve">
Anturi tiene en el POAI 50 HA</t>
        </r>
      </text>
    </comment>
    <comment ref="A79" authorId="0" shapeId="0">
      <text>
        <r>
          <rPr>
            <b/>
            <sz val="11"/>
            <color indexed="81"/>
            <rFont val="Tahoma"/>
            <family val="2"/>
          </rPr>
          <t>User:</t>
        </r>
        <r>
          <rPr>
            <sz val="11"/>
            <color indexed="81"/>
            <rFont val="Tahoma"/>
            <family val="2"/>
          </rPr>
          <t xml:space="preserve">
Se unifican los siguientes indicador que estaba: Porcentaje de áreas reforestadas gestionadas y con mantenimiento para la protección de cuencas abastecedoras.
Ha. revegetalizadas naturalmente para la protección de cuencas abastecedoras.
Porcentaje de áreas revegetalizadas naturalmente para la protección de cuencas abastecedoras con mantenimiento.
Ha. adquiridas y administradas para la restauración  y conservación de áreas estratégicas en cuencas hidrográficas abastecedoras de acueductos municipales y/o veredales</t>
        </r>
      </text>
    </comment>
    <comment ref="C80" authorId="0" shapeId="0">
      <text>
        <r>
          <rPr>
            <b/>
            <sz val="9"/>
            <color indexed="81"/>
            <rFont val="Tahoma"/>
            <family val="2"/>
          </rPr>
          <t>User:</t>
        </r>
        <r>
          <rPr>
            <sz val="9"/>
            <color indexed="81"/>
            <rFont val="Tahoma"/>
            <family val="2"/>
          </rPr>
          <t xml:space="preserve">
Anturi tenía 10 HA en el POAI</t>
        </r>
      </text>
    </comment>
    <comment ref="I80" authorId="0" shapeId="0">
      <text>
        <r>
          <rPr>
            <b/>
            <sz val="9"/>
            <color indexed="81"/>
            <rFont val="Tahoma"/>
            <family val="2"/>
          </rPr>
          <t>User:</t>
        </r>
        <r>
          <rPr>
            <sz val="9"/>
            <color indexed="81"/>
            <rFont val="Tahoma"/>
            <family val="2"/>
          </rPr>
          <t xml:space="preserve">
64 millones y medio para material vegetal</t>
        </r>
      </text>
    </comment>
    <comment ref="C81" authorId="0" shapeId="0">
      <text>
        <r>
          <rPr>
            <b/>
            <sz val="9"/>
            <color indexed="81"/>
            <rFont val="Tahoma"/>
            <family val="2"/>
          </rPr>
          <t>User:</t>
        </r>
        <r>
          <rPr>
            <sz val="9"/>
            <color indexed="81"/>
            <rFont val="Tahoma"/>
            <family val="2"/>
          </rPr>
          <t xml:space="preserve">
En el POAI hay 50 HA</t>
        </r>
      </text>
    </comment>
    <comment ref="D82" authorId="0" shapeId="0">
      <text>
        <r>
          <rPr>
            <b/>
            <sz val="9"/>
            <color indexed="81"/>
            <rFont val="Tahoma"/>
            <family val="2"/>
          </rPr>
          <t>User:</t>
        </r>
        <r>
          <rPr>
            <sz val="9"/>
            <color indexed="81"/>
            <rFont val="Tahoma"/>
            <family val="2"/>
          </rPr>
          <t xml:space="preserve">
Teniamos 30,000 bajamos a 20,000 por el ppto</t>
        </r>
      </text>
    </comment>
    <comment ref="I82" authorId="0" shapeId="0">
      <text>
        <r>
          <rPr>
            <b/>
            <sz val="9"/>
            <color indexed="81"/>
            <rFont val="Tahoma"/>
            <family val="2"/>
          </rPr>
          <t>User:</t>
        </r>
        <r>
          <rPr>
            <sz val="9"/>
            <color indexed="81"/>
            <rFont val="Tahoma"/>
            <family val="2"/>
          </rPr>
          <t xml:space="preserve">
Estas hectáreas se cumplen con recursos del Proyecto Ceibas y los 102,161,920 es parte de interventoria CI y Alfredo Perdomo </t>
        </r>
      </text>
    </comment>
    <comment ref="J82" authorId="0" shapeId="0">
      <text>
        <r>
          <rPr>
            <b/>
            <sz val="9"/>
            <color indexed="81"/>
            <rFont val="Tahoma"/>
            <family val="2"/>
          </rPr>
          <t>User:</t>
        </r>
        <r>
          <rPr>
            <sz val="9"/>
            <color indexed="81"/>
            <rFont val="Tahoma"/>
            <family val="2"/>
          </rPr>
          <t xml:space="preserve">
Incluye personal y los 30.000 de aislamiento</t>
        </r>
      </text>
    </comment>
    <comment ref="C83" authorId="0" shapeId="0">
      <text>
        <r>
          <rPr>
            <b/>
            <sz val="9"/>
            <color indexed="81"/>
            <rFont val="Tahoma"/>
            <family val="2"/>
          </rPr>
          <t>User:</t>
        </r>
        <r>
          <rPr>
            <sz val="9"/>
            <color indexed="81"/>
            <rFont val="Tahoma"/>
            <family val="2"/>
          </rPr>
          <t xml:space="preserve">
Ingeneiro dice que la plata está presupuestado para hacer 30.000</t>
        </r>
      </text>
    </comment>
    <comment ref="D83" authorId="0" shapeId="0">
      <text>
        <r>
          <rPr>
            <b/>
            <sz val="9"/>
            <color indexed="81"/>
            <rFont val="Tahoma"/>
            <family val="2"/>
          </rPr>
          <t>User:</t>
        </r>
        <r>
          <rPr>
            <sz val="9"/>
            <color indexed="81"/>
            <rFont val="Tahoma"/>
            <family val="2"/>
          </rPr>
          <t xml:space="preserve">
Ingeneiro dice que la plata está presupuestado para hacer 10.000</t>
        </r>
      </text>
    </comment>
    <comment ref="E83" authorId="0" shapeId="0">
      <text>
        <r>
          <rPr>
            <b/>
            <sz val="9"/>
            <color indexed="81"/>
            <rFont val="Tahoma"/>
            <family val="2"/>
          </rPr>
          <t>User:</t>
        </r>
        <r>
          <rPr>
            <sz val="9"/>
            <color indexed="81"/>
            <rFont val="Tahoma"/>
            <family val="2"/>
          </rPr>
          <t xml:space="preserve">
Ingeneiro dice que la plata está presupuestado para hacer 30.000</t>
        </r>
      </text>
    </comment>
    <comment ref="F83" authorId="0" shapeId="0">
      <text>
        <r>
          <rPr>
            <b/>
            <sz val="9"/>
            <color indexed="81"/>
            <rFont val="Tahoma"/>
            <family val="2"/>
          </rPr>
          <t>User:</t>
        </r>
        <r>
          <rPr>
            <sz val="9"/>
            <color indexed="81"/>
            <rFont val="Tahoma"/>
            <family val="2"/>
          </rPr>
          <t xml:space="preserve">
Ingeneiro dice que la plata está presupuestado para hacer 20.000</t>
        </r>
      </text>
    </comment>
    <comment ref="G83" authorId="0" shapeId="0">
      <text>
        <r>
          <rPr>
            <b/>
            <sz val="9"/>
            <color indexed="81"/>
            <rFont val="Tahoma"/>
            <family val="2"/>
          </rPr>
          <t>User:</t>
        </r>
        <r>
          <rPr>
            <sz val="9"/>
            <color indexed="81"/>
            <rFont val="Tahoma"/>
            <family val="2"/>
          </rPr>
          <t xml:space="preserve">
serian 90.000</t>
        </r>
      </text>
    </comment>
    <comment ref="N86" authorId="0" shapeId="0">
      <text>
        <r>
          <rPr>
            <b/>
            <sz val="9"/>
            <color indexed="81"/>
            <rFont val="Tahoma"/>
            <family val="2"/>
          </rPr>
          <t>User:</t>
        </r>
        <r>
          <rPr>
            <sz val="9"/>
            <color indexed="81"/>
            <rFont val="Tahoma"/>
            <family val="2"/>
          </rPr>
          <t xml:space="preserve">
La compañera de cambio climático aclara que los municipios de las metas - Se realizó teniendo en cuenta los municipios involucrados en los POMCA y PMAM y según avance de acercamiento institucional con esos entes territoriales.</t>
        </r>
      </text>
    </comment>
    <comment ref="I88" authorId="0" shapeId="0">
      <text>
        <r>
          <rPr>
            <b/>
            <sz val="9"/>
            <color indexed="81"/>
            <rFont val="Tahoma"/>
            <family val="2"/>
          </rPr>
          <t>User:</t>
        </r>
        <r>
          <rPr>
            <sz val="9"/>
            <color indexed="81"/>
            <rFont val="Tahoma"/>
            <family val="2"/>
          </rPr>
          <t xml:space="preserve">
Unimos dos proyectos 320203 $983.060.088 + 320301 menos el indicado de Leonel $6.116.884.990</t>
        </r>
      </text>
    </comment>
    <comment ref="C92" authorId="0" shapeId="0">
      <text>
        <r>
          <rPr>
            <b/>
            <sz val="9"/>
            <color indexed="81"/>
            <rFont val="Tahoma"/>
            <family val="2"/>
          </rPr>
          <t>User:</t>
        </r>
        <r>
          <rPr>
            <sz val="9"/>
            <color indexed="81"/>
            <rFont val="Tahoma"/>
            <family val="2"/>
          </rPr>
          <t xml:space="preserve">
La Plata
Teruel</t>
        </r>
      </text>
    </comment>
    <comment ref="D108" authorId="0" shapeId="0">
      <text>
        <r>
          <rPr>
            <b/>
            <sz val="9"/>
            <color indexed="81"/>
            <rFont val="Tahoma"/>
            <family val="2"/>
          </rPr>
          <t>User:</t>
        </r>
        <r>
          <rPr>
            <sz val="9"/>
            <color indexed="81"/>
            <rFont val="Tahoma"/>
            <family val="2"/>
          </rPr>
          <t xml:space="preserve">
PMAM Timaná</t>
        </r>
      </text>
    </comment>
    <comment ref="I108" authorId="0" shapeId="0">
      <text>
        <r>
          <rPr>
            <b/>
            <sz val="9"/>
            <color indexed="81"/>
            <rFont val="Tahoma"/>
            <family val="2"/>
          </rPr>
          <t>User:</t>
        </r>
        <r>
          <rPr>
            <sz val="9"/>
            <color indexed="81"/>
            <rFont val="Tahoma"/>
            <family val="2"/>
          </rPr>
          <t xml:space="preserve">
EN EL POAI HAY $321,842,671 PERO APARECE COMO EN GASTOS DE PERSONAL PROYECTO 320301,…ENTONCES SE DEJA ESTE VALOR EN EL PORYECTO 6 COMO GASTOS D PERSONAL</t>
        </r>
      </text>
    </comment>
    <comment ref="J108" authorId="0" shapeId="0">
      <text>
        <r>
          <rPr>
            <b/>
            <sz val="9"/>
            <color indexed="81"/>
            <rFont val="Tahoma"/>
            <family val="2"/>
          </rPr>
          <t>User:</t>
        </r>
        <r>
          <rPr>
            <sz val="9"/>
            <color indexed="81"/>
            <rFont val="Tahoma"/>
            <family val="2"/>
          </rPr>
          <t xml:space="preserve">
Cartografía IDEAM</t>
        </r>
      </text>
    </comment>
    <comment ref="D110" authorId="1" shapeId="0">
      <text>
        <r>
          <rPr>
            <b/>
            <sz val="9"/>
            <color indexed="81"/>
            <rFont val="Tahoma"/>
            <family val="2"/>
          </rPr>
          <t>PNR Miraflores y Oseras</t>
        </r>
      </text>
    </comment>
    <comment ref="E110" authorId="1" shapeId="0">
      <text>
        <r>
          <rPr>
            <b/>
            <sz val="9"/>
            <color indexed="81"/>
            <rFont val="Tahoma"/>
            <family val="2"/>
          </rPr>
          <t>PNR Dorado y DRMI SPB</t>
        </r>
      </text>
    </comment>
    <comment ref="F110" authorId="1" shapeId="0">
      <text>
        <r>
          <rPr>
            <b/>
            <sz val="9"/>
            <color indexed="81"/>
            <rFont val="Tahoma"/>
            <family val="2"/>
          </rPr>
          <t>PNR CBGP y SibCei</t>
        </r>
      </text>
    </comment>
    <comment ref="I110" authorId="0" shapeId="0">
      <text>
        <r>
          <rPr>
            <b/>
            <sz val="9"/>
            <color indexed="81"/>
            <rFont val="Tahoma"/>
            <family val="2"/>
          </rPr>
          <t>User:</t>
        </r>
        <r>
          <rPr>
            <sz val="9"/>
            <color indexed="81"/>
            <rFont val="Tahoma"/>
            <family val="2"/>
          </rPr>
          <t xml:space="preserve">
No tenemos meta como reportarlo? Plan de manejo Cerro Banderas Ojo Blanco</t>
        </r>
      </text>
    </comment>
    <comment ref="J110" authorId="0" shapeId="0">
      <text>
        <r>
          <rPr>
            <b/>
            <sz val="9"/>
            <color indexed="81"/>
            <rFont val="Tahoma"/>
            <family val="2"/>
          </rPr>
          <t>User:</t>
        </r>
        <r>
          <rPr>
            <sz val="9"/>
            <color indexed="81"/>
            <rFont val="Tahoma"/>
            <family val="2"/>
          </rPr>
          <t xml:space="preserve">
Se restan a cada año 100 millones DG</t>
        </r>
      </text>
    </comment>
    <comment ref="G114" authorId="0" shapeId="0">
      <text>
        <r>
          <rPr>
            <b/>
            <sz val="9"/>
            <color indexed="81"/>
            <rFont val="Tahoma"/>
            <family val="2"/>
          </rPr>
          <t>User:</t>
        </r>
        <r>
          <rPr>
            <sz val="9"/>
            <color indexed="81"/>
            <rFont val="Tahoma"/>
            <family val="2"/>
          </rPr>
          <t xml:space="preserve">
1. Sotará
2. Nevado Huila - Moras
3. Guanacas Puracé Coconuco
4. Sumapaz - Cruz Verde
5. Miraflores</t>
        </r>
      </text>
    </comment>
    <comment ref="I122" authorId="0" shapeId="0">
      <text>
        <r>
          <rPr>
            <b/>
            <sz val="9"/>
            <color indexed="81"/>
            <rFont val="Tahoma"/>
            <family val="2"/>
          </rPr>
          <t>User:</t>
        </r>
        <r>
          <rPr>
            <sz val="9"/>
            <color indexed="81"/>
            <rFont val="Tahoma"/>
            <family val="2"/>
          </rPr>
          <t xml:space="preserve">
AVR e interventoría</t>
        </r>
      </text>
    </comment>
    <comment ref="K122" authorId="0" shapeId="0">
      <text>
        <r>
          <rPr>
            <b/>
            <sz val="9"/>
            <color indexed="81"/>
            <rFont val="Tahoma"/>
            <family val="2"/>
          </rPr>
          <t>User:</t>
        </r>
        <r>
          <rPr>
            <sz val="9"/>
            <color indexed="81"/>
            <rFont val="Tahoma"/>
            <family val="2"/>
          </rPr>
          <t xml:space="preserve">
Se adiciona saldo que quedó del ppto…porque acá no se tuvo en cuenta la interventoria</t>
        </r>
      </text>
    </comment>
    <comment ref="N122" authorId="0" shapeId="0">
      <text>
        <r>
          <rPr>
            <b/>
            <sz val="9"/>
            <color indexed="81"/>
            <rFont val="Tahoma"/>
            <family val="2"/>
          </rPr>
          <t>User:</t>
        </r>
        <r>
          <rPr>
            <sz val="9"/>
            <color indexed="81"/>
            <rFont val="Tahoma"/>
            <family val="2"/>
          </rPr>
          <t xml:space="preserve">
Pte Excel con información complementaria - correo enviado Dr. Juan CArlos</t>
        </r>
      </text>
    </comment>
    <comment ref="F125" authorId="0" shapeId="0">
      <text>
        <r>
          <rPr>
            <b/>
            <sz val="9"/>
            <color indexed="81"/>
            <rFont val="Tahoma"/>
            <family val="2"/>
          </rPr>
          <t>User:</t>
        </r>
        <r>
          <rPr>
            <sz val="9"/>
            <color indexed="81"/>
            <rFont val="Tahoma"/>
            <family val="2"/>
          </rPr>
          <t xml:space="preserve">
Timaná</t>
        </r>
      </text>
    </comment>
    <comment ref="I125" authorId="0" shapeId="0">
      <text>
        <r>
          <rPr>
            <b/>
            <sz val="9"/>
            <color indexed="81"/>
            <rFont val="Tahoma"/>
            <family val="2"/>
          </rPr>
          <t>User:</t>
        </r>
        <r>
          <rPr>
            <sz val="9"/>
            <color indexed="81"/>
            <rFont val="Tahoma"/>
            <family val="2"/>
          </rPr>
          <t xml:space="preserve">
En este proyecto se tenía un saldo que se envío para dos proyectos en La Plata, uno de hornillas y otro de aislamiento</t>
        </r>
      </text>
    </comment>
    <comment ref="I126" authorId="0" shapeId="0">
      <text>
        <r>
          <rPr>
            <b/>
            <sz val="9"/>
            <color indexed="81"/>
            <rFont val="Tahoma"/>
            <family val="2"/>
          </rPr>
          <t>User:</t>
        </r>
        <r>
          <rPr>
            <sz val="9"/>
            <color indexed="81"/>
            <rFont val="Tahoma"/>
            <family val="2"/>
          </rPr>
          <t xml:space="preserve">
Diferenecia de $80.000.000 con el actual POAI</t>
        </r>
      </text>
    </comment>
    <comment ref="I130" authorId="0" shapeId="0">
      <text>
        <r>
          <rPr>
            <b/>
            <sz val="9"/>
            <color indexed="81"/>
            <rFont val="Tahoma"/>
            <family val="2"/>
          </rPr>
          <t>User:</t>
        </r>
        <r>
          <rPr>
            <sz val="9"/>
            <color indexed="81"/>
            <rFont val="Tahoma"/>
            <family val="2"/>
          </rPr>
          <t xml:space="preserve">
Cto de Yuri…porque no tenia plata</t>
        </r>
      </text>
    </comment>
    <comment ref="I131" authorId="0" shapeId="0">
      <text>
        <r>
          <rPr>
            <b/>
            <sz val="9"/>
            <color indexed="81"/>
            <rFont val="Tahoma"/>
            <family val="2"/>
          </rPr>
          <t>User:</t>
        </r>
        <r>
          <rPr>
            <sz val="9"/>
            <color indexed="81"/>
            <rFont val="Tahoma"/>
            <family val="2"/>
          </rPr>
          <t xml:space="preserve">
511846400 - Validar con Adriana…debería estar el valor del POAI pero le puso menos</t>
        </r>
      </text>
    </comment>
    <comment ref="I138" authorId="0" shapeId="0">
      <text>
        <r>
          <rPr>
            <b/>
            <sz val="9"/>
            <color indexed="81"/>
            <rFont val="Tahoma"/>
            <family val="2"/>
          </rPr>
          <t>User:</t>
        </r>
        <r>
          <rPr>
            <sz val="9"/>
            <color indexed="81"/>
            <rFont val="Tahoma"/>
            <family val="2"/>
          </rPr>
          <t xml:space="preserve">
Descuento $10,000,000cto de Dianis por subir ppto a PSA</t>
        </r>
      </text>
    </comment>
    <comment ref="N139" authorId="0" shapeId="0">
      <text>
        <r>
          <rPr>
            <b/>
            <sz val="9"/>
            <color indexed="81"/>
            <rFont val="Tahoma"/>
            <family val="2"/>
          </rPr>
          <t>User:</t>
        </r>
        <r>
          <rPr>
            <sz val="9"/>
            <color indexed="81"/>
            <rFont val="Tahoma"/>
            <family val="2"/>
          </rPr>
          <t xml:space="preserve">
Esta observacíon la deja compañera cambio climático…correo enviado Ingeniera Laura</t>
        </r>
      </text>
    </comment>
    <comment ref="C141" authorId="0" shapeId="0">
      <text>
        <r>
          <rPr>
            <b/>
            <sz val="9"/>
            <color indexed="81"/>
            <rFont val="Tahoma"/>
            <family val="2"/>
          </rPr>
          <t>User:</t>
        </r>
        <r>
          <rPr>
            <sz val="9"/>
            <color indexed="81"/>
            <rFont val="Tahoma"/>
            <family val="2"/>
          </rPr>
          <t xml:space="preserve">
1. Bodigestores</t>
        </r>
      </text>
    </comment>
    <comment ref="D141" authorId="0" shapeId="0">
      <text>
        <r>
          <rPr>
            <b/>
            <sz val="9"/>
            <color indexed="81"/>
            <rFont val="Tahoma"/>
            <family val="2"/>
          </rPr>
          <t>User:</t>
        </r>
        <r>
          <rPr>
            <sz val="9"/>
            <color indexed="81"/>
            <rFont val="Tahoma"/>
            <family val="2"/>
          </rPr>
          <t xml:space="preserve">
1. Hornillas</t>
        </r>
      </text>
    </comment>
    <comment ref="F141" authorId="0" shapeId="0">
      <text>
        <r>
          <rPr>
            <b/>
            <sz val="9"/>
            <color indexed="81"/>
            <rFont val="Tahoma"/>
            <family val="2"/>
          </rPr>
          <t>User:</t>
        </r>
        <r>
          <rPr>
            <sz val="9"/>
            <color indexed="81"/>
            <rFont val="Tahoma"/>
            <family val="2"/>
          </rPr>
          <t xml:space="preserve">
1. Sistemas eficientes de combustión</t>
        </r>
      </text>
    </comment>
    <comment ref="J141" authorId="0" shapeId="0">
      <text>
        <r>
          <rPr>
            <b/>
            <sz val="9"/>
            <color indexed="81"/>
            <rFont val="Tahoma"/>
            <family val="2"/>
          </rPr>
          <t>User:</t>
        </r>
        <r>
          <rPr>
            <sz val="9"/>
            <color indexed="81"/>
            <rFont val="Tahoma"/>
            <family val="2"/>
          </rPr>
          <t xml:space="preserve">
teniamos1,079,293,595</t>
        </r>
      </text>
    </comment>
    <comment ref="K141" authorId="0" shapeId="0">
      <text>
        <r>
          <rPr>
            <b/>
            <sz val="9"/>
            <color indexed="81"/>
            <rFont val="Tahoma"/>
            <family val="2"/>
          </rPr>
          <t>User:</t>
        </r>
        <r>
          <rPr>
            <sz val="9"/>
            <color indexed="81"/>
            <rFont val="Tahoma"/>
            <family val="2"/>
          </rPr>
          <t xml:space="preserve">
teniamos 1,111,672,403</t>
        </r>
      </text>
    </comment>
    <comment ref="L141" authorId="0" shapeId="0">
      <text>
        <r>
          <rPr>
            <b/>
            <sz val="9"/>
            <color indexed="81"/>
            <rFont val="Tahoma"/>
            <family val="2"/>
          </rPr>
          <t>User:</t>
        </r>
        <r>
          <rPr>
            <sz val="9"/>
            <color indexed="81"/>
            <rFont val="Tahoma"/>
            <family val="2"/>
          </rPr>
          <t xml:space="preserve">
teniamos 1,145,022,575</t>
        </r>
      </text>
    </comment>
    <comment ref="I147" authorId="0" shapeId="0">
      <text>
        <r>
          <rPr>
            <b/>
            <sz val="9"/>
            <color indexed="81"/>
            <rFont val="Tahoma"/>
            <family val="2"/>
          </rPr>
          <t>User:</t>
        </r>
        <r>
          <rPr>
            <sz val="9"/>
            <color indexed="81"/>
            <rFont val="Tahoma"/>
            <family val="2"/>
          </rPr>
          <t xml:space="preserve">
Validar con Adriana se bajo transporte y alimentación</t>
        </r>
      </text>
    </comment>
    <comment ref="D156" authorId="0" shapeId="0">
      <text>
        <r>
          <rPr>
            <b/>
            <sz val="9"/>
            <color indexed="81"/>
            <rFont val="Tahoma"/>
            <family val="2"/>
          </rPr>
          <t>User:</t>
        </r>
        <r>
          <rPr>
            <sz val="9"/>
            <color indexed="81"/>
            <rFont val="Tahoma"/>
            <family val="2"/>
          </rPr>
          <t xml:space="preserve">
Sede Pitalito</t>
        </r>
      </text>
    </comment>
    <comment ref="F156" authorId="0" shapeId="0">
      <text>
        <r>
          <rPr>
            <b/>
            <sz val="9"/>
            <color indexed="81"/>
            <rFont val="Tahoma"/>
            <family val="2"/>
          </rPr>
          <t>User:</t>
        </r>
        <r>
          <rPr>
            <sz val="9"/>
            <color indexed="81"/>
            <rFont val="Tahoma"/>
            <family val="2"/>
          </rPr>
          <t xml:space="preserve">
Sede La Plata…aún no tiene recursos</t>
        </r>
      </text>
    </comment>
    <comment ref="I156" authorId="0" shapeId="0">
      <text>
        <r>
          <rPr>
            <b/>
            <sz val="9"/>
            <color indexed="81"/>
            <rFont val="Tahoma"/>
            <family val="2"/>
          </rPr>
          <t>User:</t>
        </r>
        <r>
          <rPr>
            <sz val="9"/>
            <color indexed="81"/>
            <rFont val="Tahoma"/>
            <family val="2"/>
          </rPr>
          <t xml:space="preserve">
Ingreso primer desembloso crédito $2,137,500,000</t>
        </r>
      </text>
    </comment>
    <comment ref="J156" authorId="0" shapeId="0">
      <text>
        <r>
          <rPr>
            <b/>
            <sz val="9"/>
            <color indexed="81"/>
            <rFont val="Tahoma"/>
            <family val="2"/>
          </rPr>
          <t>User:</t>
        </r>
        <r>
          <rPr>
            <sz val="9"/>
            <color indexed="81"/>
            <rFont val="Tahoma"/>
            <family val="2"/>
          </rPr>
          <t xml:space="preserve">
El presupuesto año 2024 sin sede Pitalito por el 8% de incremento + segundo desembolso crédito sede Pitalito $2,362,500,000</t>
        </r>
      </text>
    </comment>
    <comment ref="J158" authorId="0" shapeId="0">
      <text>
        <r>
          <rPr>
            <b/>
            <sz val="9"/>
            <color indexed="81"/>
            <rFont val="Tahoma"/>
            <family val="2"/>
          </rPr>
          <t>User:</t>
        </r>
        <r>
          <rPr>
            <sz val="9"/>
            <color indexed="81"/>
            <rFont val="Tahoma"/>
            <family val="2"/>
          </rPr>
          <t xml:space="preserve">
los 50 millones adicionales son para digitalización
84 millones del internet</t>
        </r>
      </text>
    </comment>
    <comment ref="I160" authorId="0" shapeId="0">
      <text>
        <r>
          <rPr>
            <b/>
            <sz val="11"/>
            <color indexed="81"/>
            <rFont val="Tahoma"/>
            <family val="2"/>
          </rPr>
          <t>User:</t>
        </r>
        <r>
          <rPr>
            <sz val="11"/>
            <color indexed="81"/>
            <rFont val="Tahoma"/>
            <family val="2"/>
          </rPr>
          <t xml:space="preserve">
Se adiciona personal de apoyo, Tablas de valoración documental , apoyo territoriales del indicador: Porcentaje de actualización e Implementacion del programa de gestión documental  
+ el personal de apoyo del indicador: Porcentaje de la Política de servicio al ciudadano implementada</t>
        </r>
      </text>
    </comment>
    <comment ref="K160" authorId="0" shapeId="0">
      <text>
        <r>
          <rPr>
            <b/>
            <sz val="9"/>
            <color indexed="81"/>
            <rFont val="Tahoma"/>
            <family val="2"/>
          </rPr>
          <t>User:</t>
        </r>
        <r>
          <rPr>
            <sz val="9"/>
            <color indexed="81"/>
            <rFont val="Tahoma"/>
            <family val="2"/>
          </rPr>
          <t xml:space="preserve">
Se adicionan $17.017.127 que nos faltaba para cumplir el ppto </t>
        </r>
      </text>
    </comment>
    <comment ref="J161" authorId="0" shapeId="0">
      <text>
        <r>
          <rPr>
            <b/>
            <sz val="9"/>
            <color indexed="81"/>
            <rFont val="Tahoma"/>
            <family val="2"/>
          </rPr>
          <t>User:</t>
        </r>
        <r>
          <rPr>
            <sz val="9"/>
            <color indexed="81"/>
            <rFont val="Tahoma"/>
            <family val="2"/>
          </rPr>
          <t xml:space="preserve">
preguntar si la eficiente energética se va a continuar? Se adiciona estantes archivo</t>
        </r>
      </text>
    </comment>
    <comment ref="I167" authorId="0" shapeId="0">
      <text>
        <r>
          <rPr>
            <b/>
            <sz val="10"/>
            <color indexed="81"/>
            <rFont val="Tahoma"/>
            <family val="2"/>
          </rPr>
          <t>User:</t>
        </r>
        <r>
          <rPr>
            <sz val="10"/>
            <color indexed="81"/>
            <rFont val="Tahoma"/>
            <family val="2"/>
          </rPr>
          <t xml:space="preserve">
Valor del inidcador: Porcentaje de solicitudes de licencias y permisos ambientales resueltos.</t>
        </r>
      </text>
    </comment>
    <comment ref="I169" authorId="0" shapeId="0">
      <text>
        <r>
          <rPr>
            <b/>
            <sz val="9"/>
            <color indexed="81"/>
            <rFont val="Tahoma"/>
            <family val="2"/>
          </rPr>
          <t>User:</t>
        </r>
        <r>
          <rPr>
            <sz val="9"/>
            <color indexed="81"/>
            <rFont val="Tahoma"/>
            <family val="2"/>
          </rPr>
          <t xml:space="preserve">
Platas del POAI p320302 Seguimiento PCA y PCAS  + IM22 del 320103
Platas de:
Proyecto 320103: Indicado: Porcentaje de autorizaciones ambientales con seguimiento (IM 22) $799.201.865 + Proyecto 320302: Indicador: Porcentaje de Programas de Uso Eficiente y Ahorro del Agua (PUEAA) con seguimiento (IM 5) $4.302.943+ Seguimiento a PCA y PCAS incluidos en el indicador: Implementación del Programa Institucional Regional de monitoreo del agua - PIRMA en aguas superficial y subterráneas $491.625.303</t>
        </r>
      </text>
    </comment>
    <comment ref="I171" authorId="0" shapeId="0">
      <text>
        <r>
          <rPr>
            <b/>
            <sz val="9"/>
            <color indexed="81"/>
            <rFont val="Tahoma"/>
            <family val="2"/>
          </rPr>
          <t>User:</t>
        </r>
        <r>
          <rPr>
            <sz val="9"/>
            <color indexed="81"/>
            <rFont val="Tahoma"/>
            <family val="2"/>
          </rPr>
          <t xml:space="preserve">
Indicador: Porcentaje de procesos sancionatorios resueltos (IM 23).
Se sacaron 12 millones para red de calidad del aire</t>
        </r>
      </text>
    </comment>
    <comment ref="I175" authorId="0" shapeId="0">
      <text>
        <r>
          <rPr>
            <b/>
            <sz val="10"/>
            <color indexed="81"/>
            <rFont val="Tahoma"/>
            <family val="2"/>
          </rPr>
          <t>User:</t>
        </r>
        <r>
          <rPr>
            <sz val="10"/>
            <color indexed="81"/>
            <rFont val="Tahoma"/>
            <family val="2"/>
          </rPr>
          <t xml:space="preserve">
Casi todo el valor del indicador Estrategia para la preservación, conservación, rehabilitación y/o reintroducción, control y seguimiento a la fauna silvestre formulada e implementada $462.958.872 - Profesional RECAM - Fauna porque se pone en Mantener y fortalecer la estrategia para disminuir el tráfico y uso ilegal de la diversidad biológica (tala, la caza furtiva, el tráfico y tenencia de especies silvestres de flora y fauna, entre otros). </t>
        </r>
      </text>
    </comment>
    <comment ref="I177" authorId="0" shapeId="0">
      <text>
        <r>
          <rPr>
            <b/>
            <sz val="9"/>
            <color indexed="81"/>
            <rFont val="Tahoma"/>
            <family val="2"/>
          </rPr>
          <t>Ing. Juan Carlos envio jefe edicney correo para consideración - Propuesta Ingeniero:
35.000.000</t>
        </r>
      </text>
    </comment>
    <comment ref="I178" authorId="0" shapeId="0">
      <text>
        <r>
          <rPr>
            <b/>
            <sz val="9"/>
            <color indexed="81"/>
            <rFont val="Tahoma"/>
            <family val="2"/>
          </rPr>
          <t>User:</t>
        </r>
        <r>
          <rPr>
            <sz val="9"/>
            <color indexed="81"/>
            <rFont val="Tahoma"/>
            <family val="2"/>
          </rPr>
          <t xml:space="preserve">
</t>
        </r>
        <r>
          <rPr>
            <b/>
            <sz val="9"/>
            <color indexed="81"/>
            <rFont val="Tahoma"/>
            <family val="2"/>
          </rPr>
          <t xml:space="preserve">Indicador: </t>
        </r>
        <r>
          <rPr>
            <sz val="9"/>
            <color indexed="81"/>
            <rFont val="Tahoma"/>
            <family val="2"/>
          </rPr>
          <t>Porcentaje de ejecución de acciones en gestión ambiental urbana (IM 19)
A</t>
        </r>
        <r>
          <rPr>
            <b/>
            <sz val="9"/>
            <color indexed="81"/>
            <rFont val="Tahoma"/>
            <family val="2"/>
          </rPr>
          <t>ctividad</t>
        </r>
        <r>
          <rPr>
            <sz val="9"/>
            <color indexed="81"/>
            <rFont val="Tahoma"/>
            <family val="2"/>
          </rPr>
          <t xml:space="preserve">: Implementación de estrategias urbanas para adaptación y mitigación de  los efectos del cambio climático
</t>
        </r>
        <r>
          <rPr>
            <b/>
            <sz val="9"/>
            <color indexed="81"/>
            <rFont val="Tahoma"/>
            <family val="2"/>
          </rPr>
          <t>Acción</t>
        </r>
        <r>
          <rPr>
            <sz val="9"/>
            <color indexed="81"/>
            <rFont val="Tahoma"/>
            <family val="2"/>
          </rPr>
          <t>: Profesional de apoyo forestal PSU - APOYO SEGUIMIENTO PINES - FORESTAL</t>
        </r>
      </text>
    </comment>
    <comment ref="I179" authorId="0" shapeId="0">
      <text>
        <r>
          <rPr>
            <b/>
            <sz val="9"/>
            <color indexed="81"/>
            <rFont val="Tahoma"/>
            <family val="2"/>
          </rPr>
          <t>User:</t>
        </r>
        <r>
          <rPr>
            <sz val="9"/>
            <color indexed="81"/>
            <rFont val="Tahoma"/>
            <family val="2"/>
          </rPr>
          <t xml:space="preserve">
User:
</t>
        </r>
        <r>
          <rPr>
            <b/>
            <sz val="9"/>
            <color indexed="81"/>
            <rFont val="Tahoma"/>
            <family val="2"/>
          </rPr>
          <t>Indicador:</t>
        </r>
        <r>
          <rPr>
            <sz val="9"/>
            <color indexed="81"/>
            <rFont val="Tahoma"/>
            <family val="2"/>
          </rPr>
          <t xml:space="preserve"> Porcentaje de ejecución de acciones en gestión ambiental urbana (IM 19)
</t>
        </r>
        <r>
          <rPr>
            <b/>
            <sz val="9"/>
            <color indexed="81"/>
            <rFont val="Tahoma"/>
            <family val="2"/>
          </rPr>
          <t xml:space="preserve">Actividad: </t>
        </r>
        <r>
          <rPr>
            <sz val="9"/>
            <color indexed="81"/>
            <rFont val="Tahoma"/>
            <family val="2"/>
          </rPr>
          <t xml:space="preserve">Implementación de estrategias urbanas para adaptación y mitigación de  los efectos del cambio climático
</t>
        </r>
        <r>
          <rPr>
            <b/>
            <sz val="9"/>
            <color indexed="81"/>
            <rFont val="Tahoma"/>
            <family val="2"/>
          </rPr>
          <t>Acción</t>
        </r>
        <r>
          <rPr>
            <sz val="9"/>
            <color indexed="81"/>
            <rFont val="Tahoma"/>
            <family val="2"/>
          </rPr>
          <t>: Profesional seguimiento</t>
        </r>
      </text>
    </comment>
    <comment ref="K181" authorId="0" shapeId="0">
      <text>
        <r>
          <rPr>
            <b/>
            <sz val="9"/>
            <color indexed="81"/>
            <rFont val="Tahoma"/>
            <family val="2"/>
          </rPr>
          <t>User:</t>
        </r>
        <r>
          <rPr>
            <sz val="9"/>
            <color indexed="81"/>
            <rFont val="Tahoma"/>
            <family val="2"/>
          </rPr>
          <t xml:space="preserve">
Pitalito 110
Neiva 140</t>
        </r>
      </text>
    </comment>
  </commentList>
</comments>
</file>

<file path=xl/comments4.xml><?xml version="1.0" encoding="utf-8"?>
<comments xmlns="http://schemas.openxmlformats.org/spreadsheetml/2006/main">
  <authors>
    <author>User</author>
    <author>tc={A2DBE99D-7D2F-45CE-917B-0B13362BEF71}</author>
  </authors>
  <commentList>
    <comment ref="C10" authorId="0" shapeId="0">
      <text>
        <r>
          <rPr>
            <b/>
            <sz val="9"/>
            <color indexed="81"/>
            <rFont val="Tahoma"/>
            <family val="2"/>
          </rPr>
          <t>User:</t>
        </r>
        <r>
          <rPr>
            <sz val="9"/>
            <color indexed="81"/>
            <rFont val="Tahoma"/>
            <family val="2"/>
          </rPr>
          <t xml:space="preserve">
CTO DE MAICOL</t>
        </r>
      </text>
    </comment>
    <comment ref="C11" authorId="0" shapeId="0">
      <text>
        <r>
          <rPr>
            <b/>
            <sz val="9"/>
            <color indexed="81"/>
            <rFont val="Tahoma"/>
            <family val="2"/>
          </rPr>
          <t>User:</t>
        </r>
        <r>
          <rPr>
            <sz val="9"/>
            <color indexed="81"/>
            <rFont val="Tahoma"/>
            <family val="2"/>
          </rPr>
          <t xml:space="preserve">
SALDO CTO DE MAICOL</t>
        </r>
      </text>
    </comment>
    <comment ref="O15" authorId="0" shapeId="0">
      <text>
        <r>
          <rPr>
            <b/>
            <sz val="9"/>
            <color indexed="81"/>
            <rFont val="Tahoma"/>
            <family val="2"/>
          </rPr>
          <t>User:</t>
        </r>
        <r>
          <rPr>
            <sz val="9"/>
            <color indexed="81"/>
            <rFont val="Tahoma"/>
            <family val="2"/>
          </rPr>
          <t xml:space="preserve">
PREGUNTAR SI ESTÁ CONTRATADO</t>
        </r>
      </text>
    </comment>
    <comment ref="O16" authorId="0" shapeId="0">
      <text>
        <r>
          <rPr>
            <b/>
            <sz val="9"/>
            <color indexed="81"/>
            <rFont val="Tahoma"/>
            <family val="2"/>
          </rPr>
          <t>User:</t>
        </r>
        <r>
          <rPr>
            <sz val="9"/>
            <color indexed="81"/>
            <rFont val="Tahoma"/>
            <family val="2"/>
          </rPr>
          <t xml:space="preserve">
PREGUNTAR SI ESTÁ CONTRATADO</t>
        </r>
      </text>
    </comment>
    <comment ref="I17"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traslada para proyecto 14 Compra de equipos</t>
        </r>
      </text>
    </comment>
    <comment ref="O17" authorId="0" shapeId="0">
      <text>
        <r>
          <rPr>
            <b/>
            <sz val="9"/>
            <color indexed="81"/>
            <rFont val="Tahoma"/>
            <family val="2"/>
          </rPr>
          <t>User:</t>
        </r>
        <r>
          <rPr>
            <sz val="9"/>
            <color indexed="81"/>
            <rFont val="Tahoma"/>
            <family val="2"/>
          </rPr>
          <t xml:space="preserve">
PREGUNTAR SI ESTÁ CONTRATADO</t>
        </r>
      </text>
    </comment>
  </commentList>
</comments>
</file>

<file path=xl/comments5.xml><?xml version="1.0" encoding="utf-8"?>
<comments xmlns="http://schemas.openxmlformats.org/spreadsheetml/2006/main">
  <authors>
    <author>User</author>
  </authors>
  <commentList>
    <comment ref="C10" authorId="0" shapeId="0">
      <text>
        <r>
          <rPr>
            <b/>
            <sz val="9"/>
            <color indexed="81"/>
            <rFont val="Tahoma"/>
            <family val="2"/>
          </rPr>
          <t>User:</t>
        </r>
        <r>
          <rPr>
            <sz val="9"/>
            <color indexed="81"/>
            <rFont val="Tahoma"/>
            <family val="2"/>
          </rPr>
          <t xml:space="preserve">
Apoyo técnico a los empresarios vinculados al proyecto de negocios verdes</t>
        </r>
      </text>
    </comment>
    <comment ref="C18" authorId="0" shapeId="0">
      <text>
        <r>
          <rPr>
            <b/>
            <sz val="9"/>
            <color indexed="81"/>
            <rFont val="Tahoma"/>
            <family val="2"/>
          </rPr>
          <t>User:</t>
        </r>
        <r>
          <rPr>
            <sz val="9"/>
            <color indexed="81"/>
            <rFont val="Tahoma"/>
            <family val="2"/>
          </rPr>
          <t xml:space="preserve">
ACTIVIDAD: Apoyo investigación productos de la biodiversidad, potenciales para Negocios Verdes</t>
        </r>
      </text>
    </comment>
    <comment ref="C44" authorId="0" shapeId="0">
      <text>
        <r>
          <rPr>
            <b/>
            <sz val="9"/>
            <color indexed="81"/>
            <rFont val="Tahoma"/>
            <family val="2"/>
          </rPr>
          <t>User:</t>
        </r>
        <r>
          <rPr>
            <sz val="9"/>
            <color indexed="81"/>
            <rFont val="Tahoma"/>
            <family val="2"/>
          </rPr>
          <t xml:space="preserve">
ACTIVIDAD: Proyecto SGR Polinización con Meliponas (recursos propios)</t>
        </r>
      </text>
    </comment>
    <comment ref="C45" authorId="0" shapeId="0">
      <text>
        <r>
          <rPr>
            <b/>
            <sz val="9"/>
            <color indexed="81"/>
            <rFont val="Tahoma"/>
            <family val="2"/>
          </rPr>
          <t>User:</t>
        </r>
        <r>
          <rPr>
            <sz val="9"/>
            <color indexed="81"/>
            <rFont val="Tahoma"/>
            <family val="2"/>
          </rPr>
          <t xml:space="preserve">
ACTIVIDAD: Proyecto SGR Polinización con Meliponas (recursos propios)</t>
        </r>
      </text>
    </comment>
  </commentList>
</comments>
</file>

<file path=xl/comments6.xml><?xml version="1.0" encoding="utf-8"?>
<comments xmlns="http://schemas.openxmlformats.org/spreadsheetml/2006/main">
  <authors>
    <author>User</author>
    <author>Leidy Lorena Montes Cabrera</author>
  </authors>
  <commentList>
    <comment ref="C14" authorId="0" shapeId="0">
      <text>
        <r>
          <rPr>
            <b/>
            <sz val="9"/>
            <color indexed="81"/>
            <rFont val="Tahoma"/>
            <family val="2"/>
          </rPr>
          <t>User:</t>
        </r>
        <r>
          <rPr>
            <sz val="9"/>
            <color indexed="81"/>
            <rFont val="Tahoma"/>
            <family val="2"/>
          </rPr>
          <t xml:space="preserve">
Se estableció de acuerdo a las acciones definidas en la convención de las Naciones Unidas para l lucha contra la desertificación</t>
        </r>
      </text>
    </comment>
    <comment ref="D19" authorId="0" shapeId="0">
      <text>
        <r>
          <rPr>
            <b/>
            <sz val="9"/>
            <color indexed="81"/>
            <rFont val="Tahoma"/>
            <family val="2"/>
          </rPr>
          <t>User:</t>
        </r>
        <r>
          <rPr>
            <sz val="9"/>
            <color indexed="81"/>
            <rFont val="Tahoma"/>
            <family val="2"/>
          </rPr>
          <t xml:space="preserve">
Macizo Colombiano
CTAA</t>
        </r>
      </text>
    </comment>
    <comment ref="L22" authorId="1" shapeId="0">
      <text>
        <r>
          <rPr>
            <sz val="11"/>
            <color indexed="81"/>
            <rFont val="Tahoma"/>
            <family val="2"/>
          </rPr>
          <t>ADICION PRESUPUESTAL SEGUN RESOLUCION NO. 0042-10-01-24 -EXCEDENTE CONVENIO NO. 062-22 GOBERNACION DEL HUILA</t>
        </r>
      </text>
    </comment>
  </commentList>
</comments>
</file>

<file path=xl/comments7.xml><?xml version="1.0" encoding="utf-8"?>
<comments xmlns="http://schemas.openxmlformats.org/spreadsheetml/2006/main">
  <authors>
    <author>User</author>
    <author>Leidy Lorena Montes Cabrera</author>
  </authors>
  <commentList>
    <comment ref="C87"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Implementación de proyectos y actividades en los ecosistemas para restauración, rehabilitación y reforestación y/o ejecución de PMA adoptados de ecosistemas estrategicos de humedales </t>
        </r>
      </text>
    </comment>
    <comment ref="C88"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Implementación de proyectos y actividades en los ecosistemas para restauración, rehabilitación y reforestación y/o ejecución de PMA adoptados de ecosistemas estrategicos de humedales </t>
        </r>
      </text>
    </comment>
    <comment ref="C89"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Implementación de proyectos y actividades en los ecosistemas para restauración, rehabilitación y reforestación y/o ejecución de PMA adoptados de ecosistemas estrategicos de humedales </t>
        </r>
      </text>
    </comment>
    <comment ref="C91"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Asesoría, Asistencia Técnica y capacitación Ambiental para la adminsitración, promoción y gestión en los ecosistemas para restauración, rehabilitación y reforestación</t>
        </r>
      </text>
    </comment>
    <comment ref="C92" authorId="0" shapeId="0">
      <text>
        <r>
          <rPr>
            <b/>
            <sz val="9"/>
            <color indexed="81"/>
            <rFont val="Tahoma"/>
            <family val="2"/>
          </rPr>
          <t>User:</t>
        </r>
        <r>
          <rPr>
            <sz val="9"/>
            <color indexed="81"/>
            <rFont val="Tahoma"/>
            <family val="2"/>
          </rPr>
          <t xml:space="preserve">
</t>
        </r>
      </text>
    </comment>
    <comment ref="C93"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Implementación de proyectos y actividades en los ecosistemas para restauración, rehabilitación y reforestación y/o ejecución de PMA adoptados de ecosistemas estrategicos de humedales </t>
        </r>
      </text>
    </comment>
    <comment ref="C96"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Asesoría, Asistencia Técnica y capacitación Ambiental para la adminsitración, promoción y gestión en los ecosistemas para restauración, rehabilitación y reforestación</t>
        </r>
      </text>
    </comment>
    <comment ref="C97"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Implementación de proyectos y actividades en los ecosistemas para restauración, rehabilitación y reforestación y/o ejecución de PMA adoptados de ecosistemas estrategicos de humedales </t>
        </r>
      </text>
    </comment>
    <comment ref="C98"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Asesoría, Asistencia Técnica y capacitación Ambiental para la adminsitración, promoción y gestión en los ecosistemas para restauración, rehabilitación y reforestación</t>
        </r>
      </text>
    </comment>
    <comment ref="C100"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Asesoría, Asistencia Técnica y capacitación Ambiental para la adminsitración, promoción y gestión en los ecosistemas para restauración, rehabilitación y reforestación</t>
        </r>
      </text>
    </comment>
    <comment ref="C101"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Asesoría, Asistencia Técnica y capacitación Ambiental para la adminsitración, promoción y gestión en los ecosistemas para restauración, rehabilitación y reforestación</t>
        </r>
      </text>
    </comment>
    <comment ref="C102"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Implementación de proyectos y actividades en los ecosistemas para restauración, rehabilitación y reforestación y/o ejecución de PMA adoptados de ecosistemas estrategicos de humedales </t>
        </r>
      </text>
    </comment>
    <comment ref="C103" authorId="0" shapeId="0">
      <text>
        <r>
          <rPr>
            <b/>
            <sz val="9"/>
            <color indexed="81"/>
            <rFont val="Tahoma"/>
            <family val="2"/>
          </rPr>
          <t>User:</t>
        </r>
        <r>
          <rPr>
            <sz val="9"/>
            <color indexed="81"/>
            <rFont val="Tahoma"/>
            <family val="2"/>
          </rPr>
          <t xml:space="preserve">
Indicador: Porcentaje de áreas de ecosistemas en restauración, rehabilitación y reforestación (IM 15)
ACTIVIDAD: Asesoría, Asistencia Técnica y capacitación Ambiental para la adminsitración, promoción y gestión en los ecosistemas para restauración, rehabilitación y reforestación</t>
        </r>
      </text>
    </comment>
    <comment ref="Q128" authorId="1" shapeId="0">
      <text>
        <r>
          <rPr>
            <sz val="11"/>
            <color indexed="81"/>
            <rFont val="Tahoma"/>
            <family val="2"/>
          </rPr>
          <t>ADICION PRESUPUESTAL SEGUN RESOLUCION NO. 0042-10-01-24 -EXCEDENTE CONVENIO NO. 062-22 GOBERNACION DEL HUILA</t>
        </r>
      </text>
    </comment>
  </commentList>
</comments>
</file>

<file path=xl/comments8.xml><?xml version="1.0" encoding="utf-8"?>
<comments xmlns="http://schemas.openxmlformats.org/spreadsheetml/2006/main">
  <authors>
    <author>User</author>
  </authors>
  <commentList>
    <comment ref="D14" authorId="0" shapeId="0">
      <text>
        <r>
          <rPr>
            <b/>
            <sz val="9"/>
            <color indexed="81"/>
            <rFont val="Tahoma"/>
            <family val="2"/>
          </rPr>
          <t>User:</t>
        </r>
        <r>
          <rPr>
            <sz val="9"/>
            <color indexed="81"/>
            <rFont val="Tahoma"/>
            <family val="2"/>
          </rPr>
          <t xml:space="preserve">
Caracol Africano</t>
        </r>
      </text>
    </comment>
  </commentList>
</comments>
</file>

<file path=xl/comments9.xml><?xml version="1.0" encoding="utf-8"?>
<comments xmlns="http://schemas.openxmlformats.org/spreadsheetml/2006/main">
  <authors>
    <author>User</author>
    <author>tc={0F0F58DE-7A1C-4B70-BE30-79D784CE6D10}</author>
  </authors>
  <commentList>
    <comment ref="C12" authorId="0" shapeId="0">
      <text>
        <r>
          <rPr>
            <b/>
            <sz val="9"/>
            <color indexed="81"/>
            <rFont val="Tahoma"/>
            <family val="2"/>
          </rPr>
          <t>User:</t>
        </r>
        <r>
          <rPr>
            <sz val="9"/>
            <color indexed="81"/>
            <rFont val="Tahoma"/>
            <family val="2"/>
          </rPr>
          <t xml:space="preserve">
User:
15. Porcentaje de especies amenazadas con medidas de conservación y manejo en ejecución.
ACTIVIDAD: Asesoría y Asistencia Técnica para el manejo de especies amenazadas</t>
        </r>
      </text>
    </comment>
    <comment ref="C14" authorId="0" shapeId="0">
      <text>
        <r>
          <rPr>
            <b/>
            <sz val="9"/>
            <color indexed="81"/>
            <rFont val="Tahoma"/>
            <family val="2"/>
          </rPr>
          <t>User:</t>
        </r>
        <r>
          <rPr>
            <sz val="9"/>
            <color indexed="81"/>
            <rFont val="Tahoma"/>
            <family val="2"/>
          </rPr>
          <t xml:space="preserve">
User:
15. Porcentaje de especies amenazadas con medidas de conservación y manejo en ejecución.
ACTIVIDAD: Asesoría y Asistencia Técnica para el manejo de especies amenazadas</t>
        </r>
      </text>
    </comment>
    <comment ref="C15" authorId="0" shapeId="0">
      <text>
        <r>
          <rPr>
            <b/>
            <sz val="9"/>
            <color indexed="81"/>
            <rFont val="Tahoma"/>
            <family val="2"/>
          </rPr>
          <t>User:</t>
        </r>
        <r>
          <rPr>
            <sz val="9"/>
            <color indexed="81"/>
            <rFont val="Tahoma"/>
            <family val="2"/>
          </rPr>
          <t xml:space="preserve">
15. Porcentaje de especies amenazadas con medidas de conservación y manejo en ejecución.
ACTIVIDAD: Asesoría y Asistencia Técnica para el manejo de especies amenazadas</t>
        </r>
      </text>
    </comment>
    <comment ref="C16" authorId="0" shapeId="0">
      <text>
        <r>
          <rPr>
            <b/>
            <sz val="9"/>
            <color indexed="81"/>
            <rFont val="Tahoma"/>
            <family val="2"/>
          </rPr>
          <t>User:</t>
        </r>
        <r>
          <rPr>
            <sz val="9"/>
            <color indexed="81"/>
            <rFont val="Tahoma"/>
            <family val="2"/>
          </rPr>
          <t xml:space="preserve">
User:
15. Porcentaje de especies amenazadas con medidas de conservación y manejo en ejecución.
ACTIVIDAD: Implementación de proyectos y actividades para el manejo de especies amenazadas</t>
        </r>
      </text>
    </comment>
    <comment ref="L16" authorId="0" shapeId="0">
      <text>
        <r>
          <rPr>
            <b/>
            <sz val="9"/>
            <color indexed="81"/>
            <rFont val="Tahoma"/>
            <family val="2"/>
          </rPr>
          <t>User:</t>
        </r>
        <r>
          <rPr>
            <sz val="9"/>
            <color indexed="81"/>
            <rFont val="Tahoma"/>
            <family val="2"/>
          </rPr>
          <t xml:space="preserve">
COP 16 Y 15000000 PARA LA LOGISTICA DEL STAND</t>
        </r>
      </text>
    </comment>
    <comment ref="C17" authorId="0" shapeId="0">
      <text>
        <r>
          <rPr>
            <b/>
            <sz val="9"/>
            <color indexed="81"/>
            <rFont val="Tahoma"/>
            <family val="2"/>
          </rPr>
          <t>User:</t>
        </r>
        <r>
          <rPr>
            <sz val="9"/>
            <color indexed="81"/>
            <rFont val="Tahoma"/>
            <family val="2"/>
          </rPr>
          <t xml:space="preserve">
User:
User:
15. Porcentaje de especies amenazadas con medidas de conservación y manejo en ejecución.
ACTIVIDAD: Implementación de proyectos y actividades para el manejo de especies amenazadas</t>
        </r>
      </text>
    </comment>
    <comment ref="C18" authorId="0" shapeId="0">
      <text>
        <r>
          <rPr>
            <b/>
            <sz val="9"/>
            <color indexed="81"/>
            <rFont val="Tahoma"/>
            <family val="2"/>
          </rPr>
          <t>User:</t>
        </r>
        <r>
          <rPr>
            <sz val="9"/>
            <color indexed="81"/>
            <rFont val="Tahoma"/>
            <family val="2"/>
          </rPr>
          <t xml:space="preserve">
User:
User:
15. Porcentaje de especies amenazadas con medidas de conservación y manejo en ejecución.
ACTIVIDAD: Implementación de proyectos y actividades para el manejo de especies amenazadas</t>
        </r>
      </text>
    </comment>
    <comment ref="J18"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sacan 10000000 para interventoria hornillas P12</t>
        </r>
      </text>
    </comment>
    <comment ref="C19" authorId="0" shapeId="0">
      <text>
        <r>
          <rPr>
            <b/>
            <sz val="9"/>
            <color indexed="81"/>
            <rFont val="Tahoma"/>
            <family val="2"/>
          </rPr>
          <t>User:</t>
        </r>
        <r>
          <rPr>
            <sz val="9"/>
            <color indexed="81"/>
            <rFont val="Tahoma"/>
            <family val="2"/>
          </rPr>
          <t xml:space="preserve">
User:
User:
15. Porcentaje de especies amenazadas con medidas de conservación y manejo en ejecución.
ACTIVIDAD: Implementación de proyectos y actividades para el manejo de especies amenazadas</t>
        </r>
      </text>
    </comment>
    <comment ref="C20" authorId="0" shapeId="0">
      <text>
        <r>
          <rPr>
            <b/>
            <sz val="9"/>
            <color indexed="81"/>
            <rFont val="Tahoma"/>
            <family val="2"/>
          </rPr>
          <t>User:</t>
        </r>
        <r>
          <rPr>
            <sz val="9"/>
            <color indexed="81"/>
            <rFont val="Tahoma"/>
            <family val="2"/>
          </rPr>
          <t xml:space="preserve">
User:
User:
15. Porcentaje de especies amenazadas con medidas de conservación y manejo en ejecución.
ACTIVIDAD: Implementación de proyectos y actividades para el manejo de especies amenazadas</t>
        </r>
      </text>
    </comment>
    <comment ref="C21" authorId="0" shapeId="0">
      <text>
        <r>
          <rPr>
            <b/>
            <sz val="9"/>
            <color indexed="81"/>
            <rFont val="Tahoma"/>
            <family val="2"/>
          </rPr>
          <t>User:</t>
        </r>
        <r>
          <rPr>
            <sz val="9"/>
            <color indexed="81"/>
            <rFont val="Tahoma"/>
            <family val="2"/>
          </rPr>
          <t xml:space="preserve">
User:
User:
15. Porcentaje de especies amenazadas con medidas de conservación y manejo en ejecución.
ACTIVIDAD: Implementación de proyectos y actividades para el manejo de especies amenazadas</t>
        </r>
      </text>
    </comment>
    <comment ref="C22" authorId="0" shapeId="0">
      <text>
        <r>
          <rPr>
            <b/>
            <sz val="9"/>
            <color indexed="81"/>
            <rFont val="Tahoma"/>
            <family val="2"/>
          </rPr>
          <t>User:</t>
        </r>
        <r>
          <rPr>
            <sz val="9"/>
            <color indexed="81"/>
            <rFont val="Tahoma"/>
            <family val="2"/>
          </rPr>
          <t xml:space="preserve">
User:
User:
15. Porcentaje de especies amenazadas con medidas de conservación y manejo en ejecución.
ACTIVIDAD: Implementación de proyectos y actividades para el manejo de especies amenazadas</t>
        </r>
      </text>
    </comment>
    <comment ref="C27" authorId="0" shapeId="0">
      <text>
        <r>
          <rPr>
            <b/>
            <sz val="9"/>
            <color indexed="81"/>
            <rFont val="Tahoma"/>
            <family val="2"/>
          </rPr>
          <t>User:</t>
        </r>
        <r>
          <rPr>
            <sz val="9"/>
            <color indexed="81"/>
            <rFont val="Tahoma"/>
            <family val="2"/>
          </rPr>
          <t xml:space="preserve">
INIDCADOR: No.de áreas estratégicas con desarrollo de actividades de investigacion-monitoreo y estudios de caracterización de la biodiversidad con participación comunitaria
ACTIVIDAD: Elaboración de estudios de caracterización biológica participativa en areas estrategicas</t>
        </r>
      </text>
    </comment>
    <comment ref="C28" authorId="0" shapeId="0">
      <text>
        <r>
          <rPr>
            <b/>
            <sz val="9"/>
            <color indexed="81"/>
            <rFont val="Tahoma"/>
            <family val="2"/>
          </rPr>
          <t>User:</t>
        </r>
        <r>
          <rPr>
            <sz val="9"/>
            <color indexed="81"/>
            <rFont val="Tahoma"/>
            <family val="2"/>
          </rPr>
          <t xml:space="preserve">
User:
INIDCADOR: No.de áreas estratégicas con desarrollo de actividades de investigacion-monitoreo y estudios de caracterización de la biodiversidad con participación comunitaria
ACTIVIDAD: Elaboración de estudios de caracterización biológica participativa en areas estrategicas</t>
        </r>
      </text>
    </comment>
    <comment ref="C29" authorId="0" shapeId="0">
      <text>
        <r>
          <rPr>
            <b/>
            <sz val="9"/>
            <color indexed="81"/>
            <rFont val="Tahoma"/>
            <family val="2"/>
          </rPr>
          <t>User:</t>
        </r>
        <r>
          <rPr>
            <sz val="9"/>
            <color indexed="81"/>
            <rFont val="Tahoma"/>
            <family val="2"/>
          </rPr>
          <t xml:space="preserve">
User:
INIDCADOR: No.de áreas estratégicas con desarrollo de actividades de investigacion-monitoreo y estudios de caracterización de la biodiversidad con participación comunitaria
ACTIVIDAD: Elaboración de estudios de caracterización biológica participativa en areas estrategicas</t>
        </r>
      </text>
    </comment>
    <comment ref="C30" authorId="0" shapeId="0">
      <text>
        <r>
          <rPr>
            <b/>
            <sz val="9"/>
            <color indexed="81"/>
            <rFont val="Tahoma"/>
            <family val="2"/>
          </rPr>
          <t>User:</t>
        </r>
        <r>
          <rPr>
            <sz val="9"/>
            <color indexed="81"/>
            <rFont val="Tahoma"/>
            <family val="2"/>
          </rPr>
          <t xml:space="preserve">
User:
INIDCADOR: No.de áreas estratégicas con desarrollo de actividades de investigacion-monitoreo y estudios de caracterización de la biodiversidad con participación comunitaria
ACTIVIDAD: Elaboración de estudios de caracterización biológica participativa en areas estrategicas</t>
        </r>
      </text>
    </comment>
    <comment ref="C31" authorId="0" shapeId="0">
      <text>
        <r>
          <rPr>
            <b/>
            <sz val="9"/>
            <color indexed="81"/>
            <rFont val="Tahoma"/>
            <family val="2"/>
          </rPr>
          <t>User:</t>
        </r>
        <r>
          <rPr>
            <sz val="9"/>
            <color indexed="81"/>
            <rFont val="Tahoma"/>
            <family val="2"/>
          </rPr>
          <t xml:space="preserve">
User:
INIDCADOR: No.de áreas estratégicas con desarrollo de actividades de investigacion-monitoreo y estudios de caracterización de la biodiversidad con participación comunitaria
ACTIVIDAD: Elaboración de estudios de caracterización biológica participativa en areas estrategicas</t>
        </r>
      </text>
    </comment>
    <comment ref="C32" authorId="0" shapeId="0">
      <text>
        <r>
          <rPr>
            <b/>
            <sz val="9"/>
            <color indexed="81"/>
            <rFont val="Tahoma"/>
            <family val="2"/>
          </rPr>
          <t>User:</t>
        </r>
        <r>
          <rPr>
            <sz val="9"/>
            <color indexed="81"/>
            <rFont val="Tahoma"/>
            <family val="2"/>
          </rPr>
          <t xml:space="preserve">
User:
INIDCADOR: No.de áreas estratégicas con desarrollo de actividades de investigacion-monitoreo y estudios de caracterización de la biodiversidad con participación comunitaria
ACTIVIDAD: Elaboración de estudios de caracterización biológica participativa en areas estrategicas</t>
        </r>
      </text>
    </comment>
  </commentList>
</comments>
</file>

<file path=xl/comments10.xml><?xml version="1.0" encoding="utf-8"?>
<comments xmlns="http://schemas.openxmlformats.org/spreadsheetml/2006/main">
  <authors>
    <author>User</author>
  </authors>
  <commentList>
    <comment ref="R12" authorId="0" shapeId="0">
      <text>
        <r>
          <rPr>
            <b/>
            <sz val="9"/>
            <color indexed="81"/>
            <rFont val="Tahoma"/>
            <family val="2"/>
          </rPr>
          <t>User:</t>
        </r>
        <r>
          <rPr>
            <sz val="9"/>
            <color indexed="81"/>
            <rFont val="Tahoma"/>
            <family val="2"/>
          </rPr>
          <t xml:space="preserve">
Jose tiene $307,725,575</t>
        </r>
      </text>
    </comment>
    <comment ref="R20" authorId="0" shapeId="0">
      <text>
        <r>
          <rPr>
            <b/>
            <sz val="9"/>
            <color indexed="81"/>
            <rFont val="Tahoma"/>
            <family val="2"/>
          </rPr>
          <t>User:</t>
        </r>
        <r>
          <rPr>
            <sz val="9"/>
            <color indexed="81"/>
            <rFont val="Tahoma"/>
            <family val="2"/>
          </rPr>
          <t xml:space="preserve">
GONZALEZ GONZALEZ HERIC</t>
        </r>
      </text>
    </comment>
    <comment ref="R21" authorId="0" shapeId="0">
      <text>
        <r>
          <rPr>
            <b/>
            <sz val="9"/>
            <color indexed="81"/>
            <rFont val="Tahoma"/>
            <family val="2"/>
          </rPr>
          <t>User:</t>
        </r>
        <r>
          <rPr>
            <sz val="9"/>
            <color indexed="81"/>
            <rFont val="Tahoma"/>
            <family val="2"/>
          </rPr>
          <t xml:space="preserve">
HERNANDEZ GUTIERREZ OSCAR ANDRES</t>
        </r>
      </text>
    </comment>
    <comment ref="R22" authorId="0" shapeId="0">
      <text>
        <r>
          <rPr>
            <b/>
            <sz val="9"/>
            <color indexed="81"/>
            <rFont val="Tahoma"/>
            <family val="2"/>
          </rPr>
          <t>User:</t>
        </r>
        <r>
          <rPr>
            <sz val="9"/>
            <color indexed="81"/>
            <rFont val="Tahoma"/>
            <family val="2"/>
          </rPr>
          <t xml:space="preserve">
PARRA AGUDELO RODOLFO ALBERTO</t>
        </r>
      </text>
    </comment>
    <comment ref="R23" authorId="0" shapeId="0">
      <text>
        <r>
          <rPr>
            <b/>
            <sz val="9"/>
            <color indexed="81"/>
            <rFont val="Tahoma"/>
            <family val="2"/>
          </rPr>
          <t>User:</t>
        </r>
        <r>
          <rPr>
            <sz val="9"/>
            <color indexed="81"/>
            <rFont val="Tahoma"/>
            <family val="2"/>
          </rPr>
          <t xml:space="preserve">
PERDOMO CHAVARRO ANGELA MARIA</t>
        </r>
      </text>
    </comment>
    <comment ref="R24" authorId="0" shapeId="0">
      <text>
        <r>
          <rPr>
            <b/>
            <sz val="9"/>
            <color indexed="81"/>
            <rFont val="Tahoma"/>
            <family val="2"/>
          </rPr>
          <t>User:</t>
        </r>
        <r>
          <rPr>
            <sz val="9"/>
            <color indexed="81"/>
            <rFont val="Tahoma"/>
            <family val="2"/>
          </rPr>
          <t xml:space="preserve">
ANTURY ESQUIVEL CAROL MILENE 45180903</t>
        </r>
      </text>
    </comment>
    <comment ref="R25" authorId="0" shapeId="0">
      <text>
        <r>
          <rPr>
            <b/>
            <sz val="9"/>
            <color indexed="81"/>
            <rFont val="Tahoma"/>
            <family val="2"/>
          </rPr>
          <t>User:</t>
        </r>
        <r>
          <rPr>
            <sz val="9"/>
            <color indexed="81"/>
            <rFont val="Tahoma"/>
            <family val="2"/>
          </rPr>
          <t xml:space="preserve">
MENDEZ CASTRO KAROL LORENA</t>
        </r>
      </text>
    </comment>
    <comment ref="R26" authorId="0" shapeId="0">
      <text>
        <r>
          <rPr>
            <b/>
            <sz val="9"/>
            <color indexed="81"/>
            <rFont val="Tahoma"/>
            <family val="2"/>
          </rPr>
          <t>User:</t>
        </r>
        <r>
          <rPr>
            <sz val="9"/>
            <color indexed="81"/>
            <rFont val="Tahoma"/>
            <family val="2"/>
          </rPr>
          <t xml:space="preserve">
SILVA MANCHOLA JORGE ELIECER</t>
        </r>
      </text>
    </comment>
    <comment ref="R27" authorId="0" shapeId="0">
      <text>
        <r>
          <rPr>
            <b/>
            <sz val="9"/>
            <color indexed="81"/>
            <rFont val="Tahoma"/>
            <family val="2"/>
          </rPr>
          <t>User:</t>
        </r>
        <r>
          <rPr>
            <sz val="9"/>
            <color indexed="81"/>
            <rFont val="Tahoma"/>
            <family val="2"/>
          </rPr>
          <t xml:space="preserve">
RAMOS TOVAR ANGELA FERNANDA</t>
        </r>
      </text>
    </comment>
    <comment ref="R28" authorId="0" shapeId="0">
      <text>
        <r>
          <rPr>
            <b/>
            <sz val="9"/>
            <color indexed="81"/>
            <rFont val="Tahoma"/>
            <family val="2"/>
          </rPr>
          <t>User:</t>
        </r>
        <r>
          <rPr>
            <sz val="9"/>
            <color indexed="81"/>
            <rFont val="Tahoma"/>
            <family val="2"/>
          </rPr>
          <t xml:space="preserve">
MONCAYO CALDERON OSCAR JAVIER</t>
        </r>
      </text>
    </comment>
    <comment ref="R29" authorId="0" shapeId="0">
      <text>
        <r>
          <rPr>
            <b/>
            <sz val="9"/>
            <color indexed="81"/>
            <rFont val="Tahoma"/>
            <family val="2"/>
          </rPr>
          <t>User:</t>
        </r>
        <r>
          <rPr>
            <sz val="9"/>
            <color indexed="81"/>
            <rFont val="Tahoma"/>
            <family val="2"/>
          </rPr>
          <t xml:space="preserve">
DURAN SALGADO LINA FERNANDA</t>
        </r>
      </text>
    </comment>
    <comment ref="R31" authorId="0" shapeId="0">
      <text>
        <r>
          <rPr>
            <b/>
            <sz val="9"/>
            <color indexed="81"/>
            <rFont val="Tahoma"/>
            <family val="2"/>
          </rPr>
          <t>User:</t>
        </r>
        <r>
          <rPr>
            <sz val="9"/>
            <color indexed="81"/>
            <rFont val="Tahoma"/>
            <family val="2"/>
          </rPr>
          <t xml:space="preserve">
RIOS LOSADA LILIANA ANDREA</t>
        </r>
      </text>
    </comment>
    <comment ref="R32" authorId="0" shapeId="0">
      <text>
        <r>
          <rPr>
            <b/>
            <sz val="9"/>
            <color indexed="81"/>
            <rFont val="Tahoma"/>
            <family val="2"/>
          </rPr>
          <t>User:</t>
        </r>
        <r>
          <rPr>
            <sz val="9"/>
            <color indexed="81"/>
            <rFont val="Tahoma"/>
            <family val="2"/>
          </rPr>
          <t xml:space="preserve">
HERNANDEZ VIDAL MARIA PAULA</t>
        </r>
      </text>
    </comment>
    <comment ref="R33" authorId="0" shapeId="0">
      <text>
        <r>
          <rPr>
            <b/>
            <sz val="9"/>
            <color indexed="81"/>
            <rFont val="Tahoma"/>
            <family val="2"/>
          </rPr>
          <t>User:</t>
        </r>
        <r>
          <rPr>
            <sz val="9"/>
            <color indexed="81"/>
            <rFont val="Tahoma"/>
            <family val="2"/>
          </rPr>
          <t xml:space="preserve">
CDP PRESTAR LOS SERVICIOS PROFESIONALES COMO INGENIERO AMBIENTAL A LA CORPORACIÓN AUTÓNOMA REGIONAL DEL ALTO MAGDALENA, EN EL ACOMPAÑAMIENTO TÉCNICO DE SEGUIMIENTO A CONCESIONES DE AGUA SUPERFICIAL EN CORRIENTES REGLAMENTADAS; CONTRIBUYENDO A LA GESTIÓN INTEGRAL DEL RECURSO HÍDRICO EN EL DEPARTAMENTO DEL HUILA. TENIAMOS 30,120,603 Y EL CDP 25.300.800</t>
        </r>
      </text>
    </comment>
    <comment ref="R36" authorId="0" shapeId="0">
      <text>
        <r>
          <rPr>
            <b/>
            <sz val="9"/>
            <color indexed="81"/>
            <rFont val="Tahoma"/>
            <family val="2"/>
          </rPr>
          <t>User:</t>
        </r>
        <r>
          <rPr>
            <sz val="9"/>
            <color indexed="81"/>
            <rFont val="Tahoma"/>
            <family val="2"/>
          </rPr>
          <t xml:space="preserve">
MONTEALEGRE DE LA ESPRIELLA ALEJANDRO</t>
        </r>
      </text>
    </comment>
    <comment ref="R38" authorId="0" shapeId="0">
      <text>
        <r>
          <rPr>
            <b/>
            <sz val="9"/>
            <color indexed="81"/>
            <rFont val="Tahoma"/>
            <family val="2"/>
          </rPr>
          <t>User:</t>
        </r>
        <r>
          <rPr>
            <sz val="9"/>
            <color indexed="81"/>
            <rFont val="Tahoma"/>
            <family val="2"/>
          </rPr>
          <t xml:space="preserve">
OVIEDO VEGA DIANA MARIBEL</t>
        </r>
      </text>
    </comment>
    <comment ref="R40" authorId="0" shapeId="0">
      <text>
        <r>
          <rPr>
            <b/>
            <sz val="9"/>
            <color indexed="81"/>
            <rFont val="Tahoma"/>
            <family val="2"/>
          </rPr>
          <t>User:</t>
        </r>
        <r>
          <rPr>
            <sz val="9"/>
            <color indexed="81"/>
            <rFont val="Tahoma"/>
            <family val="2"/>
          </rPr>
          <t xml:space="preserve">
LOZANO ROMERO CARLOS ANDRES</t>
        </r>
      </text>
    </comment>
    <comment ref="R41" authorId="0" shapeId="0">
      <text>
        <r>
          <rPr>
            <b/>
            <sz val="9"/>
            <color indexed="81"/>
            <rFont val="Tahoma"/>
            <family val="2"/>
          </rPr>
          <t>User:</t>
        </r>
        <r>
          <rPr>
            <sz val="9"/>
            <color indexed="81"/>
            <rFont val="Tahoma"/>
            <family val="2"/>
          </rPr>
          <t xml:space="preserve">
SABI MARTINEZ MARIA LILI</t>
        </r>
      </text>
    </comment>
    <comment ref="R42" authorId="0" shapeId="0">
      <text>
        <r>
          <rPr>
            <b/>
            <sz val="9"/>
            <color indexed="81"/>
            <rFont val="Tahoma"/>
            <family val="2"/>
          </rPr>
          <t>User:</t>
        </r>
        <r>
          <rPr>
            <sz val="9"/>
            <color indexed="81"/>
            <rFont val="Tahoma"/>
            <family val="2"/>
          </rPr>
          <t xml:space="preserve">
GAITA GONZALEZ LIBARDO ANDRES</t>
        </r>
      </text>
    </comment>
    <comment ref="R43" authorId="0" shapeId="0">
      <text>
        <r>
          <rPr>
            <b/>
            <sz val="9"/>
            <color indexed="81"/>
            <rFont val="Tahoma"/>
            <family val="2"/>
          </rPr>
          <t>User:</t>
        </r>
        <r>
          <rPr>
            <sz val="9"/>
            <color indexed="81"/>
            <rFont val="Tahoma"/>
            <family val="2"/>
          </rPr>
          <t xml:space="preserve">
CORTES DIAZ CRISTIAN ANDRES</t>
        </r>
      </text>
    </comment>
    <comment ref="R44" authorId="0" shapeId="0">
      <text>
        <r>
          <rPr>
            <b/>
            <sz val="9"/>
            <color indexed="81"/>
            <rFont val="Tahoma"/>
            <family val="2"/>
          </rPr>
          <t>User:</t>
        </r>
        <r>
          <rPr>
            <sz val="9"/>
            <color indexed="81"/>
            <rFont val="Tahoma"/>
            <family val="2"/>
          </rPr>
          <t xml:space="preserve">
TOVAR CHARRY ANDREA KATHERINE</t>
        </r>
      </text>
    </comment>
    <comment ref="R46" authorId="0" shapeId="0">
      <text>
        <r>
          <rPr>
            <b/>
            <sz val="9"/>
            <color indexed="81"/>
            <rFont val="Tahoma"/>
            <family val="2"/>
          </rPr>
          <t>User:</t>
        </r>
        <r>
          <rPr>
            <sz val="9"/>
            <color indexed="81"/>
            <rFont val="Tahoma"/>
            <family val="2"/>
          </rPr>
          <t xml:space="preserve">
VARGAS VILLAREAL LISETH FERNANDA</t>
        </r>
      </text>
    </comment>
    <comment ref="R47" authorId="0" shapeId="0">
      <text>
        <r>
          <rPr>
            <b/>
            <sz val="9"/>
            <color indexed="81"/>
            <rFont val="Tahoma"/>
            <family val="2"/>
          </rPr>
          <t>User:</t>
        </r>
        <r>
          <rPr>
            <sz val="9"/>
            <color indexed="81"/>
            <rFont val="Tahoma"/>
            <family val="2"/>
          </rPr>
          <t xml:space="preserve">
AMAYA LOSADA MARIA PAULA</t>
        </r>
      </text>
    </comment>
    <comment ref="R48" authorId="0" shapeId="0">
      <text>
        <r>
          <rPr>
            <b/>
            <sz val="9"/>
            <color indexed="81"/>
            <rFont val="Tahoma"/>
            <family val="2"/>
          </rPr>
          <t>User:</t>
        </r>
        <r>
          <rPr>
            <sz val="9"/>
            <color indexed="81"/>
            <rFont val="Tahoma"/>
            <family val="2"/>
          </rPr>
          <t xml:space="preserve">
DIAZ ARTUNDUAGA BEATRIZ ELENA</t>
        </r>
      </text>
    </comment>
    <comment ref="R49" authorId="0" shapeId="0">
      <text>
        <r>
          <rPr>
            <b/>
            <sz val="9"/>
            <color indexed="81"/>
            <rFont val="Tahoma"/>
            <family val="2"/>
          </rPr>
          <t>User:</t>
        </r>
        <r>
          <rPr>
            <sz val="9"/>
            <color indexed="81"/>
            <rFont val="Tahoma"/>
            <family val="2"/>
          </rPr>
          <t xml:space="preserve">
ROJAS MORALES JUAN SEBASTIAN</t>
        </r>
      </text>
    </comment>
    <comment ref="R50" authorId="0" shapeId="0">
      <text>
        <r>
          <rPr>
            <b/>
            <sz val="9"/>
            <color indexed="81"/>
            <rFont val="Tahoma"/>
            <family val="2"/>
          </rPr>
          <t>User:</t>
        </r>
        <r>
          <rPr>
            <sz val="9"/>
            <color indexed="81"/>
            <rFont val="Tahoma"/>
            <family val="2"/>
          </rPr>
          <t xml:space="preserve">
GOMEZ RIVERA MIGUEL JOSE</t>
        </r>
      </text>
    </comment>
    <comment ref="R51" authorId="0" shapeId="0">
      <text>
        <r>
          <rPr>
            <b/>
            <sz val="9"/>
            <color indexed="81"/>
            <rFont val="Tahoma"/>
            <family val="2"/>
          </rPr>
          <t>User:</t>
        </r>
        <r>
          <rPr>
            <sz val="9"/>
            <color indexed="81"/>
            <rFont val="Tahoma"/>
            <family val="2"/>
          </rPr>
          <t xml:space="preserve">
VASQUEZ MENDEZ DANIELA ALEJANDRA</t>
        </r>
      </text>
    </comment>
    <comment ref="R52" authorId="0" shapeId="0">
      <text>
        <r>
          <rPr>
            <b/>
            <sz val="9"/>
            <color indexed="81"/>
            <rFont val="Tahoma"/>
            <family val="2"/>
          </rPr>
          <t>User:</t>
        </r>
        <r>
          <rPr>
            <sz val="9"/>
            <color indexed="81"/>
            <rFont val="Tahoma"/>
            <family val="2"/>
          </rPr>
          <t xml:space="preserve">
BELEÑO MANRIQUE MARIA CAMILA</t>
        </r>
      </text>
    </comment>
    <comment ref="R53" authorId="0" shapeId="0">
      <text>
        <r>
          <rPr>
            <b/>
            <sz val="9"/>
            <color indexed="81"/>
            <rFont val="Tahoma"/>
            <family val="2"/>
          </rPr>
          <t>User:</t>
        </r>
        <r>
          <rPr>
            <sz val="9"/>
            <color indexed="81"/>
            <rFont val="Tahoma"/>
            <family val="2"/>
          </rPr>
          <t xml:space="preserve">
VARGAS SALAZAR ELIZABETH</t>
        </r>
      </text>
    </comment>
    <comment ref="R54" authorId="0" shapeId="0">
      <text>
        <r>
          <rPr>
            <b/>
            <sz val="9"/>
            <color indexed="81"/>
            <rFont val="Tahoma"/>
            <family val="2"/>
          </rPr>
          <t>User:</t>
        </r>
        <r>
          <rPr>
            <sz val="9"/>
            <color indexed="81"/>
            <rFont val="Tahoma"/>
            <family val="2"/>
          </rPr>
          <t xml:space="preserve">
CASTRO MONTAÑA JESUS MARIA</t>
        </r>
      </text>
    </comment>
    <comment ref="R55" authorId="0" shapeId="0">
      <text>
        <r>
          <rPr>
            <b/>
            <sz val="9"/>
            <color indexed="81"/>
            <rFont val="Tahoma"/>
            <family val="2"/>
          </rPr>
          <t>User:</t>
        </r>
        <r>
          <rPr>
            <sz val="9"/>
            <color indexed="81"/>
            <rFont val="Tahoma"/>
            <family val="2"/>
          </rPr>
          <t xml:space="preserve">
TRUJILLO CUELLAR JAIRO</t>
        </r>
      </text>
    </comment>
    <comment ref="R56" authorId="0" shapeId="0">
      <text>
        <r>
          <rPr>
            <b/>
            <sz val="9"/>
            <color indexed="81"/>
            <rFont val="Tahoma"/>
            <family val="2"/>
          </rPr>
          <t>User:</t>
        </r>
        <r>
          <rPr>
            <sz val="9"/>
            <color indexed="81"/>
            <rFont val="Tahoma"/>
            <family val="2"/>
          </rPr>
          <t xml:space="preserve">
MANJARRES TRUJILLO JANNER MAURICIO</t>
        </r>
      </text>
    </comment>
    <comment ref="R57" authorId="0" shapeId="0">
      <text>
        <r>
          <rPr>
            <b/>
            <sz val="9"/>
            <color indexed="81"/>
            <rFont val="Tahoma"/>
            <family val="2"/>
          </rPr>
          <t>User:</t>
        </r>
        <r>
          <rPr>
            <sz val="9"/>
            <color indexed="81"/>
            <rFont val="Tahoma"/>
            <family val="2"/>
          </rPr>
          <t xml:space="preserve">
VEGA GUITIERREZ MARTHA LUCIA</t>
        </r>
      </text>
    </comment>
    <comment ref="R58" authorId="0" shapeId="0">
      <text>
        <r>
          <rPr>
            <b/>
            <sz val="9"/>
            <color indexed="81"/>
            <rFont val="Tahoma"/>
            <family val="2"/>
          </rPr>
          <t>User:</t>
        </r>
        <r>
          <rPr>
            <sz val="9"/>
            <color indexed="81"/>
            <rFont val="Tahoma"/>
            <family val="2"/>
          </rPr>
          <t xml:space="preserve">
ALVAREZ SERRATO RUBEN DARIO</t>
        </r>
      </text>
    </comment>
    <comment ref="R59" authorId="0" shapeId="0">
      <text>
        <r>
          <rPr>
            <b/>
            <sz val="9"/>
            <color indexed="81"/>
            <rFont val="Tahoma"/>
            <family val="2"/>
          </rPr>
          <t>User:</t>
        </r>
        <r>
          <rPr>
            <sz val="9"/>
            <color indexed="81"/>
            <rFont val="Tahoma"/>
            <family val="2"/>
          </rPr>
          <t xml:space="preserve">
SOTTO RODRIGUEZ KARLA DANIELA</t>
        </r>
      </text>
    </comment>
    <comment ref="R60" authorId="0" shapeId="0">
      <text>
        <r>
          <rPr>
            <b/>
            <sz val="9"/>
            <color indexed="81"/>
            <rFont val="Tahoma"/>
            <family val="2"/>
          </rPr>
          <t>User:</t>
        </r>
        <r>
          <rPr>
            <sz val="9"/>
            <color indexed="81"/>
            <rFont val="Tahoma"/>
            <family val="2"/>
          </rPr>
          <t xml:space="preserve">
OTALORA NASAYO GERMAN DARIO</t>
        </r>
      </text>
    </comment>
    <comment ref="R61" authorId="0" shapeId="0">
      <text>
        <r>
          <rPr>
            <b/>
            <sz val="9"/>
            <color indexed="81"/>
            <rFont val="Tahoma"/>
            <family val="2"/>
          </rPr>
          <t>User:</t>
        </r>
        <r>
          <rPr>
            <sz val="9"/>
            <color indexed="81"/>
            <rFont val="Tahoma"/>
            <family val="2"/>
          </rPr>
          <t xml:space="preserve">
DIAZ EMBUS YUBERICA FERNANDA</t>
        </r>
      </text>
    </comment>
    <comment ref="R62" authorId="0" shapeId="0">
      <text>
        <r>
          <rPr>
            <b/>
            <sz val="9"/>
            <color indexed="81"/>
            <rFont val="Tahoma"/>
            <family val="2"/>
          </rPr>
          <t>User:</t>
        </r>
        <r>
          <rPr>
            <sz val="9"/>
            <color indexed="81"/>
            <rFont val="Tahoma"/>
            <family val="2"/>
          </rPr>
          <t xml:space="preserve">
CDP</t>
        </r>
      </text>
    </comment>
    <comment ref="R63" authorId="0" shapeId="0">
      <text>
        <r>
          <rPr>
            <b/>
            <sz val="9"/>
            <color indexed="81"/>
            <rFont val="Tahoma"/>
            <family val="2"/>
          </rPr>
          <t>User:</t>
        </r>
        <r>
          <rPr>
            <sz val="9"/>
            <color indexed="81"/>
            <rFont val="Tahoma"/>
            <family val="2"/>
          </rPr>
          <t xml:space="preserve">
GOMEZ GARZON JUAN ANDRES</t>
        </r>
      </text>
    </comment>
    <comment ref="R64" authorId="0" shapeId="0">
      <text>
        <r>
          <rPr>
            <b/>
            <sz val="9"/>
            <color indexed="81"/>
            <rFont val="Tahoma"/>
            <family val="2"/>
          </rPr>
          <t>User:</t>
        </r>
        <r>
          <rPr>
            <sz val="9"/>
            <color indexed="81"/>
            <rFont val="Tahoma"/>
            <family val="2"/>
          </rPr>
          <t xml:space="preserve">
VARGAS SALAZAR ANGELA MARIA</t>
        </r>
      </text>
    </comment>
    <comment ref="R65" authorId="0" shapeId="0">
      <text>
        <r>
          <rPr>
            <b/>
            <sz val="9"/>
            <color indexed="81"/>
            <rFont val="Tahoma"/>
            <family val="2"/>
          </rPr>
          <t>User:</t>
        </r>
        <r>
          <rPr>
            <sz val="9"/>
            <color indexed="81"/>
            <rFont val="Tahoma"/>
            <family val="2"/>
          </rPr>
          <t xml:space="preserve">
SALAZAR DIAZ YOBANI</t>
        </r>
      </text>
    </comment>
    <comment ref="R70" authorId="0" shapeId="0">
      <text>
        <r>
          <rPr>
            <b/>
            <sz val="9"/>
            <color indexed="81"/>
            <rFont val="Tahoma"/>
            <family val="2"/>
          </rPr>
          <t>User:</t>
        </r>
        <r>
          <rPr>
            <sz val="9"/>
            <color indexed="81"/>
            <rFont val="Tahoma"/>
            <family val="2"/>
          </rPr>
          <t xml:space="preserve">
PUENTES NATALIA</t>
        </r>
      </text>
    </comment>
    <comment ref="R71" authorId="0" shapeId="0">
      <text>
        <r>
          <rPr>
            <b/>
            <sz val="9"/>
            <color indexed="81"/>
            <rFont val="Tahoma"/>
            <family val="2"/>
          </rPr>
          <t>User:</t>
        </r>
        <r>
          <rPr>
            <sz val="9"/>
            <color indexed="81"/>
            <rFont val="Tahoma"/>
            <family val="2"/>
          </rPr>
          <t xml:space="preserve">
PLAZA ROCHA ZULMA VIVIANA</t>
        </r>
      </text>
    </comment>
    <comment ref="R72" authorId="0" shapeId="0">
      <text>
        <r>
          <rPr>
            <b/>
            <sz val="9"/>
            <color indexed="81"/>
            <rFont val="Tahoma"/>
            <family val="2"/>
          </rPr>
          <t>User:</t>
        </r>
        <r>
          <rPr>
            <sz val="9"/>
            <color indexed="81"/>
            <rFont val="Tahoma"/>
            <family val="2"/>
          </rPr>
          <t xml:space="preserve">
TRUJILLO CHARRY CARMEN LORENA</t>
        </r>
      </text>
    </comment>
    <comment ref="R73" authorId="0" shapeId="0">
      <text>
        <r>
          <rPr>
            <b/>
            <sz val="9"/>
            <color indexed="81"/>
            <rFont val="Tahoma"/>
            <family val="2"/>
          </rPr>
          <t>User:</t>
        </r>
        <r>
          <rPr>
            <sz val="9"/>
            <color indexed="81"/>
            <rFont val="Tahoma"/>
            <family val="2"/>
          </rPr>
          <t xml:space="preserve">
NINCO CASTAÑEDA MARTHA XIMENA</t>
        </r>
      </text>
    </comment>
    <comment ref="R74" authorId="0" shapeId="0">
      <text>
        <r>
          <rPr>
            <b/>
            <sz val="9"/>
            <color indexed="81"/>
            <rFont val="Tahoma"/>
            <family val="2"/>
          </rPr>
          <t>User:</t>
        </r>
        <r>
          <rPr>
            <sz val="9"/>
            <color indexed="81"/>
            <rFont val="Tahoma"/>
            <family val="2"/>
          </rPr>
          <t xml:space="preserve">
SALAZAR ALFARO DIANA MARGARITA</t>
        </r>
      </text>
    </comment>
  </commentList>
</comments>
</file>

<file path=xl/comments11.xml><?xml version="1.0" encoding="utf-8"?>
<comments xmlns="http://schemas.openxmlformats.org/spreadsheetml/2006/main">
  <authors>
    <author>User</author>
  </authors>
  <commentList>
    <comment ref="D13" authorId="0" shapeId="0">
      <text>
        <r>
          <rPr>
            <b/>
            <sz val="9"/>
            <color indexed="81"/>
            <rFont val="Tahoma"/>
            <family val="2"/>
          </rPr>
          <t>User:</t>
        </r>
        <r>
          <rPr>
            <sz val="9"/>
            <color indexed="81"/>
            <rFont val="Tahoma"/>
            <family val="2"/>
          </rPr>
          <t xml:space="preserve">
Anturi tiene en el POAI 50 HA</t>
        </r>
      </text>
    </comment>
    <comment ref="D15" authorId="0" shapeId="0">
      <text>
        <r>
          <rPr>
            <b/>
            <sz val="9"/>
            <color indexed="81"/>
            <rFont val="Tahoma"/>
            <family val="2"/>
          </rPr>
          <t>User:</t>
        </r>
        <r>
          <rPr>
            <sz val="9"/>
            <color indexed="81"/>
            <rFont val="Tahoma"/>
            <family val="2"/>
          </rPr>
          <t xml:space="preserve">
Anturi tenía 10 HA en el POAI</t>
        </r>
      </text>
    </comment>
    <comment ref="D16" authorId="0" shapeId="0">
      <text>
        <r>
          <rPr>
            <b/>
            <sz val="9"/>
            <color indexed="81"/>
            <rFont val="Tahoma"/>
            <family val="2"/>
          </rPr>
          <t>User:</t>
        </r>
        <r>
          <rPr>
            <sz val="9"/>
            <color indexed="81"/>
            <rFont val="Tahoma"/>
            <family val="2"/>
          </rPr>
          <t xml:space="preserve">
En el POAI hay 50 HA</t>
        </r>
      </text>
    </comment>
    <comment ref="D18" authorId="0" shapeId="0">
      <text>
        <r>
          <rPr>
            <b/>
            <sz val="9"/>
            <color indexed="81"/>
            <rFont val="Tahoma"/>
            <family val="2"/>
          </rPr>
          <t>User:</t>
        </r>
        <r>
          <rPr>
            <sz val="9"/>
            <color indexed="81"/>
            <rFont val="Tahoma"/>
            <family val="2"/>
          </rPr>
          <t xml:space="preserve">
Ingeneiro dice que la plata está presupuestado para hacer 30.000</t>
        </r>
      </text>
    </comment>
  </commentList>
</comments>
</file>

<file path=xl/comments12.xml><?xml version="1.0" encoding="utf-8"?>
<comments xmlns="http://schemas.openxmlformats.org/spreadsheetml/2006/main">
  <authors>
    <author>User</author>
    <author>Edisney Silva Argote</author>
  </authors>
  <commentList>
    <comment ref="P12" authorId="0" shapeId="0">
      <text>
        <r>
          <rPr>
            <b/>
            <sz val="9"/>
            <color indexed="81"/>
            <rFont val="Tahoma"/>
            <family val="2"/>
          </rPr>
          <t>User:</t>
        </r>
        <r>
          <rPr>
            <sz val="9"/>
            <color indexed="81"/>
            <rFont val="Tahoma"/>
            <family val="2"/>
          </rPr>
          <t xml:space="preserve">
SOCIEDAD FIDUCIARIA POPULAR S.A.</t>
        </r>
      </text>
    </comment>
    <comment ref="I14" authorId="0" shapeId="0">
      <text>
        <r>
          <rPr>
            <b/>
            <sz val="9"/>
            <color indexed="81"/>
            <rFont val="Tahoma"/>
            <family val="2"/>
          </rPr>
          <t>User:</t>
        </r>
        <r>
          <rPr>
            <sz val="9"/>
            <color indexed="81"/>
            <rFont val="Tahoma"/>
            <family val="2"/>
          </rPr>
          <t xml:space="preserve">
Se sacan 10,000,000 cto Dianis para PSA</t>
        </r>
      </text>
    </comment>
    <comment ref="P14" authorId="0" shapeId="0">
      <text>
        <r>
          <rPr>
            <b/>
            <sz val="9"/>
            <color indexed="81"/>
            <rFont val="Tahoma"/>
            <family val="2"/>
          </rPr>
          <t>User:</t>
        </r>
        <r>
          <rPr>
            <sz val="9"/>
            <color indexed="81"/>
            <rFont val="Tahoma"/>
            <family val="2"/>
          </rPr>
          <t xml:space="preserve">
ALBORNOZ BONILLA DIANY MARCELA
SE SACARON 10,000,000 PARA PSA DL CTO DE DIANIS PORQUE ELLA VA A TENER METAS AHÍ</t>
        </r>
      </text>
    </comment>
    <comment ref="I15" authorId="0" shapeId="0">
      <text>
        <r>
          <rPr>
            <b/>
            <sz val="9"/>
            <color indexed="81"/>
            <rFont val="Tahoma"/>
            <family val="2"/>
          </rPr>
          <t>User:</t>
        </r>
        <r>
          <rPr>
            <sz val="9"/>
            <color indexed="81"/>
            <rFont val="Tahoma"/>
            <family val="2"/>
          </rPr>
          <t xml:space="preserve">
Se sacan 10,000,000 cto Dianis para PSA</t>
        </r>
      </text>
    </comment>
    <comment ref="P16" authorId="0" shapeId="0">
      <text>
        <r>
          <rPr>
            <b/>
            <sz val="9"/>
            <color indexed="81"/>
            <rFont val="Tahoma"/>
            <family val="2"/>
          </rPr>
          <t>User:</t>
        </r>
        <r>
          <rPr>
            <sz val="9"/>
            <color indexed="81"/>
            <rFont val="Tahoma"/>
            <family val="2"/>
          </rPr>
          <t xml:space="preserve">
CHAVARRO SANCHEZ HERNAN DARIO Y VARGAS POLO MIGUEL ANGEL</t>
        </r>
      </text>
    </comment>
    <comment ref="P18" authorId="0" shapeId="0">
      <text>
        <r>
          <rPr>
            <b/>
            <sz val="9"/>
            <color indexed="81"/>
            <rFont val="Tahoma"/>
            <family val="2"/>
          </rPr>
          <t>User:</t>
        </r>
        <r>
          <rPr>
            <sz val="9"/>
            <color indexed="81"/>
            <rFont val="Tahoma"/>
            <family val="2"/>
          </rPr>
          <t xml:space="preserve">
CASTRO TRUJILLO DAIRO Y ESPITIA MEDINA JOSEPH RUBEN</t>
        </r>
      </text>
    </comment>
    <comment ref="P20" authorId="0" shapeId="0">
      <text>
        <r>
          <rPr>
            <b/>
            <sz val="9"/>
            <color indexed="81"/>
            <rFont val="Tahoma"/>
            <family val="2"/>
          </rPr>
          <t>User:</t>
        </r>
        <r>
          <rPr>
            <sz val="9"/>
            <color indexed="81"/>
            <rFont val="Tahoma"/>
            <family val="2"/>
          </rPr>
          <t xml:space="preserve">
PERDOMO HOYOS CAMILO ALFONSO - ORTEGA CALDERON YAMILETH - MURCIA FRANCO MOISES ARTURO - SALAZAR DIAZ JULIAN DAVID - QUINTERO QUINTERO WILLIAM DANIEL -  ARDILA FIERRO DANIEL FERNANDO</t>
        </r>
      </text>
    </comment>
    <comment ref="I22" authorId="1" shapeId="0">
      <text>
        <r>
          <rPr>
            <b/>
            <sz val="9"/>
            <color indexed="81"/>
            <rFont val="Tahoma"/>
            <family val="2"/>
          </rPr>
          <t>Fredy Anturi:
Miguel Angel Vargas, $43.343.682, HUERTAS, SISTEMAS AGROALIMENTARIOS; Ulieth Vanessa Perdomo, $61.600.000; PMAM QDA YAGUILGA, MPIO EL PITAL; William Quintero $61.600.000 PMAM YAGUILGA, MPIO EL AGRADO</t>
        </r>
      </text>
    </comment>
    <comment ref="P22" authorId="0" shapeId="0">
      <text>
        <r>
          <rPr>
            <b/>
            <sz val="9"/>
            <color indexed="81"/>
            <rFont val="Tahoma"/>
            <family val="2"/>
          </rPr>
          <t>User:</t>
        </r>
        <r>
          <rPr>
            <sz val="9"/>
            <color indexed="81"/>
            <rFont val="Tahoma"/>
            <family val="2"/>
          </rPr>
          <t xml:space="preserve">
GUZMAN VARGAS ALDEMAR</t>
        </r>
      </text>
    </comment>
    <comment ref="I23" authorId="1" shapeId="0">
      <text>
        <r>
          <rPr>
            <b/>
            <sz val="9"/>
            <color indexed="81"/>
            <rFont val="Tahoma"/>
            <family val="2"/>
          </rPr>
          <t>Fredy Anturi:
Miguel Angel Vargas, $43.343.682, HUERTAS, SISTEMAS AGROALIMENTARIOS; Ulieth Vanessa Perdomo, $61.600.000; PMAM QDA YAGUILGA, MPIO EL PITAL; William Quintero $61.600.000 PMAM YAGUILGA, MPIO EL AGRADO</t>
        </r>
      </text>
    </comment>
    <comment ref="P24" authorId="0" shapeId="0">
      <text>
        <r>
          <rPr>
            <b/>
            <sz val="9"/>
            <color indexed="81"/>
            <rFont val="Tahoma"/>
            <family val="2"/>
          </rPr>
          <t>User:</t>
        </r>
        <r>
          <rPr>
            <sz val="9"/>
            <color indexed="81"/>
            <rFont val="Tahoma"/>
            <family val="2"/>
          </rPr>
          <t xml:space="preserve">
TRANSPORTE CONSORCIO TRANSPORTE CAM 2024</t>
        </r>
      </text>
    </comment>
    <comment ref="P25" authorId="0" shapeId="0">
      <text>
        <r>
          <rPr>
            <b/>
            <sz val="9"/>
            <color indexed="81"/>
            <rFont val="Tahoma"/>
            <family val="2"/>
          </rPr>
          <t>User:</t>
        </r>
        <r>
          <rPr>
            <sz val="9"/>
            <color indexed="81"/>
            <rFont val="Tahoma"/>
            <family val="2"/>
          </rPr>
          <t xml:space="preserve">
REFRIGERIOS Hoyos Pucciny Carlos Mauricio</t>
        </r>
      </text>
    </comment>
    <comment ref="K49" authorId="0" shapeId="0">
      <text>
        <r>
          <rPr>
            <b/>
            <sz val="9"/>
            <color indexed="81"/>
            <rFont val="Tahoma"/>
            <family val="2"/>
          </rPr>
          <t>User:</t>
        </r>
        <r>
          <rPr>
            <sz val="9"/>
            <color indexed="81"/>
            <rFont val="Tahoma"/>
            <family val="2"/>
          </rPr>
          <t xml:space="preserve">
los del CAV fortalecimeinto</t>
        </r>
      </text>
    </comment>
    <comment ref="J54" authorId="0" shapeId="0">
      <text>
        <r>
          <rPr>
            <b/>
            <sz val="9"/>
            <color indexed="81"/>
            <rFont val="Tahoma"/>
            <family val="2"/>
          </rPr>
          <t>User:</t>
        </r>
        <r>
          <rPr>
            <sz val="9"/>
            <color indexed="81"/>
            <rFont val="Tahoma"/>
            <family val="2"/>
          </rPr>
          <t xml:space="preserve">
CTO Dianis faltan otros 10 millones</t>
        </r>
      </text>
    </comment>
    <comment ref="P54" authorId="0" shapeId="0">
      <text>
        <r>
          <rPr>
            <b/>
            <sz val="9"/>
            <color indexed="81"/>
            <rFont val="Tahoma"/>
            <family val="2"/>
          </rPr>
          <t>User:</t>
        </r>
        <r>
          <rPr>
            <sz val="9"/>
            <color indexed="81"/>
            <rFont val="Tahoma"/>
            <family val="2"/>
          </rPr>
          <t xml:space="preserve">
Vienen 10,000,000 de cambio climático y otros 10,000,000 de POMCAS los dos valores del cto de Dianis</t>
        </r>
      </text>
    </comment>
  </commentList>
</comments>
</file>

<file path=xl/comments13.xml><?xml version="1.0" encoding="utf-8"?>
<comments xmlns="http://schemas.openxmlformats.org/spreadsheetml/2006/main">
  <authors>
    <author>User</author>
  </authors>
  <commentList>
    <comment ref="K12" authorId="0" shapeId="0">
      <text>
        <r>
          <rPr>
            <b/>
            <sz val="9"/>
            <color indexed="81"/>
            <rFont val="Tahoma"/>
            <family val="2"/>
          </rPr>
          <t>User:</t>
        </r>
        <r>
          <rPr>
            <sz val="9"/>
            <color indexed="81"/>
            <rFont val="Tahoma"/>
            <family val="2"/>
          </rPr>
          <t xml:space="preserve">
ME tocó qsumarle $8,150,400 y sacarlos por adición TR, lo mismo hacer donde ingresaron P 14 fortalecimiento. Estos hacen parte de los 85,000,000 que están para PTAR CAV, lo anterior porque ya había un CDP generado que habia comprometido más plata en este ítem</t>
        </r>
      </text>
    </comment>
    <comment ref="Q12" authorId="0" shapeId="0">
      <text>
        <r>
          <rPr>
            <b/>
            <sz val="9"/>
            <color indexed="81"/>
            <rFont val="Tahoma"/>
            <family val="2"/>
          </rPr>
          <t>User: LO APROPIADO ERA 1.559.662.081</t>
        </r>
      </text>
    </comment>
    <comment ref="K13" authorId="0" shapeId="0">
      <text>
        <r>
          <rPr>
            <b/>
            <sz val="9"/>
            <color indexed="81"/>
            <rFont val="Tahoma"/>
            <family val="2"/>
          </rPr>
          <t>User:</t>
        </r>
        <r>
          <rPr>
            <sz val="9"/>
            <color indexed="81"/>
            <rFont val="Tahoma"/>
            <family val="2"/>
          </rPr>
          <t xml:space="preserve">
ME tocó qsumarle $8,150,400 y sacarlos por adición TR, lo mismo hacer donde ingresaron P 14 fortalecimiento. Estos hacen parte de los 85,000,000 que están para PTAR CAV, lo anterior porque ya había un CDP generado que habia comprometido más plata en este ítem</t>
        </r>
      </text>
    </comment>
    <comment ref="Q13" authorId="0" shapeId="0">
      <text>
        <r>
          <rPr>
            <b/>
            <sz val="9"/>
            <color indexed="81"/>
            <rFont val="Tahoma"/>
            <family val="2"/>
          </rPr>
          <t>User: LO APROPIADO ERA 1.559.662.081</t>
        </r>
      </text>
    </comment>
  </commentList>
</comments>
</file>

<file path=xl/comments14.xml><?xml version="1.0" encoding="utf-8"?>
<comments xmlns="http://schemas.openxmlformats.org/spreadsheetml/2006/main">
  <authors>
    <author>tc={31C148FA-5C45-4CDC-9DFD-1D5C350ED8BA}</author>
    <author>tc={CC3FC3CB-D4A0-4113-A8E8-034754408681}</author>
    <author>tc={D8E6420B-5EAC-4651-8CBC-FB9801C72EF3}</author>
    <author>tc={FCABBA4E-A801-486F-84E0-0708712AAB4E}</author>
    <author>Leidy Lorena Montes Cabrera</author>
  </authors>
  <commentList>
    <comment ref="L2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Mas $5.020.000 que aporta la SPOT</t>
        </r>
      </text>
    </comment>
    <comment ref="L21"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Mas $5.020.000 que aporta la SPOT</t>
        </r>
      </text>
    </comment>
    <comment ref="L2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Mas $5.020.000 que aporta la SPOT</t>
        </r>
      </text>
    </comment>
    <comment ref="L2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Mas $5.020.000 que aporta la SPOT</t>
        </r>
      </text>
    </comment>
    <comment ref="H41" authorId="4" shapeId="0">
      <text>
        <r>
          <rPr>
            <b/>
            <sz val="9"/>
            <color indexed="81"/>
            <rFont val="Tahoma"/>
            <family val="2"/>
          </rPr>
          <t>5 MESES 320401 Y 6 MESES SPOT 329901</t>
        </r>
        <r>
          <rPr>
            <sz val="9"/>
            <color indexed="81"/>
            <rFont val="Tahoma"/>
            <family val="2"/>
          </rPr>
          <t xml:space="preserve">
</t>
        </r>
      </text>
    </comment>
  </commentList>
</comments>
</file>

<file path=xl/comments15.xml><?xml version="1.0" encoding="utf-8"?>
<comments xmlns="http://schemas.openxmlformats.org/spreadsheetml/2006/main">
  <authors>
    <author>Leidy Lorena Montes Cabrera</author>
    <author>User</author>
  </authors>
  <commentList>
    <comment ref="A12" authorId="0" shapeId="0">
      <text>
        <r>
          <rPr>
            <b/>
            <sz val="9"/>
            <color indexed="81"/>
            <rFont val="Tahoma"/>
            <family val="2"/>
          </rPr>
          <t>Antes 3202008</t>
        </r>
      </text>
    </comment>
    <comment ref="G16" authorId="1" shapeId="0">
      <text>
        <r>
          <rPr>
            <b/>
            <sz val="9"/>
            <color indexed="81"/>
            <rFont val="Tahoma"/>
            <family val="2"/>
          </rPr>
          <t>User:</t>
        </r>
        <r>
          <rPr>
            <sz val="9"/>
            <color indexed="81"/>
            <rFont val="Tahoma"/>
            <family val="2"/>
          </rPr>
          <t xml:space="preserve">
Ojo acá esta lo de antes POT + PMA áreas protegidas del 320201</t>
        </r>
      </text>
    </comment>
  </commentList>
</comments>
</file>

<file path=xl/comments16.xml><?xml version="1.0" encoding="utf-8"?>
<comments xmlns="http://schemas.openxmlformats.org/spreadsheetml/2006/main">
  <authors>
    <author>tc={5B17A223-C870-4229-84F9-10D391DCE594}</author>
    <author>User</author>
  </authors>
  <commentList>
    <comment ref="L19"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traslada a P14 Compra de equipos</t>
        </r>
      </text>
    </comment>
    <comment ref="N29" authorId="1" shapeId="0">
      <text>
        <r>
          <rPr>
            <b/>
            <sz val="9"/>
            <color indexed="81"/>
            <rFont val="Tahoma"/>
            <family val="2"/>
          </rPr>
          <t>User:</t>
        </r>
        <r>
          <rPr>
            <sz val="9"/>
            <color indexed="81"/>
            <rFont val="Tahoma"/>
            <family val="2"/>
          </rPr>
          <t xml:space="preserve">
Ojo acá esta lo de antes POT + PMA áreas protegidas del 320201</t>
        </r>
      </text>
    </comment>
  </commentList>
</comments>
</file>

<file path=xl/comments17.xml><?xml version="1.0" encoding="utf-8"?>
<comments xmlns="http://schemas.openxmlformats.org/spreadsheetml/2006/main">
  <authors>
    <author>User</author>
  </authors>
  <commentList>
    <comment ref="E16" authorId="0" shapeId="0">
      <text>
        <r>
          <rPr>
            <b/>
            <sz val="9"/>
            <color indexed="81"/>
            <rFont val="Tahoma"/>
            <family val="2"/>
          </rPr>
          <t>User:</t>
        </r>
        <r>
          <rPr>
            <sz val="9"/>
            <color indexed="81"/>
            <rFont val="Tahoma"/>
            <family val="2"/>
          </rPr>
          <t xml:space="preserve">
SE SACAN $2,161,783,630 PARA DOS PROYECTOS DE LA PLATA…UNO VA PARA  CAMBIO CLIMTICO HORNILLAS Y EL OTRO PARA ANTURI AISLAMIENTOS</t>
        </r>
      </text>
    </comment>
    <comment ref="G16" authorId="0" shapeId="0">
      <text>
        <r>
          <rPr>
            <b/>
            <sz val="9"/>
            <color indexed="81"/>
            <rFont val="Tahoma"/>
            <family val="2"/>
          </rPr>
          <t>User:</t>
        </r>
        <r>
          <rPr>
            <sz val="9"/>
            <color indexed="81"/>
            <rFont val="Tahoma"/>
            <family val="2"/>
          </rPr>
          <t xml:space="preserve">
SE SACAN $2,161,783,630 PARA DOS PROYECTOS DE LA PLATA…UNO VA PARA  CAMBIO CLIMTICO HORNILLAS Y EL OTRO PARA ANTURI AISLAMIENTOS</t>
        </r>
      </text>
    </comment>
    <comment ref="J16" authorId="0" shapeId="0">
      <text>
        <r>
          <rPr>
            <b/>
            <sz val="9"/>
            <color indexed="81"/>
            <rFont val="Tahoma"/>
            <family val="2"/>
          </rPr>
          <t>User:</t>
        </r>
        <r>
          <rPr>
            <sz val="9"/>
            <color indexed="81"/>
            <rFont val="Tahoma"/>
            <family val="2"/>
          </rPr>
          <t xml:space="preserve">
SE SACAN $2,161,783,630 PARA DOS PROYECTOS DE LA PLATA…UNO VA PARA  CAMBIO CLIMTICO HORNILLAS Y EL OTRO PARA ANTURI AISLAMIENTOS</t>
        </r>
      </text>
    </comment>
  </commentList>
</comments>
</file>

<file path=xl/comments18.xml><?xml version="1.0" encoding="utf-8"?>
<comments xmlns="http://schemas.openxmlformats.org/spreadsheetml/2006/main">
  <authors>
    <author>User</author>
  </authors>
  <commentList>
    <comment ref="I36" authorId="0" shapeId="0">
      <text>
        <r>
          <rPr>
            <b/>
            <sz val="9"/>
            <color indexed="81"/>
            <rFont val="Tahoma"/>
            <family val="2"/>
          </rPr>
          <t>User:</t>
        </r>
        <r>
          <rPr>
            <sz val="9"/>
            <color indexed="81"/>
            <rFont val="Tahoma"/>
            <family val="2"/>
          </rPr>
          <t xml:space="preserve">
SE SACAN $2,161,783,630 PARA DOS PROYECTOS DE LA PLATA…UNO VA PARA  CAMBIO CLIMTICO HORNILLAS Y EL OTRO PARA ANTURI AISLAMIENTOS</t>
        </r>
      </text>
    </comment>
    <comment ref="K36" authorId="0" shapeId="0">
      <text>
        <r>
          <rPr>
            <b/>
            <sz val="9"/>
            <color indexed="81"/>
            <rFont val="Tahoma"/>
            <family val="2"/>
          </rPr>
          <t>User:</t>
        </r>
        <r>
          <rPr>
            <sz val="9"/>
            <color indexed="81"/>
            <rFont val="Tahoma"/>
            <family val="2"/>
          </rPr>
          <t xml:space="preserve">
SE SACAN $2,161,783,630 PARA DOS PROYECTOS DE LA PLATA…UNO VA PARA  CAMBIO CLIMTICO HORNILLAS Y EL OTRO PARA ANTURI AISLAMIENTOS</t>
        </r>
      </text>
    </comment>
    <comment ref="N36" authorId="0" shapeId="0">
      <text>
        <r>
          <rPr>
            <b/>
            <sz val="9"/>
            <color indexed="81"/>
            <rFont val="Tahoma"/>
            <family val="2"/>
          </rPr>
          <t>User:</t>
        </r>
        <r>
          <rPr>
            <sz val="9"/>
            <color indexed="81"/>
            <rFont val="Tahoma"/>
            <family val="2"/>
          </rPr>
          <t xml:space="preserve">
SE SACAN $2,161,783,630 PARA DOS PROYECTOS DE LA PLATA…UNO VA PARA  CAMBIO CLIMTICO HORNILLAS Y EL OTRO PARA ANTURI AISLAMIENTOS</t>
        </r>
      </text>
    </comment>
  </commentList>
</comments>
</file>

<file path=xl/comments19.xml><?xml version="1.0" encoding="utf-8"?>
<comments xmlns="http://schemas.openxmlformats.org/spreadsheetml/2006/main">
  <authors>
    <author>User</author>
  </authors>
  <commentList>
    <comment ref="H12" authorId="0" shapeId="0">
      <text>
        <r>
          <rPr>
            <b/>
            <sz val="9"/>
            <color indexed="81"/>
            <rFont val="Tahoma"/>
            <family val="2"/>
          </rPr>
          <t>User:</t>
        </r>
        <r>
          <rPr>
            <sz val="9"/>
            <color indexed="81"/>
            <rFont val="Tahoma"/>
            <family val="2"/>
          </rPr>
          <t xml:space="preserve">
Se sacaron del CTO de Yuri con Adriana pero confirmar</t>
        </r>
      </text>
    </comment>
  </commentList>
</comments>
</file>

<file path=xl/comments20.xml><?xml version="1.0" encoding="utf-8"?>
<comments xmlns="http://schemas.openxmlformats.org/spreadsheetml/2006/main">
  <authors>
    <author>User</author>
  </authors>
  <commentList>
    <comment ref="D14" authorId="0" shapeId="0">
      <text>
        <r>
          <rPr>
            <b/>
            <sz val="9"/>
            <color indexed="81"/>
            <rFont val="Tahoma"/>
            <family val="2"/>
          </rPr>
          <t>User:</t>
        </r>
        <r>
          <rPr>
            <sz val="9"/>
            <color indexed="81"/>
            <rFont val="Tahoma"/>
            <family val="2"/>
          </rPr>
          <t xml:space="preserve">
1. Bodigestores</t>
        </r>
      </text>
    </comment>
  </commentList>
</comments>
</file>

<file path=xl/comments21.xml><?xml version="1.0" encoding="utf-8"?>
<comments xmlns="http://schemas.openxmlformats.org/spreadsheetml/2006/main">
  <authors>
    <author>User</author>
    <author>tc={EA50677B-E3B5-494A-B3B8-21031BAE91FF}</author>
  </authors>
  <commentList>
    <comment ref="N12" authorId="0" shapeId="0">
      <text>
        <r>
          <rPr>
            <b/>
            <sz val="9"/>
            <color indexed="81"/>
            <rFont val="Tahoma"/>
            <family val="2"/>
          </rPr>
          <t>User:</t>
        </r>
        <r>
          <rPr>
            <sz val="9"/>
            <color indexed="81"/>
            <rFont val="Tahoma"/>
            <family val="2"/>
          </rPr>
          <t xml:space="preserve">
10,000,000 QUE ESTABA EN POAI VIEJO SE ENVIARON A PSA CTO DIANIS</t>
        </r>
      </text>
    </comment>
    <comment ref="I17"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Viene de P14 Compra de equipos y de P4 Fase 2 plataforma biodiversidad</t>
        </r>
      </text>
    </comment>
    <comment ref="I29" authorId="0" shapeId="0">
      <text>
        <r>
          <rPr>
            <b/>
            <sz val="9"/>
            <color indexed="81"/>
            <rFont val="Tahoma"/>
            <family val="2"/>
          </rPr>
          <t>User:</t>
        </r>
        <r>
          <rPr>
            <sz val="9"/>
            <color indexed="81"/>
            <rFont val="Tahoma"/>
            <family val="2"/>
          </rPr>
          <t xml:space="preserve">
Del cto Dianis se sacó para PSA</t>
        </r>
      </text>
    </comment>
    <comment ref="J29" authorId="0" shapeId="0">
      <text>
        <r>
          <rPr>
            <b/>
            <sz val="9"/>
            <color indexed="81"/>
            <rFont val="Tahoma"/>
            <family val="2"/>
          </rPr>
          <t>User:</t>
        </r>
        <r>
          <rPr>
            <sz val="9"/>
            <color indexed="81"/>
            <rFont val="Tahoma"/>
            <family val="2"/>
          </rPr>
          <t xml:space="preserve">
926,130,160 se traen de TSE proyecto de Riesgo</t>
        </r>
      </text>
    </comment>
  </commentList>
</comments>
</file>

<file path=xl/comments22.xml><?xml version="1.0" encoding="utf-8"?>
<comments xmlns="http://schemas.openxmlformats.org/spreadsheetml/2006/main">
  <authors>
    <author>User</author>
    <author>Adriana Arias Hernandez</author>
  </authors>
  <commentList>
    <comment ref="O33" authorId="0" shapeId="0">
      <text>
        <r>
          <rPr>
            <b/>
            <sz val="9"/>
            <color indexed="81"/>
            <rFont val="Tahoma"/>
            <family val="2"/>
          </rPr>
          <t>User:</t>
        </r>
        <r>
          <rPr>
            <sz val="9"/>
            <color indexed="81"/>
            <rFont val="Tahoma"/>
            <family val="2"/>
          </rPr>
          <t xml:space="preserve">
OJO DEFINIRI CON ADIRANA EN QU´E PARTE VA Exactamente -sería para 3 meses</t>
        </r>
      </text>
    </comment>
    <comment ref="E58" authorId="1" shapeId="0">
      <text>
        <r>
          <rPr>
            <b/>
            <sz val="9"/>
            <color indexed="81"/>
            <rFont val="Tahoma"/>
            <family val="2"/>
          </rPr>
          <t>Adriana Arias Hernandez:</t>
        </r>
        <r>
          <rPr>
            <sz val="9"/>
            <color indexed="81"/>
            <rFont val="Tahoma"/>
            <family val="2"/>
          </rPr>
          <t xml:space="preserve">
Libros</t>
        </r>
      </text>
    </comment>
  </commentList>
</comments>
</file>

<file path=xl/comments23.xml><?xml version="1.0" encoding="utf-8"?>
<comments xmlns="http://schemas.openxmlformats.org/spreadsheetml/2006/main">
  <authors>
    <author>User</author>
    <author>tc={41C4B8CA-98BF-4E76-87FE-BDE8796A4368}</author>
    <author>Leidy Lorena Montes Cabrera</author>
    <author>Edisney Silva Argote</author>
  </authors>
  <commentList>
    <comment ref="R20" authorId="0" shapeId="0">
      <text>
        <r>
          <rPr>
            <b/>
            <sz val="9"/>
            <color indexed="81"/>
            <rFont val="Tahoma"/>
            <family val="2"/>
          </rPr>
          <t>User:</t>
        </r>
        <r>
          <rPr>
            <sz val="9"/>
            <color indexed="81"/>
            <rFont val="Tahoma"/>
            <family val="2"/>
          </rPr>
          <t xml:space="preserve">
toco incluir por adicoón parte de los 85,000,000 que se sacaron de Leonel porque ya se habá expedido CDP por Leonel</t>
        </r>
      </text>
    </comment>
    <comment ref="M40" authorId="1"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trae saldo de P1 - Profesional de asistencia técnica apicultura con autorización Ing. Laura. Se adiciona saldo de P9 - Ordenamiento Territorial. Se resta 30649200 para P12 interventoría hornillas </t>
        </r>
      </text>
    </comment>
    <comment ref="I53" authorId="2" shapeId="0">
      <text>
        <r>
          <rPr>
            <b/>
            <sz val="9"/>
            <color indexed="81"/>
            <rFont val="Tahoma"/>
            <family val="2"/>
          </rPr>
          <t>SPOT $27.208.142
320201 $25.803.058</t>
        </r>
        <r>
          <rPr>
            <sz val="9"/>
            <color indexed="81"/>
            <rFont val="Tahoma"/>
            <family val="2"/>
          </rPr>
          <t xml:space="preserve">
</t>
        </r>
      </text>
    </comment>
    <comment ref="J87" authorId="3" shapeId="0">
      <text>
        <r>
          <rPr>
            <b/>
            <sz val="9"/>
            <color indexed="81"/>
            <rFont val="Tahoma"/>
            <family val="2"/>
          </rPr>
          <t>Edisney Silva Argote:</t>
        </r>
        <r>
          <rPr>
            <sz val="9"/>
            <color indexed="81"/>
            <rFont val="Tahoma"/>
            <family val="2"/>
          </rPr>
          <t xml:space="preserve">
8.750.000 por cuatro meses = 35.000.000
8.750.000 *9 =78.750.000</t>
        </r>
      </text>
    </comment>
  </commentList>
</comments>
</file>

<file path=xl/comments24.xml><?xml version="1.0" encoding="utf-8"?>
<comments xmlns="http://schemas.openxmlformats.org/spreadsheetml/2006/main">
  <authors>
    <author>User</author>
  </authors>
  <commentList>
    <comment ref="B15" authorId="0" shapeId="0">
      <text>
        <r>
          <rPr>
            <b/>
            <sz val="9"/>
            <color indexed="81"/>
            <rFont val="Tahoma"/>
            <family val="2"/>
          </rPr>
          <t>User:</t>
        </r>
        <r>
          <rPr>
            <sz val="9"/>
            <color indexed="81"/>
            <rFont val="Tahoma"/>
            <family val="2"/>
          </rPr>
          <t xml:space="preserve">
Personal de apoyo en procesos sancionatorios resueltos</t>
        </r>
      </text>
    </comment>
  </commentList>
</comments>
</file>

<file path=xl/comments25.xml><?xml version="1.0" encoding="utf-8"?>
<comments xmlns="http://schemas.openxmlformats.org/spreadsheetml/2006/main">
  <authors>
    <author>User</author>
  </authors>
  <commentList>
    <comment ref="T20" authorId="0" shapeId="0">
      <text>
        <r>
          <rPr>
            <b/>
            <sz val="9"/>
            <color indexed="81"/>
            <rFont val="Tahoma"/>
            <family val="2"/>
          </rPr>
          <t>User:</t>
        </r>
        <r>
          <rPr>
            <sz val="9"/>
            <color indexed="81"/>
            <rFont val="Tahoma"/>
            <family val="2"/>
          </rPr>
          <t xml:space="preserve">
CDP PRESTACIÓN DE SERVICIOS PROFESIONALES PARA LA SUBDIRECCIÓN DE REGULACIÓN Y CALIDAD AMBIENTAL DE APOYO DEL COMPONENTE BIÓTICO, REALIZANDO ACTIVIDADES DE ACOMPAÑAMIENTO DE EVALUACIÓN Y SEGUIMIENTO A LOS PERMISOS Y LICENCIAMIENTO AMBIENTALES , EN LA JURISDI</t>
        </r>
      </text>
    </comment>
    <comment ref="T47" authorId="0" shapeId="0">
      <text>
        <r>
          <rPr>
            <b/>
            <sz val="9"/>
            <color indexed="81"/>
            <rFont val="Tahoma"/>
            <family val="2"/>
          </rPr>
          <t>User:</t>
        </r>
        <r>
          <rPr>
            <sz val="9"/>
            <color indexed="81"/>
            <rFont val="Tahoma"/>
            <family val="2"/>
          </rPr>
          <t xml:space="preserve">
POAI JOSE TIENEN $4.884.438,8</t>
        </r>
      </text>
    </comment>
    <comment ref="T56" authorId="0" shapeId="0">
      <text>
        <r>
          <rPr>
            <b/>
            <sz val="9"/>
            <color indexed="81"/>
            <rFont val="Tahoma"/>
            <family val="2"/>
          </rPr>
          <t>User:</t>
        </r>
        <r>
          <rPr>
            <sz val="9"/>
            <color indexed="81"/>
            <rFont val="Tahoma"/>
            <family val="2"/>
          </rPr>
          <t xml:space="preserve">
CDP PRESTAR LOS SERVICIOS PROFESIONALES COMO ABOGADO BRINDANDO APOYO JURÍDICO EN EL TRÁMITE E IMPULSO DE LOS PROCESOS SANCIONATORIOS AMBIENTALES A CARGO DE LA DIRECCIÓN TERRITORIAL NORTE DE LA CORPORACIÓN AUTÓNOMA REGIONAL DEL ALTO MAGDALENA - CAM CONFORME LO ESTABLECE LA LEY 1333 DE 2009 Y DEMÁS NORMAS COMPLEMENTARIAS VIGENTES.</t>
        </r>
      </text>
    </comment>
    <comment ref="T57" authorId="0" shapeId="0">
      <text>
        <r>
          <rPr>
            <b/>
            <sz val="9"/>
            <color indexed="81"/>
            <rFont val="Tahoma"/>
            <family val="2"/>
          </rPr>
          <t>User:</t>
        </r>
        <r>
          <rPr>
            <sz val="9"/>
            <color indexed="81"/>
            <rFont val="Tahoma"/>
            <family val="2"/>
          </rPr>
          <t xml:space="preserve">
PRESTAR LOS SERVICIOS PROFESIONALES COMO ABOGADO PARA EL APOYO JURÍDICO A LA DIRECCIÓN TERRITORIAL SUR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r>
      </text>
    </comment>
    <comment ref="T105" authorId="0" shapeId="0">
      <text>
        <r>
          <rPr>
            <b/>
            <sz val="9"/>
            <color indexed="81"/>
            <rFont val="Tahoma"/>
            <family val="2"/>
          </rPr>
          <t>User:</t>
        </r>
        <r>
          <rPr>
            <sz val="9"/>
            <color indexed="81"/>
            <rFont val="Tahoma"/>
            <family val="2"/>
          </rPr>
          <t xml:space="preserve">
NARVAEZ HOYOS SANDRA CAMILA</t>
        </r>
      </text>
    </comment>
    <comment ref="T112" authorId="0" shapeId="0">
      <text>
        <r>
          <rPr>
            <b/>
            <sz val="9"/>
            <color indexed="81"/>
            <rFont val="Tahoma"/>
            <family val="2"/>
          </rPr>
          <t>User:</t>
        </r>
        <r>
          <rPr>
            <sz val="9"/>
            <color indexed="81"/>
            <rFont val="Tahoma"/>
            <family val="2"/>
          </rPr>
          <t xml:space="preserve">
CDP PRESTACIÓN DE SERVICIOS PROFESIONALES PARA LA SUBDIRECCIÓN DE REGULACIÓN Y CALIDAD AMBIENTAL DE APOYO DEL COMPONENTE BIÓTICO, REALIZANDO ACTIVIDADES DE ACOMPAÑAMIENTO DE EVALUACIÓN Y SEGUIMIENTO A LOS PERMISOS Y LICENCIAMIENTO AMBIENTALES , EN LA JURISDICCIÓN DEL DEPARTAMENTO DEL HUILA..</t>
        </r>
      </text>
    </comment>
    <comment ref="T141" authorId="0" shapeId="0">
      <text>
        <r>
          <rPr>
            <b/>
            <sz val="9"/>
            <color indexed="81"/>
            <rFont val="Tahoma"/>
            <family val="2"/>
          </rPr>
          <t>User:</t>
        </r>
        <r>
          <rPr>
            <sz val="9"/>
            <color indexed="81"/>
            <rFont val="Tahoma"/>
            <family val="2"/>
          </rPr>
          <t xml:space="preserve">
QUESADA BAHAMON NICOLAS HERNANDO</t>
        </r>
      </text>
    </comment>
    <comment ref="T142" authorId="0" shapeId="0">
      <text>
        <r>
          <rPr>
            <b/>
            <sz val="9"/>
            <color indexed="81"/>
            <rFont val="Tahoma"/>
            <family val="2"/>
          </rPr>
          <t>User:</t>
        </r>
        <r>
          <rPr>
            <sz val="9"/>
            <color indexed="81"/>
            <rFont val="Tahoma"/>
            <family val="2"/>
          </rPr>
          <t xml:space="preserve">
VARGAS SALAZAR LIZETH DANIELA</t>
        </r>
      </text>
    </comment>
    <comment ref="T143" authorId="0" shapeId="0">
      <text>
        <r>
          <rPr>
            <b/>
            <sz val="9"/>
            <color indexed="81"/>
            <rFont val="Tahoma"/>
            <family val="2"/>
          </rPr>
          <t>User:</t>
        </r>
        <r>
          <rPr>
            <sz val="9"/>
            <color indexed="81"/>
            <rFont val="Tahoma"/>
            <family val="2"/>
          </rPr>
          <t xml:space="preserve">
LABRADOR CADENA ANDRES FELIPE</t>
        </r>
      </text>
    </comment>
    <comment ref="T144" authorId="0" shapeId="0">
      <text>
        <r>
          <rPr>
            <b/>
            <sz val="9"/>
            <color indexed="81"/>
            <rFont val="Tahoma"/>
            <family val="2"/>
          </rPr>
          <t>User:</t>
        </r>
        <r>
          <rPr>
            <sz val="9"/>
            <color indexed="81"/>
            <rFont val="Tahoma"/>
            <family val="2"/>
          </rPr>
          <t xml:space="preserve">
SANDOVAL ROJAS IVAN JAVIER</t>
        </r>
      </text>
    </comment>
    <comment ref="T145" authorId="0" shapeId="0">
      <text>
        <r>
          <rPr>
            <b/>
            <sz val="9"/>
            <color indexed="81"/>
            <rFont val="Tahoma"/>
            <family val="2"/>
          </rPr>
          <t>User:</t>
        </r>
        <r>
          <rPr>
            <sz val="9"/>
            <color indexed="81"/>
            <rFont val="Tahoma"/>
            <family val="2"/>
          </rPr>
          <t xml:space="preserve">
TARAZONA TRUJILLO ALVARO JOSE</t>
        </r>
      </text>
    </comment>
    <comment ref="T146" authorId="0" shapeId="0">
      <text>
        <r>
          <rPr>
            <b/>
            <sz val="9"/>
            <color indexed="81"/>
            <rFont val="Tahoma"/>
            <family val="2"/>
          </rPr>
          <t>User:</t>
        </r>
        <r>
          <rPr>
            <sz val="9"/>
            <color indexed="81"/>
            <rFont val="Tahoma"/>
            <family val="2"/>
          </rPr>
          <t xml:space="preserve">
MUÑOZ AROS NATALIA</t>
        </r>
      </text>
    </comment>
    <comment ref="T147" authorId="0" shapeId="0">
      <text>
        <r>
          <rPr>
            <b/>
            <sz val="9"/>
            <color indexed="81"/>
            <rFont val="Tahoma"/>
            <family val="2"/>
          </rPr>
          <t>User:</t>
        </r>
        <r>
          <rPr>
            <sz val="9"/>
            <color indexed="81"/>
            <rFont val="Tahoma"/>
            <family val="2"/>
          </rPr>
          <t xml:space="preserve">
ORTIZ ABAUAT DANIEL JOSE</t>
        </r>
      </text>
    </comment>
    <comment ref="T148" authorId="0" shapeId="0">
      <text>
        <r>
          <rPr>
            <b/>
            <sz val="9"/>
            <color indexed="81"/>
            <rFont val="Tahoma"/>
            <family val="2"/>
          </rPr>
          <t>User:</t>
        </r>
        <r>
          <rPr>
            <sz val="9"/>
            <color indexed="81"/>
            <rFont val="Tahoma"/>
            <family val="2"/>
          </rPr>
          <t xml:space="preserve">
DURAN SALGADO LINA FERNANDA</t>
        </r>
      </text>
    </comment>
    <comment ref="T149" authorId="0" shapeId="0">
      <text>
        <r>
          <rPr>
            <b/>
            <sz val="9"/>
            <color indexed="81"/>
            <rFont val="Tahoma"/>
            <family val="2"/>
          </rPr>
          <t>User:</t>
        </r>
        <r>
          <rPr>
            <sz val="9"/>
            <color indexed="81"/>
            <rFont val="Tahoma"/>
            <family val="2"/>
          </rPr>
          <t xml:space="preserve">
CARDOSO GUZMAN LAURA CAMILA</t>
        </r>
      </text>
    </comment>
    <comment ref="T151" authorId="0" shapeId="0">
      <text>
        <r>
          <rPr>
            <b/>
            <sz val="9"/>
            <color indexed="81"/>
            <rFont val="Tahoma"/>
            <family val="2"/>
          </rPr>
          <t>User:</t>
        </r>
        <r>
          <rPr>
            <sz val="9"/>
            <color indexed="81"/>
            <rFont val="Tahoma"/>
            <family val="2"/>
          </rPr>
          <t xml:space="preserve">
PEÑA DELGADO JENNIFER ANDREA</t>
        </r>
      </text>
    </comment>
    <comment ref="T152" authorId="0" shapeId="0">
      <text>
        <r>
          <rPr>
            <b/>
            <sz val="9"/>
            <color indexed="81"/>
            <rFont val="Tahoma"/>
            <family val="2"/>
          </rPr>
          <t>User:</t>
        </r>
        <r>
          <rPr>
            <sz val="9"/>
            <color indexed="81"/>
            <rFont val="Tahoma"/>
            <family val="2"/>
          </rPr>
          <t xml:space="preserve">
PINO ARTUNDUAGA JUANA MARIA</t>
        </r>
      </text>
    </comment>
    <comment ref="T153" authorId="0" shapeId="0">
      <text>
        <r>
          <rPr>
            <b/>
            <sz val="9"/>
            <color indexed="81"/>
            <rFont val="Tahoma"/>
            <family val="2"/>
          </rPr>
          <t>User:</t>
        </r>
        <r>
          <rPr>
            <sz val="9"/>
            <color indexed="81"/>
            <rFont val="Tahoma"/>
            <family val="2"/>
          </rPr>
          <t xml:space="preserve">
CDP</t>
        </r>
      </text>
    </comment>
    <comment ref="T154" authorId="0" shapeId="0">
      <text>
        <r>
          <rPr>
            <b/>
            <sz val="9"/>
            <color indexed="81"/>
            <rFont val="Tahoma"/>
            <family val="2"/>
          </rPr>
          <t>User:</t>
        </r>
        <r>
          <rPr>
            <sz val="9"/>
            <color indexed="81"/>
            <rFont val="Tahoma"/>
            <family val="2"/>
          </rPr>
          <t xml:space="preserve">
CDP</t>
        </r>
      </text>
    </comment>
    <comment ref="T155" authorId="0" shapeId="0">
      <text>
        <r>
          <rPr>
            <b/>
            <sz val="9"/>
            <color indexed="81"/>
            <rFont val="Tahoma"/>
            <family val="2"/>
          </rPr>
          <t>User:</t>
        </r>
        <r>
          <rPr>
            <sz val="9"/>
            <color indexed="81"/>
            <rFont val="Tahoma"/>
            <family val="2"/>
          </rPr>
          <t xml:space="preserve">
HENAO CHARRY CLAUDIA MAYERLY</t>
        </r>
      </text>
    </comment>
    <comment ref="T156" authorId="0" shapeId="0">
      <text>
        <r>
          <rPr>
            <b/>
            <sz val="9"/>
            <color indexed="81"/>
            <rFont val="Tahoma"/>
            <family val="2"/>
          </rPr>
          <t>User:</t>
        </r>
        <r>
          <rPr>
            <sz val="9"/>
            <color indexed="81"/>
            <rFont val="Tahoma"/>
            <family val="2"/>
          </rPr>
          <t xml:space="preserve">
LUNA BOLAÑOS ANYELA YOHANA</t>
        </r>
      </text>
    </comment>
    <comment ref="T157" authorId="0" shapeId="0">
      <text>
        <r>
          <rPr>
            <b/>
            <sz val="9"/>
            <color indexed="81"/>
            <rFont val="Tahoma"/>
            <family val="2"/>
          </rPr>
          <t>User:</t>
        </r>
        <r>
          <rPr>
            <sz val="9"/>
            <color indexed="81"/>
            <rFont val="Tahoma"/>
            <family val="2"/>
          </rPr>
          <t xml:space="preserve">
PERDOMO LEAL ADRIANA STEFANY</t>
        </r>
      </text>
    </comment>
    <comment ref="T159" authorId="0" shapeId="0">
      <text>
        <r>
          <rPr>
            <b/>
            <sz val="9"/>
            <color indexed="81"/>
            <rFont val="Tahoma"/>
            <family val="2"/>
          </rPr>
          <t>User:</t>
        </r>
        <r>
          <rPr>
            <sz val="9"/>
            <color indexed="81"/>
            <rFont val="Tahoma"/>
            <family val="2"/>
          </rPr>
          <t xml:space="preserve">
AUTORIDAD NACIONAL DE LICENCIAS AMBIENTALES -ANLA-</t>
        </r>
      </text>
    </comment>
    <comment ref="C161" authorId="0" shapeId="0">
      <text>
        <r>
          <rPr>
            <b/>
            <sz val="9"/>
            <color indexed="81"/>
            <rFont val="Tahoma"/>
            <family val="2"/>
          </rPr>
          <t>User:</t>
        </r>
        <r>
          <rPr>
            <sz val="9"/>
            <color indexed="81"/>
            <rFont val="Tahoma"/>
            <family val="2"/>
          </rPr>
          <t xml:space="preserve">
ESTABA EN Acciones para el seguimiento a Programas de Uso Eficiente y Ahorro del Agua (PUEAA) </t>
        </r>
      </text>
    </comment>
    <comment ref="C162" authorId="0" shapeId="0">
      <text>
        <r>
          <rPr>
            <b/>
            <sz val="9"/>
            <color indexed="81"/>
            <rFont val="Tahoma"/>
            <family val="2"/>
          </rPr>
          <t>User:</t>
        </r>
        <r>
          <rPr>
            <sz val="9"/>
            <color indexed="81"/>
            <rFont val="Tahoma"/>
            <family val="2"/>
          </rPr>
          <t xml:space="preserve">
Se incluye ARL pasantes</t>
        </r>
      </text>
    </comment>
    <comment ref="C163" authorId="0" shapeId="0">
      <text>
        <r>
          <rPr>
            <b/>
            <sz val="9"/>
            <color indexed="81"/>
            <rFont val="Tahoma"/>
            <family val="2"/>
          </rPr>
          <t>User:</t>
        </r>
        <r>
          <rPr>
            <sz val="9"/>
            <color indexed="81"/>
            <rFont val="Tahoma"/>
            <family val="2"/>
          </rPr>
          <t xml:space="preserve">
Se incluye ARL pasantes</t>
        </r>
      </text>
    </comment>
    <comment ref="C167" authorId="0" shapeId="0">
      <text>
        <r>
          <rPr>
            <b/>
            <sz val="9"/>
            <color indexed="81"/>
            <rFont val="Tahoma"/>
            <family val="2"/>
          </rPr>
          <t>User:</t>
        </r>
        <r>
          <rPr>
            <sz val="9"/>
            <color indexed="81"/>
            <rFont val="Tahoma"/>
            <family val="2"/>
          </rPr>
          <t xml:space="preserve">
Personal de apoyo en procesos sancionatorios resueltos</t>
        </r>
      </text>
    </comment>
    <comment ref="T173" authorId="0" shapeId="0">
      <text>
        <r>
          <rPr>
            <b/>
            <sz val="9"/>
            <color indexed="81"/>
            <rFont val="Tahoma"/>
            <family val="2"/>
          </rPr>
          <t>User:</t>
        </r>
        <r>
          <rPr>
            <sz val="9"/>
            <color indexed="81"/>
            <rFont val="Tahoma"/>
            <family val="2"/>
          </rPr>
          <t xml:space="preserve">
Jose tiene en el POAI $24.538.983…le sacamos con Chucho $12.000.000 para el indicador de respel calidad del aire</t>
        </r>
      </text>
    </comment>
    <comment ref="T179" authorId="0" shapeId="0">
      <text>
        <r>
          <rPr>
            <b/>
            <sz val="9"/>
            <color indexed="81"/>
            <rFont val="Tahoma"/>
            <family val="2"/>
          </rPr>
          <t>User:</t>
        </r>
        <r>
          <rPr>
            <sz val="9"/>
            <color indexed="81"/>
            <rFont val="Tahoma"/>
            <family val="2"/>
          </rPr>
          <t xml:space="preserve">
CDP 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r>
      </text>
    </comment>
    <comment ref="T181" authorId="0" shapeId="0">
      <text>
        <r>
          <rPr>
            <b/>
            <sz val="9"/>
            <color indexed="81"/>
            <rFont val="Tahoma"/>
            <family val="2"/>
          </rPr>
          <t>User:</t>
        </r>
        <r>
          <rPr>
            <sz val="9"/>
            <color indexed="81"/>
            <rFont val="Tahoma"/>
            <family val="2"/>
          </rPr>
          <t xml:space="preserve">
CDP PRESTAR LOS SERVICIOS PROFESIONALES COMO ABOGADO BRINDANDO APOYO JURÍDICO EN EL TRÁMITE E IMPULSO DE LOS PROCESOS SANCIONATORIOS AMBIENTALES A CARGO DE LA DIRECCIÓN TERRITORIAL NORTE DE LA CORPORACIÓN AUTÓNOMA REGIONAL DEL ALTO MAGDALENA - CAM CONFORME L</t>
        </r>
      </text>
    </comment>
    <comment ref="U181" authorId="0" shapeId="0">
      <text>
        <r>
          <rPr>
            <b/>
            <sz val="9"/>
            <color indexed="81"/>
            <rFont val="Tahoma"/>
            <family val="2"/>
          </rPr>
          <t>User:</t>
        </r>
        <r>
          <rPr>
            <sz val="9"/>
            <color indexed="81"/>
            <rFont val="Tahoma"/>
            <family val="2"/>
          </rPr>
          <t xml:space="preserve">
Posible CDP en estos días</t>
        </r>
      </text>
    </comment>
    <comment ref="T230" authorId="0" shapeId="0">
      <text>
        <r>
          <rPr>
            <b/>
            <sz val="9"/>
            <color indexed="81"/>
            <rFont val="Tahoma"/>
            <family val="2"/>
          </rPr>
          <t>User:</t>
        </r>
        <r>
          <rPr>
            <sz val="9"/>
            <color indexed="81"/>
            <rFont val="Tahoma"/>
            <family val="2"/>
          </rPr>
          <t xml:space="preserve">
Jose tiene $34.545.126
Nosotros tenemos más porque sumamos acá los $21.393.839 de   Profesional RECAM - Fauna Actividad; Realización de campañas de educación y sensibilización para la conservación de la fuana silvestre Indicador: Estrategia para la preservación, conservación, rehabilitación y/o reintroducción, control y seguimiento a la fauna silvestre formulada e implementada</t>
        </r>
      </text>
    </comment>
    <comment ref="C287" authorId="0" shapeId="0">
      <text>
        <r>
          <rPr>
            <b/>
            <sz val="9"/>
            <color indexed="81"/>
            <rFont val="Tahoma"/>
            <family val="2"/>
          </rPr>
          <t>User:</t>
        </r>
        <r>
          <rPr>
            <sz val="9"/>
            <color indexed="81"/>
            <rFont val="Tahoma"/>
            <family val="2"/>
          </rPr>
          <t xml:space="preserve">
Viene de Gestión ambiental urbana</t>
        </r>
      </text>
    </comment>
    <comment ref="C289" authorId="0" shapeId="0">
      <text>
        <r>
          <rPr>
            <b/>
            <sz val="9"/>
            <color indexed="81"/>
            <rFont val="Tahoma"/>
            <family val="2"/>
          </rPr>
          <t>User:</t>
        </r>
        <r>
          <rPr>
            <sz val="9"/>
            <color indexed="81"/>
            <rFont val="Tahoma"/>
            <family val="2"/>
          </rPr>
          <t xml:space="preserve">
Viene de Gestión Ambiental Urbana</t>
        </r>
      </text>
    </comment>
  </commentList>
</comments>
</file>

<file path=xl/sharedStrings.xml><?xml version="1.0" encoding="utf-8"?>
<sst xmlns="http://schemas.openxmlformats.org/spreadsheetml/2006/main" count="7004" uniqueCount="1525">
  <si>
    <t>Apoyo a la Gestión, Operación, Administración y Promoción del Proyecto</t>
  </si>
  <si>
    <t>Porcentaje de municipios asesorados o asistidos en la inclusión del componente ambiental en los procesos de planificación y ordenamiento territorial, con énfasis en la incorporación de las determinantes ambientales para la revisión y ajuste de los POT (IM 24)</t>
  </si>
  <si>
    <t>Porcentaje de entes territoriales asesorados en la incorporación, planificación y ejecución de acciones relacionadas con cambio climático en el marco de los instrumentos de planificación territorial (IM 7)</t>
  </si>
  <si>
    <t>Porcentaje de ejecución de acciones en gestión ambiental urbana (IM 19)</t>
  </si>
  <si>
    <t>Comunidades Indígenas apoyadas en temas de competencia de la Corporación</t>
  </si>
  <si>
    <t xml:space="preserve">Apoyo logístico para la consolidación de las actividades contenidas en el proyecto Negocios verdes </t>
  </si>
  <si>
    <t>Porcentaje de Consolidación y fortalecimiento del Modelo Integrado de Planeación y Gestión - MIPG</t>
  </si>
  <si>
    <t>Porcentaje de la Política de servicio al ciudadano implementada</t>
  </si>
  <si>
    <t>Porcentaje de actualización e implementación del Plan Estratégico Tecnológico de la CAM para el período 2020-2023</t>
  </si>
  <si>
    <t>Porcentaje de sedes Diseñadas y/o construidas y/o adecuadas, como ejemplo de sostenibilidad ambiental y armonía con el ambiente</t>
  </si>
  <si>
    <t>TOTAL</t>
  </si>
  <si>
    <t>Porcentaje de sectores con acompañamiento para la reconversión hacia sistemas sostenibles de producción (IM 18)</t>
  </si>
  <si>
    <t>Identificación, promoción y aplicación de energías alternativas y/o utilización de sistemas ecoeficientes de combustión en sectores productivos y/o para uso doméstico</t>
  </si>
  <si>
    <t>PROGRAMA</t>
  </si>
  <si>
    <t>PROYECTOS</t>
  </si>
  <si>
    <t>1.1</t>
  </si>
  <si>
    <t>1.2</t>
  </si>
  <si>
    <t>CONSERVACIÓN Y USO EFICIENTE DEL RECURSO HÍDRICO</t>
  </si>
  <si>
    <t>2.1</t>
  </si>
  <si>
    <t>DESARROLLO SECTORIAL SOSTENIBLE</t>
  </si>
  <si>
    <t>2.2</t>
  </si>
  <si>
    <t xml:space="preserve">NEGOCIOS VERDES </t>
  </si>
  <si>
    <t>3.1</t>
  </si>
  <si>
    <t>FORTALECIMIENTO DE LOS PROCESOS DE ORDENAMIENTO Y PLANIFICACIÓN TERRITORIAL</t>
  </si>
  <si>
    <t>3.2</t>
  </si>
  <si>
    <t>3.3</t>
  </si>
  <si>
    <t>GESTIÓN AMBIENTAL CON COMUNIDADES ÉTNICAS</t>
  </si>
  <si>
    <t>4.1</t>
  </si>
  <si>
    <t>AUTORIDAD, REGLAMENTACIÓN Y REGULACIÓN AMBIENTAL</t>
  </si>
  <si>
    <t>4.2</t>
  </si>
  <si>
    <t>FORTALECIMIENTO INSTITUCIONAL PARA LA GESTIÓN AMBIENTAL</t>
  </si>
  <si>
    <t>4.3</t>
  </si>
  <si>
    <t>EDUCACIÓN Y CULTURA AMBIENTAL</t>
  </si>
  <si>
    <t>No. ecosistemas compartidos planificados y/o gestionados por la Corporación</t>
  </si>
  <si>
    <t>% de estudios elaborados  en ejecución de la Política Ambiental</t>
  </si>
  <si>
    <t>Porcentaje de especies  invasoras con medidas de prevención, control y manejo en ejecución (IM 14)</t>
  </si>
  <si>
    <t>Porcentaje de áreas de ecosistemas en restauración, rehabilitación y reforestación (IM 15)</t>
  </si>
  <si>
    <t>Porcentaje de especies amenazadas con medidas de conservación y manejo en ejecución (IM 13)</t>
  </si>
  <si>
    <t>Gestión, Operación, Administración y Promoción del Proyecto apoyados</t>
  </si>
  <si>
    <t xml:space="preserve">Porcentaje de avance en la formulación y/o ajustes de los  Planes de Ordenación y Manejo de Cuencas (POMCAS), Planes de Manejo de Acuíferos (PMA) y Planes de Manejo de Microcuencas (PMM). (IM 1) </t>
  </si>
  <si>
    <t>Porcentaje de Planes de Ordenación y Manejo de Cuencas (POMCAS), Planes de Manejo de Acuíferos (PMA) y Planes de Manejo de Microcuencas (PMM) en ejecución (IM 6)</t>
  </si>
  <si>
    <t>Ha. Recuperadas  y/o rehabilitadas, de suelos degradados por erosión y/o afectación de incendios forestales. Incluye asistencia técnica, capacitación, interventoria, apoyo losgistico (Transporte, almuerzos y refrigerios)</t>
  </si>
  <si>
    <t xml:space="preserve">Ha. revegetalizadas naturalmente para la protección de cuencas abastecedoras </t>
  </si>
  <si>
    <t>Porcentaje de áreas revegetalizadas naturalmente para la protección de cuencas abastecedoras con mantenimiento.</t>
  </si>
  <si>
    <t>Ha. adquiridas y administradas para la restauración  y conservación de áreas estratégicas en cuencas hidrográficas abastecedoras de acueductos municipales y/o veredales</t>
  </si>
  <si>
    <t>Porcentaje de Programas de Uso Eficiente y Ahorro del Agua (PUEAA) con seguimiento (IM 5)</t>
  </si>
  <si>
    <t>Porcentaje de Planes de Gestión Integral de Residuos Sólidos (PGIRS) con seguimiento a metas de aprovechamiento (IM 17)</t>
  </si>
  <si>
    <t>Porcentaje de Planes de Saneamiento y Manejo de Vertimientos –PSMV- con seguimiento (IM 3)</t>
  </si>
  <si>
    <t xml:space="preserve">Porcentaje de asistencia técnica, seguimiento y control a generadores de residuos o desechos peligrosos – RESPEL y especiales </t>
  </si>
  <si>
    <t>Porcentaje de autorizaciones ambientales con seguimiento (IM 22)</t>
  </si>
  <si>
    <t>Tiempo promedio de trámite para la resolución de autorizaciones ambientales otorgadas por la Corporación. (IM 21)</t>
  </si>
  <si>
    <t>Porcentaje de solicitudes de licencias y permisos ambientales resueltos.</t>
  </si>
  <si>
    <t>Porcentaje de procesos sancionatorios resueltos (IM 23)</t>
  </si>
  <si>
    <t>Mapas de ruido y planes de descontaminación actualizados</t>
  </si>
  <si>
    <t>Porcentaje de Optimización y seguimiento de los aplicativos en línea de trámites ambientales (CITA, RUIA, SUNL, LOFL, SILAMC - VITAL).</t>
  </si>
  <si>
    <t>Porcentaje de actualización y reporte de la información en el SIAC (IM 26)</t>
  </si>
  <si>
    <t>Porcentaje de cuerpos de agua con reglamentación por uso de las aguas (IM 4)</t>
  </si>
  <si>
    <t>Porcentaje de cuerpos de agua con plan de ordenamiento del recurso hídrico (PORH) adoptados (IM 2)</t>
  </si>
  <si>
    <t>Implementación del Programa Institucional Regional de monitoreo del agua - PIRMA en aguas superficial y subterráneas</t>
  </si>
  <si>
    <t>Estudios Ambientales del recurso hídrico Evaluación Regional del Agua - ERA) elaborados</t>
  </si>
  <si>
    <t>Porcentaje de áreas reforestadas gestionadas y con mantenimiento para la protección de cuencas abastecedoras.</t>
  </si>
  <si>
    <t>Programa 3203: Gestión integral del recurso hídrico.</t>
  </si>
  <si>
    <t>PRODUCTOS / METAS</t>
  </si>
  <si>
    <t xml:space="preserve">INDICADOR DE PRODUCTO </t>
  </si>
  <si>
    <t>Apoyar la  caracterización y/o gestión de predios como Reserva Natural de la Sociedad Civil - RNSC</t>
  </si>
  <si>
    <t>No. predios apoyados para su caracterización y/o gestión como RNSC</t>
  </si>
  <si>
    <t>Planificar y/o gestionar Ecosistemas compartidos : SIRAP MACIZO, CEERCCO Y CORREDOR TRASANDINO AMAZONICO (CTA)</t>
  </si>
  <si>
    <t>Apoyar las áreas estratégicas en el desarrollo de actividades de investigación -monitoreo y estudios de caracterización de la biodiversidad con participación comunitaria</t>
  </si>
  <si>
    <t>Formular y/o actualizar estudios de Planes de manejo ambiental (PMA) de áreas protegidas (PNR Y DRMI SERRANIA DE MINAS, DRMI CBOB, PNR SIBCEI Y DRMI LA TATACOA)</t>
  </si>
  <si>
    <t>No.</t>
  </si>
  <si>
    <t>Elaborar los estudios priorizados en ejecución de la Política Ambiental</t>
  </si>
  <si>
    <t>Implementar medidas de prevención, control y manejo de especies invasoras</t>
  </si>
  <si>
    <t xml:space="preserve">Ejecutar los Planes de Manejo de Áreas Protegidas </t>
  </si>
  <si>
    <t>Porcentaje de áreas protegidas con planes de manejo en ejecución          (IM 12)</t>
  </si>
  <si>
    <t>Restauración, rehabilitación y reforestación de áreas de ecosistemas</t>
  </si>
  <si>
    <t>Ejecutar medidas de conservación y manejo de especies amenazadas</t>
  </si>
  <si>
    <t xml:space="preserve">Avanzar en la formulación y/o ajustes de los Planes de Ordenación y Manejo de Cuencas (POMCAS), Planes de Manejo de Acuíferos (PMA) y Planes de Manejo de Microcuencas (PMM). </t>
  </si>
  <si>
    <t>Continuar con la ejecución de los Planes de Ordenación y Manejo de Cuencas (POMCAS), Planes de Manejo de Acuíferos (PMA) y Planes de Manejo de Microcuencas (PMM)</t>
  </si>
  <si>
    <t>Porcentaje de suelos degradados en recuperación o rehabilitación (IM 8)</t>
  </si>
  <si>
    <t>Gestión y mantenimiento de áreas reforestadas para la protección de cuencas abastecedoras</t>
  </si>
  <si>
    <t>Apoyo a la revegetalización natural para la protección de cuencas abastecedoras</t>
  </si>
  <si>
    <t>Apoyo al mantenimiento de áreas revegetalizadas naturalmente para la protección de cuencas abastecedoras</t>
  </si>
  <si>
    <t>Adquirir y administrar áreas para la  restauración  y conservación de áreas estratégicas en cuencas hidrográficas abastecedoras de acueductos municipales y/o veredales</t>
  </si>
  <si>
    <t>Suscribir convenios de cofinanciación con municipios para la construcción y seguimiento a proyectos de saneamiento ambiental hídrico como: interceptores, emisarios finales, sistemas de tratamiento de aguas residuales domésticas y/o estudios y diseños asociados a estas obras.</t>
  </si>
  <si>
    <t>Acompañar a los sectores  para la reconversión hacia sistemas sostenibles de producción</t>
  </si>
  <si>
    <t>Apoyo logístico para la consolidación de las actividades contenidas en el proyecto desarrollo sectorial sostenible</t>
  </si>
  <si>
    <t>Implementar el Programa Regional de Negocios Verdes por la Autoridad Ambiental - CAM</t>
  </si>
  <si>
    <t>Asesorar o asistir a los municipios en la inclusión del componente ambiental en los procesos de planificación y ordenamiento territorial, con énfasis en la incorporación de las determinantes ambientales para la revisión y ajuste de los POT</t>
  </si>
  <si>
    <t>Asesorar a los entes territoriales en la incorporación, planificación y ejecución de acciones relacionadas con cambio climático en el marco de los instrumentos de planificación territorial</t>
  </si>
  <si>
    <t>Ejecución de acciones en gestión ambiental</t>
  </si>
  <si>
    <t>Gestión del Conocimiento del Riesgo de Desastres</t>
  </si>
  <si>
    <t>Gestión de Reducción del Riesgo de  Desastres</t>
  </si>
  <si>
    <t>Apoyar a las comunidades indígenas del Dpto en los temas de competencia de la Corporación</t>
  </si>
  <si>
    <t xml:space="preserve">Seguimiento a Programas de Uso Eficiente y Ahorro del Agua (PUEAA) </t>
  </si>
  <si>
    <t xml:space="preserve">No. </t>
  </si>
  <si>
    <t xml:space="preserve">Seguimiento a metas de aprovechamiento de los Planes de Gestión Integral de Residuos Sólidos (PGIRS) </t>
  </si>
  <si>
    <t xml:space="preserve">Seguimiento a  Planes de Saneamiento y Manejo de Vertimientos –PSMV- </t>
  </si>
  <si>
    <t xml:space="preserve">Asistencia técnica, seguimiento y control a generadores de residuos o desechos peligrosos – RESPEL y especiales </t>
  </si>
  <si>
    <t xml:space="preserve">Seguimiento a autorizaciones ambientales </t>
  </si>
  <si>
    <t>Resolución de autorizaciones ambientales otorgadas por la Corporación en el Tiempo promedio de trámite</t>
  </si>
  <si>
    <t xml:space="preserve">Resolución de solicitudes de licencias y permisos ambientales </t>
  </si>
  <si>
    <t xml:space="preserve">Resolución de procesos sancionatorios </t>
  </si>
  <si>
    <t>Implementación de Estrategias de control para extracción ilegal de los recursos naturales. RED DE CONTROL AMBIENTAL RECAM</t>
  </si>
  <si>
    <t>Seguimiento, monitoreo y control a fuentes móviles de emisiones atmosféricas (vía publica y empresas transportadoras - Laboratorio de fuentes móviles)</t>
  </si>
  <si>
    <t>Implementación de la Red de vigilancia y monitoreo de la calidad del aire</t>
  </si>
  <si>
    <t>Seguimiento a los generadores y gestores de Residuos de Construcción y Demolición - RCD</t>
  </si>
  <si>
    <t>Seguimiento a Empresas obligadas a conformar el Departamento de Gestión Ambiental.</t>
  </si>
  <si>
    <t>Optimización y seguimiento de los aplicativos en línea de trámites ambientales (CITA, RUIA, SUNL, LOFL, SILAMC - VITAL).</t>
  </si>
  <si>
    <t xml:space="preserve">Actualización y reporte de la información en el SIAC </t>
  </si>
  <si>
    <t xml:space="preserve">Reglamentación de cuerpos de agua por uso de las aguas </t>
  </si>
  <si>
    <t>Cuerpos de agua con plan de ordenamiento del recurso hídrico (PORH) adoptados (IM 2)</t>
  </si>
  <si>
    <t>Elaboración de estudios Ambientales del recurso hídrico Evaluación Regional del Agua - ERA)</t>
  </si>
  <si>
    <t>Consolidación y fortalecimiento del Modelo Integrado de Gestión - MIPG</t>
  </si>
  <si>
    <t>Implementación de la política de servicio al ciudadano</t>
  </si>
  <si>
    <t>Actualización e implementación del Plan Estratégico Tecnológico de la CAM para el período 2020-2023</t>
  </si>
  <si>
    <t>Actualización e implementación del Programa de Gestión Documental</t>
  </si>
  <si>
    <t xml:space="preserve">Porcentaje de actualización e Implementación del programa de gestión documental  </t>
  </si>
  <si>
    <t>Sedes diseñadas y/o construidas y/o adecuadas, como ejemplo de sostenibilidad ambiental y armonía con el ambiente</t>
  </si>
  <si>
    <t>Ejecutar acciones en Educación ambiental</t>
  </si>
  <si>
    <t>Apoyo logístico para la consolidación de las actividades de Educación y Cultura Ambiental</t>
  </si>
  <si>
    <t>Programa 3204 Gestión de la información y el conocimiento ambiental</t>
  </si>
  <si>
    <t>3299 PROGRAMA  Fortalecimiento de la gestión y dirección del Sector Ambiente y Desarrollo Sostenible</t>
  </si>
  <si>
    <t>329901 Proyecto  FORTALECIMIENTO INSTITUCIONAL PARA LA GESTIÓN AMBIENTAL</t>
  </si>
  <si>
    <t>PROGRAMA 3208 EDUCACIÓN AMBIENTAL</t>
  </si>
  <si>
    <t>320801 Proyecto  EDUCACIÓN Y CULTURA AMBIENTAL</t>
  </si>
  <si>
    <t>GESTIÓN INTEGRAL DE LA BIODIVERSIDAD Y SUS SERVICIOS ECOSISTÉMICOS</t>
  </si>
  <si>
    <t>GESTIÓN EN CONOCIMIENTO Y REDUCCIÓN DEL  RIESGO DE DESASTRES</t>
  </si>
  <si>
    <t>PROGRAMAS</t>
  </si>
  <si>
    <t>Proyecto 320301  CONSERVACIÓN Y USO EFICIENTE DEL RECUSO HÍDRICO</t>
  </si>
  <si>
    <t>Proyecto 320302 ADMINISTRACIÓN DEL RECURSO HÍDRICO</t>
  </si>
  <si>
    <t>Proyecto 320101 DESARROLLO SECTORIAL SOSTENIBLE</t>
  </si>
  <si>
    <t>Programa 3201 Fortalecimiento del desempeño ambiental de los sectores productivos.</t>
  </si>
  <si>
    <t>Proyecto 320102  NEGOCIOS VERDES</t>
  </si>
  <si>
    <t>No. de estrategias de control implementadas para extracción ilegal de los recursos naturales. RED DE CONTROL AMBIENTAL RECAM</t>
  </si>
  <si>
    <t>No. de estrategias de control a la deforestación y conservación y uso sostenible de los bosques en el departamento del Huila implementada</t>
  </si>
  <si>
    <t xml:space="preserve">Implementación de una estrategia de control a la deforestación y conservación y uso sostenible de los bosques en el departamento del Huila. </t>
  </si>
  <si>
    <t>Formulación e implementación de una estrategia para la preservación, conservación, rehabilitación y/o reintroducción, control y seguimiento a la fauna silvestre.</t>
  </si>
  <si>
    <t xml:space="preserve"> No. de estrategias para la preservación, conservación, rehabilitación y/o reintroducción, control y seguimiento a la fauna silvestre formulada e implementada</t>
  </si>
  <si>
    <t>META 2020</t>
  </si>
  <si>
    <t>META 2021</t>
  </si>
  <si>
    <t>META 2022</t>
  </si>
  <si>
    <t>META 2023</t>
  </si>
  <si>
    <t>META PAC</t>
  </si>
  <si>
    <t>Número de fuentes móviles de emisiones atmosféricas (vía publica y empresas transportadoras - Laboratorio de fuentes móviles) con seguimiento, monitoreo y control</t>
  </si>
  <si>
    <t>Número de redes de vigilancia y monitoreo de la calidad del aire implementada</t>
  </si>
  <si>
    <t xml:space="preserve">Actualización de mapas de ruido y planes de descontaminación </t>
  </si>
  <si>
    <t>% generadores y gestores de Residuos de Construcción y Demolición - RCD con seguimiento</t>
  </si>
  <si>
    <t>% empresas obligadas a conformar el Departamento de Gestión Ambiental con seguimiento</t>
  </si>
  <si>
    <t>% Implementación del Programa Regional de Negocios Verdes por la autoridad ambiental (IM 20)</t>
  </si>
  <si>
    <t>No. áreas estratégicas con desarrollo de actividades de investigacion-monitoreo y estudios de caracterización de la biodiversidad con participación comunitaria</t>
  </si>
  <si>
    <t xml:space="preserve">No.  estudios formulados  y/o actualizados de planes de manejo ambiental (PMA) de áreas protegidas </t>
  </si>
  <si>
    <t xml:space="preserve">Proyecto 320202  CONTROL, SEGUIMIENTO Y MONITOREO AL USO Y MANEJO DE LOS RECURSOS DE LA OFERTA NATURAL </t>
  </si>
  <si>
    <t>META 20</t>
  </si>
  <si>
    <t>Proyecto 320103 CONTROL Y VIGLANCIA AL DESARROLLO SECTORIAL SOSTENIBLE</t>
  </si>
  <si>
    <t>Suelos degradados en recuperación</t>
  </si>
  <si>
    <t>Proyecto 320201 GESTIÓN DE LA BIODIVERSIDAD Y SUS SERVICIOS ECOSISTÉMICOS</t>
  </si>
  <si>
    <t xml:space="preserve"> Proyecto 320501 FORTALECIMIENTO DE LOS PROCESOS DE ORDENAMIENTO Y PLANIFICACIÓN TERRITORIAL</t>
  </si>
  <si>
    <t>Programa 3205 Ordenamiento ambiental territorial.</t>
  </si>
  <si>
    <t>Programa 3206 Gestión del cambio climático para un desarrollo bajo en carbono y resiliente al clima</t>
  </si>
  <si>
    <t xml:space="preserve">Proyecto 320601 GESTIÓN DEL CAMBIO CLIMÁTICO </t>
  </si>
  <si>
    <t>CONTROL Y VIGILANCIA AL DESARROLLO SECTORIAL SOSTENIBLE</t>
  </si>
  <si>
    <t>CONTROL, SEGUIMIENTO Y MONITOREO AL USO Y MANEJO DE RECURSOS DE LA OFERTA NATURAL</t>
  </si>
  <si>
    <t>RESTAURACIÓN, REFORESTACIÓN Y PROTECCIÓN DE ECOSISTEMAS ESTRATÉGICOS EN CUENCAS HIDROGRÁFICAS</t>
  </si>
  <si>
    <t>Proyecto 320203 Restauración, reforestación y protección de ecosistemas estratégicos en cuencas hidrográficas</t>
  </si>
  <si>
    <t xml:space="preserve">ADMINISTRACIÓN DEL RECURSO HIDRICO </t>
  </si>
  <si>
    <t>INFORMACIÓN Y CONOCIMIENTO AMBIENTAL</t>
  </si>
  <si>
    <t>GESTIÓN DEL CAMBIO CLIMÁTICO</t>
  </si>
  <si>
    <t>Programa 3202 Conservación de la biodiversidad y sus servicios ecosistémicos</t>
  </si>
  <si>
    <t>PRESUPUESTO DE INVERSIÓN</t>
  </si>
  <si>
    <t>GESTIÓN DEL CONOCIMIENTO Y REDUCCIÓN DEL  RIESGO DE DESASTRES</t>
  </si>
  <si>
    <t>Proyecto 320502 GESTIÓN DEL CONOCIMIENTO Y REDUCCIÓN DEL RIESGO DE DESASTRES</t>
  </si>
  <si>
    <t>Energías alternativas y/o utilización de sistemas ecoeficientes de combustión en sectores productivos y/o para uso doméstico Identificadas, promovidas y aplicadas (%)</t>
  </si>
  <si>
    <t>% Ejecución de acciones en Educación Ambiental (IMG)</t>
  </si>
  <si>
    <t>CONOCIMIENTO DEL RIESGO DE DESASTRES GESTIONADO (%)</t>
  </si>
  <si>
    <t>REDUCCIÓN DEL RIESGO DE DESASTRES GESTIONADO (%)</t>
  </si>
  <si>
    <t xml:space="preserve"> Proyecto 320503 GESTIÓN AMBIENTAL CON COMUNIDADES ÉTNICAS </t>
  </si>
  <si>
    <t xml:space="preserve">GESTIÓN AMBIENTAL CON COMUNIDADES ETNICAS </t>
  </si>
  <si>
    <t>PROGRAMA 3202: CONSERVACION DE LA BIODIVERSIDAD Y SUS SERVICIOS ECOSISTEMICOS</t>
  </si>
  <si>
    <t>PROYECTO 320201: GESTIÓN DE LA BIODIVERSIDAD Y SUS SERVICIOS ECOSISTÉMICOS</t>
  </si>
  <si>
    <t>PROGRAMA 3203: GESTIÓN INTEGRAL DEL RECURSO HÍDRICO.</t>
  </si>
  <si>
    <t>PROYECTO 320302: ADMINISTRACIÓN DEL RECURSO HÍDRICO</t>
  </si>
  <si>
    <t>PROGRAMA 3204 GESTIÓN DE LA INFORMACIÓN Y EL CONOCIMIENTO AMBIENTAL</t>
  </si>
  <si>
    <t>PROYECTO 320401: INFORMACIÓN Y CONOCIMIENTO AMBIENTAL</t>
  </si>
  <si>
    <t>PROGRAMA 3205 ORDENAMIENTO AMBIENTAL TERRITORIAL.</t>
  </si>
  <si>
    <t>PROGRAMA 3206: GESTIÓN DEL CAMBIO CLIMÁTICO PARA UN DESARROLLO BAJO EN CARBONO Y RESILIENTE AL CLIMA</t>
  </si>
  <si>
    <t>PROGRAMA: 3208 EDUCACIÓN AMBIENTAL</t>
  </si>
  <si>
    <t>PROYECTO 320801: EDUCACIÓN Y CULTURA AMBIENTAL</t>
  </si>
  <si>
    <t>PROGRAMA  3299: FORTALECIMIENTO DE LA GESTIÓN Y DIRECCIÓN DEL SECTOR AMBIENTE Y DESARROLLO SOSTENIBLE</t>
  </si>
  <si>
    <t>INDICADOR / ACTIVIDAD</t>
  </si>
  <si>
    <t>FUENTES</t>
  </si>
  <si>
    <t>UNIDAD DE MEDIDA</t>
  </si>
  <si>
    <t>CANTIDAD</t>
  </si>
  <si>
    <t>TSE</t>
  </si>
  <si>
    <t>TUA</t>
  </si>
  <si>
    <t>% AMBIENTAL</t>
  </si>
  <si>
    <t xml:space="preserve">VALOR TOTAL </t>
  </si>
  <si>
    <t>No. predios apoyados para su caracterización y/o gestión como reserva natural de la sociedad civil</t>
  </si>
  <si>
    <t>Hombre/mes</t>
  </si>
  <si>
    <t>Global</t>
  </si>
  <si>
    <t>Und</t>
  </si>
  <si>
    <t>No.de áreas estratégicas con desarrollo de actividades de investigacion-monitoreo y estudios de caracterización de la biodiversidad con participación comunitaria</t>
  </si>
  <si>
    <t xml:space="preserve">No. De estudios formulados  y/o actualizados de planes de manejo ambiental (PMA) de áreas protegidas </t>
  </si>
  <si>
    <t>%</t>
  </si>
  <si>
    <t>Porcentaje de áreas protegidas con planes de manejo en ejecución (IM 12)</t>
  </si>
  <si>
    <t>Gastos de personal</t>
  </si>
  <si>
    <t xml:space="preserve">TOTAL </t>
  </si>
  <si>
    <t>CÓDIGO PRESUPUESTAL</t>
  </si>
  <si>
    <t>CÓDIGO CIIU</t>
  </si>
  <si>
    <t>% AMB</t>
  </si>
  <si>
    <t>OTROS RP</t>
  </si>
  <si>
    <t>Implementación del Programa Regional de Negocios Verdes por la autoridad ambiental (IM 20)</t>
  </si>
  <si>
    <t>2.3.2.02.02.008</t>
  </si>
  <si>
    <t>Apoyo a la  Gestión, Operación, Administración y Promoción del Proyecto</t>
  </si>
  <si>
    <t>FUENTE</t>
  </si>
  <si>
    <t xml:space="preserve">UNIDAD DE MEDIDA </t>
  </si>
  <si>
    <t>TASA RETRIBUTIVA</t>
  </si>
  <si>
    <t>TASA FORESTAL</t>
  </si>
  <si>
    <t xml:space="preserve">Acciones para el seguimiento a metas de aprovechamiento de los Planes de Gestión Integral de Residuos Sólidos (PGIRS) </t>
  </si>
  <si>
    <t>Acciones para el seguimiento, control y asistencia tecnica a generadores de RESPEL y especiales.</t>
  </si>
  <si>
    <t>No. Fuentes móviles de emisiones atmosféricas (via publica y empresas transportadoras - Laboratorio de fuentes moviles) con seguimiento, monitoreo y control</t>
  </si>
  <si>
    <t>Operativos de seguimiento, monitoreo y control a fuentes moviles</t>
  </si>
  <si>
    <t>No. Redes de vigilancia y monitoreo de la calidad del aire implementada</t>
  </si>
  <si>
    <t>No. Mapas de ruido y planes de descontaminación actualizados</t>
  </si>
  <si>
    <t>Seguimiento, control y asistencia tecnica a generadores de RCD</t>
  </si>
  <si>
    <t>% de Generadores y gestores de Residuos de Construcción y Demolición - RCD con seguimiento</t>
  </si>
  <si>
    <t>% de Empresas obligadas a conformar el Departamento de Gestión Ambiental con seguimiento</t>
  </si>
  <si>
    <t>TOTALES</t>
  </si>
  <si>
    <t>No. De Estrategias de control implementadas para extracción  ilegal de los recursos naturales. RED DE CONTROL AMBIENTAL RECAM</t>
  </si>
  <si>
    <t>Estrategias de control a la deforestacion y conservacion y uso sostenible de los bosques en el departamento del Huila implementada</t>
  </si>
  <si>
    <t>Estrategia para la preservación, conservación, rehabilitación y/o reintroducción, control y seguimiento a la fauna silvestre formulada e implementada</t>
  </si>
  <si>
    <t>PROYECTO</t>
  </si>
  <si>
    <t>Porcentaje de suelos degradados en recuperación o rehabilitacón (IM 8)</t>
  </si>
  <si>
    <t>Ha</t>
  </si>
  <si>
    <t>Ha.</t>
  </si>
  <si>
    <t>No. De convenios  para cofinanciar la construcción  y seguimiento a proyectos de saneamiento ambiental hídrico como: interceptores, emisarios finales,  sistemas de tratamiento de aguas residuales domésticas y/o estudios y diseños asociados a estas obras.</t>
  </si>
  <si>
    <t xml:space="preserve">Acciones para el seguimiento a  Planes de Saneamiento y Manejo de Vertimientos –PSMV- </t>
  </si>
  <si>
    <t>CONOCIMIENTO DEL RIESGO DE DESASTRES GESTIONADO</t>
  </si>
  <si>
    <t>REDUCCIÓN DEL RIESGO DE DESASTRES GESTIONADO</t>
  </si>
  <si>
    <t>Gl</t>
  </si>
  <si>
    <t>Ejecución de acciones en Educación Ambiental (IM 27)</t>
  </si>
  <si>
    <t>SOBRETASA AMBIENTAL - PREDIAL</t>
  </si>
  <si>
    <t xml:space="preserve">Porcentaje de actualización e Implementacion del programa de gestión documental  </t>
  </si>
  <si>
    <t>Proyecto 320401 INFORMACIÓN Y CONOCIMIENTO AMBIENTAL</t>
  </si>
  <si>
    <t>Apoyo a la gestión del proyecto</t>
  </si>
  <si>
    <t>ADICION PRESUPUESTAL</t>
  </si>
  <si>
    <t>VALOR</t>
  </si>
  <si>
    <t xml:space="preserve">Fortalecimiento del desempeño ambiental de los sectores productivos </t>
  </si>
  <si>
    <t>Conservación de la biodiversidad y sus servicios ecosistémicos.</t>
  </si>
  <si>
    <t>Gestión integral del recurso hídrico.</t>
  </si>
  <si>
    <t>Gestión de la información y el conocimiento ambiental.</t>
  </si>
  <si>
    <t>Ordenamiento ambiental territorial.</t>
  </si>
  <si>
    <t>Gestión del cambio climático para un desarrollo bajo en carbono y resiliente al clima</t>
  </si>
  <si>
    <t xml:space="preserve">Educación Ambiental </t>
  </si>
  <si>
    <t>Fortalecimiento de la gestión y dirección del Sector Ambiente y Desarrollo Sostenible.</t>
  </si>
  <si>
    <t>CÓDIGO</t>
  </si>
  <si>
    <t>Desarrollo sectorial sostenible</t>
  </si>
  <si>
    <t xml:space="preserve">Negocios verdes </t>
  </si>
  <si>
    <t>Control y vigilancia al desarrollo sectorial sostenible</t>
  </si>
  <si>
    <t>Gestión integral de la biodiversidad y sus servicios ecosistémicos</t>
  </si>
  <si>
    <t>Control, seguimiento y monitoreo al uso y manejo de recursos de la oferta natural</t>
  </si>
  <si>
    <t>Restauración, reforestación y protección de ecosistemas estratégicos en cuencas hidrográficas</t>
  </si>
  <si>
    <t>Conservación y uso eficiente del recurso hídrico</t>
  </si>
  <si>
    <t xml:space="preserve">Administración del recurso hidrico </t>
  </si>
  <si>
    <t>Información y conocimiento ambiental</t>
  </si>
  <si>
    <t>Fortalecimiento de los procesos de ordenamiento y planificación territorial</t>
  </si>
  <si>
    <t>Gestión del conocimiento y reducción del  riesgo de desastres</t>
  </si>
  <si>
    <t>Gestión ambiental con comunidades étnicas</t>
  </si>
  <si>
    <t>Gestión del cambio climático</t>
  </si>
  <si>
    <t>Educación y cultura ambiental</t>
  </si>
  <si>
    <t>Fortalecimiento institucional para la gestión ambiental</t>
  </si>
  <si>
    <t>CANT.</t>
  </si>
  <si>
    <t xml:space="preserve">GESTIÓN Y CONSERVACION DE LA RIQUEZA NATURAL </t>
  </si>
  <si>
    <t>CONSERVACIÓN DE LOS RECURSOS NATURALES EN EL DESARROLLO SECTORIAL PRODUCTIVO</t>
  </si>
  <si>
    <t xml:space="preserve"> DESARROLLO TERRITORIAL SOSTENIBLE Y ADAPTACIÓN AL CAMBIO CLIMÁTICO</t>
  </si>
  <si>
    <t>INSTITUCIÓN AMBIENTAL MODERNA Y GENERACIÓN DE CAPACIDADES</t>
  </si>
  <si>
    <t>INDIC.</t>
  </si>
  <si>
    <t>PROYECTO 320203: RESTAURACIÓN, REFORESTACIÓN Y PROTECCIÓN DE ECOSISTEMAS ESTRATÉGICOS EN CUENCAS HIDROGRÁFICAS</t>
  </si>
  <si>
    <t>TR</t>
  </si>
  <si>
    <t>CODIGO DE PRODUCTO</t>
  </si>
  <si>
    <t>AREA RESPONSABLE</t>
  </si>
  <si>
    <t>PROFESIONAL RESPONSABLE</t>
  </si>
  <si>
    <t>RUIDP</t>
  </si>
  <si>
    <t>PROGRAMA 3201: FORTALECIMIENTO DEL DESEMPEÑO AMBIENTAL DE LOS SECTORES PRODUCTIVOS</t>
  </si>
  <si>
    <t>PROYECTO 320101: DESARROLLO SECTORIAL SOSTENIBLE</t>
  </si>
  <si>
    <t>PROYECTO 320102: NEGOCIOS VERDES</t>
  </si>
  <si>
    <t>PROYECTO 320103: CONTROL Y VIGILANCIA DEL DESARROLLO SECTORIAL SOSTENIBLE</t>
  </si>
  <si>
    <t>Fuentes móviles de emisiones atmosféricas (via publica y empresas transportadoras - Laboratorio de fuentes moviles) con seguimiento, monitoreo y control</t>
  </si>
  <si>
    <t>No. Red de vigilancia y monitoreo de la calidad del aire implementada</t>
  </si>
  <si>
    <t>Porcentaje de Generadores y gestores de Residuos de Construcción y Demolición - RCD con seguimiento</t>
  </si>
  <si>
    <t>Porcentaje de Empresas obligadas a conformar el Departamento de Gestión Ambiental con seguimiento</t>
  </si>
  <si>
    <t>PROGRAMA 3202: CONSERVACION DE LA BIODIVERSIDAD Y SUS SERVICIOS ECOSISTÉMICOS</t>
  </si>
  <si>
    <t>PROYECTO 320202: CONTROL, SEGUIMIENTO Y MONITOREO AL USO Y MANEJO DE RECURSOS DE LA OFERTA NATURAL</t>
  </si>
  <si>
    <t>No. De Estrategias de control a la deforestacion y conservacion y uso sostenible de los bosques en el departamento del Huila implementada</t>
  </si>
  <si>
    <t>No. Estrategia para la preservación, conservación, rehabilitación y/o reintroducción, control y seguimiento a la fauna silvestre formulada e implementada</t>
  </si>
  <si>
    <t>Porcetaje de áreas reforestadas gestionadas y con mantenimiento para la protección de cuencas abastecedoras.</t>
  </si>
  <si>
    <t>PROGRAMA 3203: GESTIÓN INTEGRAL DEL RECURSO HÍDRICO</t>
  </si>
  <si>
    <t>PROYECTO 320301: CONSERVACIÓN Y USO EFICIENTE DEL RECURSO HÍDRICO</t>
  </si>
  <si>
    <t>PROGRAMA 3204: GESTIÓN DE LA INFORMACIÓN Y DEL CONOCIMIENTO</t>
  </si>
  <si>
    <t>PROGRAMA 3205: ORDENAMIENTO AMBIENTAL TERRITORIAL</t>
  </si>
  <si>
    <t>PROYECTO 320501: FORTALECIMIENTO DE LOS PROCESOS DE ORENAMIENTO Y PLANIFICACIÓN TERRITORIAL</t>
  </si>
  <si>
    <t>PROYECTO 320502: GESTIÓN DEL CONOCIMIENTO Y GESTIÓN DEL RIESGO DE DESASTRES</t>
  </si>
  <si>
    <t>Conocimiento del Riesgo de Desastres gestionado</t>
  </si>
  <si>
    <t>Reducción del Riesgo de Desastres gestionado</t>
  </si>
  <si>
    <t>PROYECTO 320503: GESTIÓN AMBIENTAL CON COMUNIDADES ÉTNICAS</t>
  </si>
  <si>
    <t xml:space="preserve">Und </t>
  </si>
  <si>
    <t>PROYECTO 320601: GESTIÓN DEL CAMBIO CLIMÁTICO</t>
  </si>
  <si>
    <t>PROGRAMA 3208: EDUCACIÓN AMBIENTAL</t>
  </si>
  <si>
    <t>PROGRAMA 3299: FORTALECIMIENTO DE LA GESTIÓN Y DIRECCIÓN DEL SECTOR AMBIENTE Y DESARROLLO SOSTENIBLE</t>
  </si>
  <si>
    <t>PROYECTO 329901: FORTALECIMIENTO INSTITUCIONAL PARA LA GESTIÓN AMBIENTAL</t>
  </si>
  <si>
    <t>CODIGO PRODUCTO</t>
  </si>
  <si>
    <t xml:space="preserve">INDICADOR / ACTIVIDAD </t>
  </si>
  <si>
    <t>INDICADOR / ACTIVIDAD / ACCIONES</t>
  </si>
  <si>
    <t>CODIGO PRESUPUESTAL</t>
  </si>
  <si>
    <t>UNIDAD</t>
  </si>
  <si>
    <t>TF</t>
  </si>
  <si>
    <t>%AMB</t>
  </si>
  <si>
    <t>Transporte</t>
  </si>
  <si>
    <t>DETALLE</t>
  </si>
  <si>
    <t xml:space="preserve"> </t>
  </si>
  <si>
    <t>VALOR TOTAL</t>
  </si>
  <si>
    <t>VR UNITARIO</t>
  </si>
  <si>
    <t>CUANDO</t>
  </si>
  <si>
    <t>INDICADOR / ACTIVIDAD / ACCION</t>
  </si>
  <si>
    <t>TOTAL PRESUPUESTO DE INVERSION</t>
  </si>
  <si>
    <t>PRESUPUESTO INICIAL</t>
  </si>
  <si>
    <t>PRESUPUESTO FINAL</t>
  </si>
  <si>
    <t>PRESUPUESTO CON ADICION</t>
  </si>
  <si>
    <t>EJECUTADO</t>
  </si>
  <si>
    <t>A 31 de octubre</t>
  </si>
  <si>
    <t>saldos</t>
  </si>
  <si>
    <t>% Incremento</t>
  </si>
  <si>
    <t>% participación</t>
  </si>
  <si>
    <t>Vigencia</t>
  </si>
  <si>
    <t>NORMATIVIDAD APLICABLE</t>
  </si>
  <si>
    <t>Artículo 211 de la Ley 1450 de 2011: adiciona parágrafos al artículo 42 de la Ley 99 de 1993</t>
  </si>
  <si>
    <t xml:space="preserve">Los recursos provenientes del recaudo de las tasas retributivas se destinarán a proyectos de inversión en descontaminación y monitoreo de la calidad del recurso respectivo. Para cubrir los gastos de implementación y seguimiento de la tasa, la autoridad ambiental competente podrá utilizar hasta el 10% de los recursos recaudados. </t>
  </si>
  <si>
    <t>VR POR FUENTE</t>
  </si>
  <si>
    <t>Ley 1450 de 2011, artículo 216: Adiciónese los siguientes parágrafos al artículo 43 de la Ley 99 de 1993</t>
  </si>
  <si>
    <t xml:space="preserve">Se destinarán de la siguiente manera: a) En las cuencas con POM adoptado, se destinarán exclusivamente a las actividades de protección, recuperación y monitoreo del recurso hídrico definidas en el mismo; b) En las cuencas declaradas en ordenación, se destinarán a la elaboración del POM Cuenca; c) En ausencia de las condiciones establecidas en los literales a) y b), se destinarán a actividades de protección y recuperación del recurso hídrico definidos en los instrumentos de planificación de la autoridad ambiental competente y teniendo en cuenta las directrices del MADS. Para cubrir gastos de implementación, monitoreo y seguimiento, la autoridad ambiental podrá utilizar hasta el (10%) de los recaudos. </t>
  </si>
  <si>
    <t>Se ejecutarán conforme a los planes ambientales regionales y municipales; se destinarán los recursos a la ejecución de programas y proyectos de protección o restauración del medio ambiente y los recursos naturales renovables, de acuerdo con los planes de desarrollo de los municipios del área de su jurisdicción. Para la ejecución de las inversiones que afecten estos recursos se seguirán las reglas especiales sobre planificación ambiental que la presente ley establece”.</t>
  </si>
  <si>
    <t>Ley 1930 de 2018 artículo 24, Decreto 1933 de 1994 Decreto 1729 de 2002 Decreto 1933 de 1994, Artículo 5</t>
  </si>
  <si>
    <t>Se destinarán a la financiación de los planes de ordenación de las cuencas hidrográficas, a la protección del medio ambiente y a la defensa de la cuenca hidrográfica y del área de influencia del proyecto. De los recursos de que habla este artículo sólo se podrá destinar hasta el 10% para gastos de funcionamiento”.</t>
  </si>
  <si>
    <r>
      <t>MULTAS:</t>
    </r>
    <r>
      <rPr>
        <sz val="11"/>
        <color rgb="FF000000"/>
        <rFont val="Arial"/>
        <family val="2"/>
      </rPr>
      <t>. No existe norma que defina su destinación por lo tanto su porcentaje para inversión o funcionamiento lo define la Corporación</t>
    </r>
  </si>
  <si>
    <t xml:space="preserve"> Art. 46 Ley 99 de 1993</t>
  </si>
  <si>
    <t>Art.44 Ley 99 de 1994</t>
  </si>
  <si>
    <t>Ley 99 de 1993</t>
  </si>
  <si>
    <t>% AMB (sobretasa y predial)</t>
  </si>
  <si>
    <t>% PARTICP</t>
  </si>
  <si>
    <t>VALOR CONTRATO (sin 4/1000)</t>
  </si>
  <si>
    <t>VALOR (Incl 4/1000)</t>
  </si>
  <si>
    <t>CÓDIGO CPC - DANE</t>
  </si>
  <si>
    <t>CODIGO CPC</t>
  </si>
  <si>
    <t>7490</t>
  </si>
  <si>
    <t>PROGRAMA 3205 ORDENAMIENTO AMBIENTAL TERRITORIAL</t>
  </si>
  <si>
    <t>CÓDIGO CPC- DANE</t>
  </si>
  <si>
    <t>% AMB.</t>
  </si>
  <si>
    <t>SGR</t>
  </si>
  <si>
    <t>Proyecto SGR Polinización con Meliponas</t>
  </si>
  <si>
    <t xml:space="preserve">TSE </t>
  </si>
  <si>
    <t>CONV. 023 - GOBERNACIÓN</t>
  </si>
  <si>
    <t>Formulación del PORH Y Reglamentación Agua rio Aipe</t>
  </si>
  <si>
    <t>PRESUPUESTO REQUERIDO</t>
  </si>
  <si>
    <t>SALDO</t>
  </si>
  <si>
    <t>Profesional de apoyo  seguimiento a las actividades comunidades indígenas</t>
  </si>
  <si>
    <r>
      <t xml:space="preserve">Código: </t>
    </r>
    <r>
      <rPr>
        <sz val="10"/>
        <rFont val="Arial"/>
        <family val="2"/>
      </rPr>
      <t xml:space="preserve">T-CAM-029 </t>
    </r>
  </si>
  <si>
    <t>Versión: 4</t>
  </si>
  <si>
    <t>Fecha: 28-02-2020</t>
  </si>
  <si>
    <t>PLAN OPERATIVO ANUAL DE INVERSIOENS</t>
  </si>
  <si>
    <t>No INDICADOR</t>
  </si>
  <si>
    <t>No ACTIVIDAD</t>
  </si>
  <si>
    <t>Mes</t>
  </si>
  <si>
    <t>Profesional acompañamiento SENDICAM-Neiva</t>
  </si>
  <si>
    <t>Profesional apoyo educación ambiental ejecución de acciones establecidos en el indicador mínimo de gestión IM27.</t>
  </si>
  <si>
    <t>Apoyo educación ambiental con la música</t>
  </si>
  <si>
    <t>2.3.2.02.01.000</t>
  </si>
  <si>
    <t>Promoción y participación en eventos de educación ambiental (Encuentro ONGs, encuentro docentes, encuentro Jóvenes de ambiente, Ferias, Festivales).</t>
  </si>
  <si>
    <t>Apoyo e implementación de PRAE y PROCEDAS</t>
  </si>
  <si>
    <t>Diseñador Gráfico</t>
  </si>
  <si>
    <t>Apoyo técnico audiovisual</t>
  </si>
  <si>
    <t>Profesional apoyo comunicaciones</t>
  </si>
  <si>
    <t>Pautas comunicativas-Plan de medios</t>
  </si>
  <si>
    <t>2.3.2.02.02.006</t>
  </si>
  <si>
    <t>2,3,1</t>
  </si>
  <si>
    <t>CÓDIGO DANE</t>
  </si>
  <si>
    <t>Profesional apoyo contable, financiero y comercial</t>
  </si>
  <si>
    <t>Profesional Fortalecimiento Imagen y Marketing Empresas NV</t>
  </si>
  <si>
    <t>mes</t>
  </si>
  <si>
    <t>COSTO UNITARIO</t>
  </si>
  <si>
    <t>Apoyo a empresarios en participación de ferias y eventos nacionales y regionales</t>
  </si>
  <si>
    <t>Profesional apoyo turismo sostenible</t>
  </si>
  <si>
    <t xml:space="preserve">Profesional apoyo flora silvestre </t>
  </si>
  <si>
    <t>2.3.2.02.02.005</t>
  </si>
  <si>
    <t>64221
64222
64223
64224</t>
  </si>
  <si>
    <t>Profesional apoyo seguimiento inversiones sectores productivos</t>
  </si>
  <si>
    <t>MES/PERSONA</t>
  </si>
  <si>
    <t>2.3.2.02.02.009</t>
  </si>
  <si>
    <t>Material Vegetal para sectores productivos y alianzas productivos</t>
  </si>
  <si>
    <t>2.3.2.01.01.005.01.02.06</t>
  </si>
  <si>
    <t>0196104, 196106</t>
  </si>
  <si>
    <t>Puntos ecologicos</t>
  </si>
  <si>
    <t>Silvopastoril</t>
  </si>
  <si>
    <t>Construcción Biodigestores</t>
  </si>
  <si>
    <t>2.3.2.01.01.001.03.19</t>
  </si>
  <si>
    <t>64221, 64222, 64223, 64224</t>
  </si>
  <si>
    <t>2.3.1</t>
  </si>
  <si>
    <t>mes/persona</t>
  </si>
  <si>
    <t>Construcción de hornillas ecoeficientes</t>
  </si>
  <si>
    <t>2.3.2.01.01.003.01.04</t>
  </si>
  <si>
    <t>Unidad</t>
  </si>
  <si>
    <t>Segumiento componente ambiental hornillas</t>
  </si>
  <si>
    <t>Profesional SIG</t>
  </si>
  <si>
    <t>2.3.2.02.01.000
2.3.2.02.01.002
2.3.2.02.01.003
2.3.2.02.01.004
2.3.2.01.01.003.04.06</t>
  </si>
  <si>
    <t>01121,01260,23996,27320,34231,34240,34632,34659,34661,34662,36320,36490,37450,42921,42942,42944,42946,42999,43220,46212,2354001,3417099,3417099,3899310,4653101,4733004,2823127,31700,4219096</t>
  </si>
  <si>
    <t>Pozos Sépticos</t>
  </si>
  <si>
    <t>Interventoria Pozos sépticos</t>
  </si>
  <si>
    <t>Profesional Herpetologia - Monitoreo participativo en Áreas Estratégicas</t>
  </si>
  <si>
    <t>Profesional Ornitologia - Monitoreo participativo en Áreas Estratégicas</t>
  </si>
  <si>
    <t>Profesional PNR Páramo de las Oseras</t>
  </si>
  <si>
    <t>Profesional DRMI La Tatacoa</t>
  </si>
  <si>
    <t>Profesional PNR Cerro Páramo Miraflores</t>
  </si>
  <si>
    <t>Profesional PNR CBGP</t>
  </si>
  <si>
    <t>Profesional DRMI Peñas Blancas</t>
  </si>
  <si>
    <t>Profesional PNR El Dorado - PNR Serranía de Minas</t>
  </si>
  <si>
    <t>Profesional DRMI Serranía de Minas</t>
  </si>
  <si>
    <t>Profesional DRMI Cerro Banderas Ojo Blanco</t>
  </si>
  <si>
    <t>Profesional PNR Siberia Ceibas</t>
  </si>
  <si>
    <t>Profesional Apoyo SIDAP</t>
  </si>
  <si>
    <t>Material vegetal Reforestacion y/o Sistemas Productivos</t>
  </si>
  <si>
    <t>Logística Celebración Fechas Ambientales</t>
  </si>
  <si>
    <t>Profesional bosque seco tropical</t>
  </si>
  <si>
    <t>Profesional Implementacion de PMA Humedales</t>
  </si>
  <si>
    <t>Profesional 1 Implementacion de Plan de conservacion de especies amenazadas Fauna</t>
  </si>
  <si>
    <t>Logistica intercambios y fortalecimiento de redes de monitoreo y conservacion</t>
  </si>
  <si>
    <t>COSTO UNNITARIO</t>
  </si>
  <si>
    <t>PLAN OPERATIVO ANUAL DE INVERSIONES</t>
  </si>
  <si>
    <t>COSTO UNITARIIO</t>
  </si>
  <si>
    <t>Apoyo SIG</t>
  </si>
  <si>
    <t>Elisa Sandoval</t>
  </si>
  <si>
    <t>Catalina Villarreal</t>
  </si>
  <si>
    <t>Apoyo seguimiento financiero Plan de Acción Institucional</t>
  </si>
  <si>
    <t>Leidy Montes</t>
  </si>
  <si>
    <t>Apoyo informes y gestión dirección</t>
  </si>
  <si>
    <t>Apoyo inventario infracciones, licencias y permisos</t>
  </si>
  <si>
    <t>84342</t>
  </si>
  <si>
    <t>Miguel felipe Villarreal</t>
  </si>
  <si>
    <t>Apoyo logistico SENDICAM-Neiva</t>
  </si>
  <si>
    <t>Apoyo educación ambiental- artistica -muralista</t>
  </si>
  <si>
    <t>2.3.2.02.01.003</t>
  </si>
  <si>
    <t>Glob</t>
  </si>
  <si>
    <t>Reforestacion 10 Has</t>
  </si>
  <si>
    <t>Interrventoria Reforestación</t>
  </si>
  <si>
    <t xml:space="preserve">Material vegetal </t>
  </si>
  <si>
    <t>0196104</t>
  </si>
  <si>
    <t>Apoyo logístico para la consolidación de las actividades contenidas en el proyecto Cuencca Hidrográficas - Transporte</t>
  </si>
  <si>
    <t>Apoyo logístico para la consolidación de las actividades contenidas en el proyecto Cuencas Hidrográficas - Almuerzos y Refrigerios</t>
  </si>
  <si>
    <t>Técnico para levantamiento de predios para reforestación</t>
  </si>
  <si>
    <t>Interventoria</t>
  </si>
  <si>
    <t>2.3.2.01.01.001.03.19 2.3.2.02.02.009</t>
  </si>
  <si>
    <t>M.L.</t>
  </si>
  <si>
    <t>Técnico para levantamiento de predios para aislamientos</t>
  </si>
  <si>
    <t>Mtto aislamientos vigencias anteriores</t>
  </si>
  <si>
    <t>PROYECTO CEIBAS</t>
  </si>
  <si>
    <t>Sistemas agroalimentarios</t>
  </si>
  <si>
    <t>Equipo para cada POMCA Y PMAM</t>
  </si>
  <si>
    <t>Apoyo Técnico capacitación sobre uso de obras</t>
  </si>
  <si>
    <t>INDICADOR/ACTIVIDAD</t>
  </si>
  <si>
    <t>83990</t>
  </si>
  <si>
    <t>Profesional seguimiento Planes Ambientales DTN</t>
  </si>
  <si>
    <t>Profesional seguimiento Respel y RCD 1</t>
  </si>
  <si>
    <t>Profesional seguimiento Respel y RCD 2</t>
  </si>
  <si>
    <t>Forestales</t>
  </si>
  <si>
    <t xml:space="preserve">2.3.2.02.02.008 </t>
  </si>
  <si>
    <t>Tecnólogo FORESTAL SRCA</t>
  </si>
  <si>
    <t>Profesional Evaluación y Seguimiento Recurso Hidrico DTN 1</t>
  </si>
  <si>
    <t>Profesional Evaluación y Seguimiento Recurso Hidrico DTN 2</t>
  </si>
  <si>
    <t>82120</t>
  </si>
  <si>
    <t>ABOGADO(A) DE APOYO A DTS</t>
  </si>
  <si>
    <t xml:space="preserve">ABOGADO(A) DE APOYO A DTS </t>
  </si>
  <si>
    <t xml:space="preserve">ABOGADO(A) DE APOYO ESP A DTS </t>
  </si>
  <si>
    <t>Operario DTC 1</t>
  </si>
  <si>
    <t>68130</t>
  </si>
  <si>
    <t>Operario DTC 2</t>
  </si>
  <si>
    <t>Operario DTN 1</t>
  </si>
  <si>
    <t>Operario DTN 2</t>
  </si>
  <si>
    <t>Operario DTO 1</t>
  </si>
  <si>
    <t>Operario DTO 2</t>
  </si>
  <si>
    <t>Operario DTS 1</t>
  </si>
  <si>
    <t>Operario DTS 2</t>
  </si>
  <si>
    <t>Mantenimiento de equipos de medición</t>
  </si>
  <si>
    <t>66019</t>
  </si>
  <si>
    <t>Técnico o tecnologo Seguimiento RH - DTN 1</t>
  </si>
  <si>
    <t>Suministro Combustible DTO</t>
  </si>
  <si>
    <t>2.1.2.02.01.003</t>
  </si>
  <si>
    <t>3331101, 3336001</t>
  </si>
  <si>
    <t>Suministro De Combustibles  DTC</t>
  </si>
  <si>
    <t>Suministro De Combustibles DTS</t>
  </si>
  <si>
    <t>Suministro De Combustibles Para SRCA y DTN</t>
  </si>
  <si>
    <t>Transporte Red De Control Ambiental</t>
  </si>
  <si>
    <t>Elementos para control y vigilancia de la RECAM</t>
  </si>
  <si>
    <t>Profesional seguimiento PIML - Gobernanza 1</t>
  </si>
  <si>
    <t>Profesional seguimiento PIML - Gobernanza 2</t>
  </si>
  <si>
    <t>83590</t>
  </si>
  <si>
    <t>Profesional - apoyo técnico a la operación y gestión del CAV-Hogares de Paso</t>
  </si>
  <si>
    <t>2.3.2.02.01.002</t>
  </si>
  <si>
    <t>0231001, 0411901, 2122201, 0112201, 0119501, 0121201, 0121301, 0121302, 0121401, 0121501, 0121901, 0121904, 0122101, 0122901, 0123102, 0123201, 0123401, 0123502, 0125101, 0125402, 0125901, 0129006, 0131101, 0131201, 0131301, 0131601, 0131701, 0131801, 0131901, 0131902, 0131903, 0131911, 0131912, 0131913, 0131916, 0131917, 0131918, 0131922, 0132301, 0133001, 0134201, 0134301, 0134401, 0135101, 0135201, 0135601, 0135901, 0135902, 0142201, 0144501, 0146001, 0159201, 0170401, 0180201, 0232101, 0412403, 2111101, 2112101, 2116001, 2149905, 2211004, 2221101, 2314003, 2342001, 2355001, 2399105</t>
  </si>
  <si>
    <t>Concentrados, medicamentos y otros</t>
  </si>
  <si>
    <t>Limpieza y aseo CAV</t>
  </si>
  <si>
    <t>87290</t>
  </si>
  <si>
    <t>Recolección y Disposición Final RESPEL Hogares de paso y CAV.</t>
  </si>
  <si>
    <t>Campañas De Monitoreo - IDEAM</t>
  </si>
  <si>
    <t>Campañas</t>
  </si>
  <si>
    <t xml:space="preserve">Muestreos Y/O Contramuestreos </t>
  </si>
  <si>
    <t>PROFESIONAL SEGUIMIENTO RH REGLAMENTADAS - SRCA</t>
  </si>
  <si>
    <t>Porfesional Seguimiento RH Reglamentadas - SRCA 2</t>
  </si>
  <si>
    <t>Porfesional Seguimiento RH Reglamentadas - SRCA 3</t>
  </si>
  <si>
    <t>Porfesional Seguimiento RH Reclamaciones</t>
  </si>
  <si>
    <t xml:space="preserve">PROFESIONAL SOCIAL -SEG. LICENCIAS -  SEGUIMIENTO Y RH </t>
  </si>
  <si>
    <t>Profesional Administrativo DTO</t>
  </si>
  <si>
    <t>Profesional Administrativo DTS</t>
  </si>
  <si>
    <t>Estudios AVR</t>
  </si>
  <si>
    <t>AVR</t>
  </si>
  <si>
    <t>Hom/mes</t>
  </si>
  <si>
    <t>Febrero-Diciembre</t>
  </si>
  <si>
    <t>FUENTE SGR</t>
  </si>
  <si>
    <t>2.3.2.02.02.007</t>
  </si>
  <si>
    <t xml:space="preserve">2.3.2.02.02.006
</t>
  </si>
  <si>
    <t>CONVENIO GOBERNACIÓN 14001</t>
  </si>
  <si>
    <t>FUENTES ADICIÓN</t>
  </si>
  <si>
    <t>JUDICANTE DTS</t>
  </si>
  <si>
    <t>Alimentos perecederos</t>
  </si>
  <si>
    <t>FUENTE ADICIÓN</t>
  </si>
  <si>
    <t>Gestor Local PNR CBGP (San Agustín 1)</t>
  </si>
  <si>
    <t>Gestor Local PNR CBGP (Palestina-Acevedo)</t>
  </si>
  <si>
    <t>Gestor Local PNR CBGP (Pitalito-San Agustin)</t>
  </si>
  <si>
    <t>Profesional Productivo DRMI Peñas Blancas (Pitalito, Timaná)</t>
  </si>
  <si>
    <t>Profesional Productivo DRMI Peñas Blancas (Palestina)</t>
  </si>
  <si>
    <t xml:space="preserve">Gestor Local DRMI Peñas Blancas </t>
  </si>
  <si>
    <t>Gestor PNR El Dorado - Serranía de Minas (Oporapa-Saladoblanco)</t>
  </si>
  <si>
    <t>Gestor PNR EL Dorado (Isnos-Saladoblanco)</t>
  </si>
  <si>
    <t>Gestor PNR EL Dorado (La Argentina-La Plata)</t>
  </si>
  <si>
    <t>Gestor DRMI Serranía de Minas</t>
  </si>
  <si>
    <t>Gestor Local Páramo Las Oseras 1 (Insp. Santa Ana - Colombia)</t>
  </si>
  <si>
    <t>Gestor Local Páramo Las Oseras 2 (Cuenca Ambicá - Colombia)</t>
  </si>
  <si>
    <t>Gestor Local DRMI CBOB (Teruel - Iquira)</t>
  </si>
  <si>
    <t>Gestor Local DRMI CBOB (Santa Maria - Palermo)</t>
  </si>
  <si>
    <t xml:space="preserve">Profesional Productivo DRMI La Tatacoa </t>
  </si>
  <si>
    <t>Gestor Local DRMI La Tatacoa - Turismo</t>
  </si>
  <si>
    <t>Gestor Local DRMI La Tatacoa - Turismo 2</t>
  </si>
  <si>
    <t>Gestor Local Siberia Ceibas (Campoalegre - Rivera - Algeciras)</t>
  </si>
  <si>
    <t>Gestor Local Siberia Ceibas (Neiva - Tello - Baraya)</t>
  </si>
  <si>
    <t>Gestor Local Miraflores (Garzon - Gigante)</t>
  </si>
  <si>
    <t>Gestor Local Miraflores (Algeciras)</t>
  </si>
  <si>
    <t>N°</t>
  </si>
  <si>
    <t>2.3.2.01.01.003.04.06</t>
  </si>
  <si>
    <t>2.3.2.02.01.004</t>
  </si>
  <si>
    <t>Alquiler stand ferias comerciales</t>
  </si>
  <si>
    <t>Gestor Local DRMI La Tatacoa - Turismo 3</t>
  </si>
  <si>
    <t>REGALÍAS</t>
  </si>
  <si>
    <t>3632005, 34659</t>
  </si>
  <si>
    <t>42999, 42946, 4419802, 46212, 42946, 42944</t>
  </si>
  <si>
    <t>Tecnólogo de apoyo obra civil</t>
  </si>
  <si>
    <t>Material Vegetal - Apoyo a Sistemas Pilotos de Reconverión Productiva - SIRAP MACIZO, CEERCCO (Oseras), KFW (Peñas blancas) y FFEM (Páramos)</t>
  </si>
  <si>
    <t>Profesional Articulación Operativa Ecosistemas Compartidos</t>
  </si>
  <si>
    <t>Laura Gutierrez</t>
  </si>
  <si>
    <t>Apoyo en Ingeniería civil</t>
  </si>
  <si>
    <t>Licencias Autocad</t>
  </si>
  <si>
    <t>Marzo</t>
  </si>
  <si>
    <t>Licencias Erdas</t>
  </si>
  <si>
    <t>Febrero - Febrero</t>
  </si>
  <si>
    <t>Duración anual</t>
  </si>
  <si>
    <t>Duración 3 años</t>
  </si>
  <si>
    <t>GL</t>
  </si>
  <si>
    <t>Producción organica subsector Cacaotero</t>
  </si>
  <si>
    <t>3465401, 34659,3417099, 3465902</t>
  </si>
  <si>
    <t>3700, 4290</t>
  </si>
  <si>
    <t xml:space="preserve">Profesional de asistencia técnica apicultura </t>
  </si>
  <si>
    <t>Apoyo implementación de proyectos productivos y acción climática</t>
  </si>
  <si>
    <t>Profesional Educación  Ambiental DTN 1</t>
  </si>
  <si>
    <t>Profesional Educación Ambiental  DTS</t>
  </si>
  <si>
    <t>Profesional Educación Ambiental  DTO</t>
  </si>
  <si>
    <t>Profesional Educación Ambiental  DTC</t>
  </si>
  <si>
    <t>Profesional acompañamiento Organizaciones Ambientales</t>
  </si>
  <si>
    <t xml:space="preserve">Profesional  acompañamiento  SENDICAM-Pitalito </t>
  </si>
  <si>
    <t>63391
64114</t>
  </si>
  <si>
    <t>Mantenimiento general de las estaciones de los SENDICAM.</t>
  </si>
  <si>
    <t>Apoyo Control Interno</t>
  </si>
  <si>
    <t>Yenifer Vargas</t>
  </si>
  <si>
    <t>Profesional de Apoyo autoridad ambiental-indicadores</t>
  </si>
  <si>
    <t>Jesus Octavio Vargas</t>
  </si>
  <si>
    <t>Apoyo Sistema Integrado de Gestión - MIPG</t>
  </si>
  <si>
    <t>Maritza Hernandez</t>
  </si>
  <si>
    <t>Apoyo administrativo Sistema Integrado de Gestión</t>
  </si>
  <si>
    <t>Paula Gonzales</t>
  </si>
  <si>
    <t>Enero</t>
  </si>
  <si>
    <t>Control y seguimiento automatizado de la Gestión- Renovación suscripción anual  - PENSEMOS</t>
  </si>
  <si>
    <t>unidad</t>
  </si>
  <si>
    <t>Auditoría de seguimiento a ISO</t>
  </si>
  <si>
    <t>Auditoria Eficiencia Energética</t>
  </si>
  <si>
    <t>Adición</t>
  </si>
  <si>
    <t>Agosto</t>
  </si>
  <si>
    <t>Octubre</t>
  </si>
  <si>
    <t>Convenios con redes articuladoras para la implementacion de planes de manejo ambiental u otro proyectos ambientales</t>
  </si>
  <si>
    <t>Intercambio de Experiencias (encuentro de RNSC)</t>
  </si>
  <si>
    <t>2.3.2.02.02.006
2.3.2.02.01.002</t>
  </si>
  <si>
    <t>63391, 64221, 64222, 64223, 64224, 63290, 2823218, 2826207</t>
  </si>
  <si>
    <t>2.3.2.01.01.003.04.04
2.1.2.01.01.003.05.04
2.3.2.01.01.004.01.03</t>
  </si>
  <si>
    <t xml:space="preserve"> 45272, 46410</t>
  </si>
  <si>
    <t>Apoyo a Sistemas Pilotos de Reconverión Productiva - SIRAP MACIZO, CEERCCO (Oseras) y FFEM (Páramos)</t>
  </si>
  <si>
    <t>Apoyo a Sistemas Pilotos de Reconverión Productiva - KFW (Peñas Blancas)</t>
  </si>
  <si>
    <t>Profesional Ictiologia - Monitoreo participativo en Áreas Estratégicas</t>
  </si>
  <si>
    <t>Profesional Botanica - Monitoreo participativo en Áreas Estratégicas</t>
  </si>
  <si>
    <t xml:space="preserve">Consultoría Consulta Previa y PMA DRMI Cerro Banderas Ojo Blanco </t>
  </si>
  <si>
    <t xml:space="preserve">Profesional 1 - Apoyo para atención y control de invasoras </t>
  </si>
  <si>
    <t>Insumos para manejo de invasoras</t>
  </si>
  <si>
    <t>Material Divulgativo Sps Invasoras</t>
  </si>
  <si>
    <t>Experto Local DRMI La Tatacoa - Turismo</t>
  </si>
  <si>
    <t>Apoyo Asistencia Técnica apícola 1</t>
  </si>
  <si>
    <t>Apoyo Asistencia Técnica apícola 2</t>
  </si>
  <si>
    <t>Composteras</t>
  </si>
  <si>
    <t>Interventoría Composteras</t>
  </si>
  <si>
    <t>Biodigestores</t>
  </si>
  <si>
    <t>Interventoría Biodigestores</t>
  </si>
  <si>
    <t>Ferretería</t>
  </si>
  <si>
    <t>Convenios cofinanciacion de investigaciones en bosque seco Universidades</t>
  </si>
  <si>
    <t>Trabajo de grados</t>
  </si>
  <si>
    <t>Bebederos Sustitutos - Ganaderia sostenible</t>
  </si>
  <si>
    <t>Cofinanciamiento de investigacion en humedales</t>
  </si>
  <si>
    <t>Ejecución PMA Colores:Fortalecimiento del dique y obras de entrada con control de sedimentos</t>
  </si>
  <si>
    <t>Profesional Implementacion de Plan de conservacion de especies amenazadas flora</t>
  </si>
  <si>
    <t>Equipos Monitoreo Fauna</t>
  </si>
  <si>
    <t>Fase 2 - Plataforma de Monitoreo</t>
  </si>
  <si>
    <t>Impresión resultados Monitoreo de Biodiversidad</t>
  </si>
  <si>
    <t>Apoyo grupos de Monitoreo -  congresos de fauna y flora nacionales</t>
  </si>
  <si>
    <t>Atención y apoyo interacion negativa con fauna silvestre</t>
  </si>
  <si>
    <t>PROFESIONAL FORESTAL DTC</t>
  </si>
  <si>
    <t>PROFESIONAL FORESTAL DTN</t>
  </si>
  <si>
    <t>TÉCNICO FORESTAL DTN</t>
  </si>
  <si>
    <t xml:space="preserve">TÉCNICO FORESTAL DTN </t>
  </si>
  <si>
    <t>PASANTE APOYO SEGUIMIENTO</t>
  </si>
  <si>
    <t xml:space="preserve">PROFESIONAL FORESTAL DTO </t>
  </si>
  <si>
    <t>PROFESIONAL FORESTAL DTS</t>
  </si>
  <si>
    <t>GEOLOGO SEG. LICENCIAS</t>
  </si>
  <si>
    <t>PROFESIONAL ESP. SEGUIMIENTO PLANES AMBIENTALES - VERTIMIENTOS DTN</t>
  </si>
  <si>
    <t>APOYO SEGUIMIENTO PINES - FORESTAL</t>
  </si>
  <si>
    <t xml:space="preserve">EVALUACIÓN LICENCIAS - SRCA Y APOYO CONTRAVENCIONES MINERAS </t>
  </si>
  <si>
    <t>EVALUACION Y SEGUIMIENTO RH SUBTERRANEA-SRCA</t>
  </si>
  <si>
    <t>PROFESIONAL AMBIENTAL SEG. LICENCIAS</t>
  </si>
  <si>
    <t>PROFESIONAL SEGUIMIENTO - VERTIMIENTOS DTN</t>
  </si>
  <si>
    <t xml:space="preserve">PROFESIONAL Seguimiento RH, Evaluación Obras DTN </t>
  </si>
  <si>
    <t>PROFESIONAL AMBIENTAL, EVALUACIÓN RH SUBTERRÁNEAS - SRCA</t>
  </si>
  <si>
    <t>ABOGADO(A) DE APOYO JURIDICO DTC</t>
  </si>
  <si>
    <t>JUDICANTE APOYO JURIDICO DTC</t>
  </si>
  <si>
    <t>ABOGADO(A) DE APOYO ESP A DTN</t>
  </si>
  <si>
    <t>ABOGADO(A) DE APOYO JURIDICO DTN</t>
  </si>
  <si>
    <t>JUDICANTE DTN</t>
  </si>
  <si>
    <t>ABOGADO(A) DE APOYO JURIDICO DTO</t>
  </si>
  <si>
    <t>ABOGADO ARTICULADOR COBRO DE SEGUIMIENTO SRCA</t>
  </si>
  <si>
    <t>ABOGADO(A) DE APOYO ESP. SRCA</t>
  </si>
  <si>
    <t xml:space="preserve">PROFESIONAL RECAM - DTC </t>
  </si>
  <si>
    <t>PROFESIONAL RECAM - DTN</t>
  </si>
  <si>
    <t>TÉCNICO RECAM DTN</t>
  </si>
  <si>
    <t>PROFESIONAL RECAM DTO</t>
  </si>
  <si>
    <t>PROFESIONAL RECAM - DTS</t>
  </si>
  <si>
    <t>PROFESIONAL RECAM - SRCA</t>
  </si>
  <si>
    <t>PROFESIONAL VETERINARIO RECAM - FAUNA</t>
  </si>
  <si>
    <t>PROFESIONAL GOBERNANZA FORESTAL</t>
  </si>
  <si>
    <t>TÉCNOLOGO FORESTAL SRCA</t>
  </si>
  <si>
    <t>VETERINARIO HOGAR DE PASO DTS</t>
  </si>
  <si>
    <t>Biologo-Fauna SRCA-Teruel Neiva</t>
  </si>
  <si>
    <t>VETERINARIO CAV - TERUEL</t>
  </si>
  <si>
    <t xml:space="preserve">Servicios de examenes y procedimientos quirurgicos </t>
  </si>
  <si>
    <t>0231001, 0411901, 2122201, 0112201, 0119501, 0121201, 0121301, 0121302, 0121401, 0121501, 0121901, 0121904, 0122101, 0122901, 0123102, 0123201, 0123401, 0123502, 0125101, 0125402, 0125901, 0129006, 0131101, 0131201, 0131301, 0131601, 0131701, 0131801, 0131901, 0131902, 0131903, 0131911, 0131912, 0131913, 0131916, 0131917, 0131918, 0131922, 0132301, 0133001, 0134201, 0134301, 0134401, 0135101, 0135201, 0135601, 0135901, 0135902, 0142201, 0144501, 0146001, 0159201, 0170401, 0180201, 0232101, 0412403, 2111101, 2112101, 2116001, 2149905, 2211004, 2221101, 2314003, 2342001, 2355001, 2399106</t>
  </si>
  <si>
    <t>87291</t>
  </si>
  <si>
    <t>PROFESIONAL SEGUIMIENTO REGLAMENTADAS Y PUEAA</t>
  </si>
  <si>
    <t>PROFESIONAL SEGUIMIENTO RH REGLA.</t>
  </si>
  <si>
    <t>PROFESIONAL SEGUIMIENTO RH CALIDAD - SRCA</t>
  </si>
  <si>
    <t>PROFESIONAL SEGUIMIENTO RH PISCICOLA - SRCA</t>
  </si>
  <si>
    <t>PROFESIONAL  RH PISCICOLA - SRCA</t>
  </si>
  <si>
    <t>PROFESIONAL SEGUIMIENTO RH - DTC</t>
  </si>
  <si>
    <t>PROFESIONAL SEGUIMIENTO RH  Y PV - DTC</t>
  </si>
  <si>
    <t>PROFESIONAL Seguimiento RH - DTN 1</t>
  </si>
  <si>
    <t>PROFESIONAL SEGUIMIENTO RH - DTO</t>
  </si>
  <si>
    <t>TECNOLOGO DE SEGUIMIENTO RH DTO</t>
  </si>
  <si>
    <t>PROFESIONAL SEGUIMIENTO RH - DTS</t>
  </si>
  <si>
    <t xml:space="preserve">PROFESIONAL SEGUIMIENTO RH - DTS </t>
  </si>
  <si>
    <t xml:space="preserve">PROFESIONAL ERA CALIDAD </t>
  </si>
  <si>
    <t>PROFESIONAL ERA OFERTA - HIDRÓLOGO</t>
  </si>
  <si>
    <t>APOYO ARCHIVO DTN</t>
  </si>
  <si>
    <t>APOYO ADMINISTRATIVO DTO</t>
  </si>
  <si>
    <t>APOYO ARCHIVO DTO</t>
  </si>
  <si>
    <t>APOYO OFICINA DTO</t>
  </si>
  <si>
    <t>APOYO ADMINISTRATIVO DTS</t>
  </si>
  <si>
    <t xml:space="preserve">PROFESIONAL ADMINISTRATIVO SRCA </t>
  </si>
  <si>
    <t>APOYO TÉCNICO SEGUIMIENTO DOCUMENTAL SIG PERMISOS, CONCESIONES Y LICENCIAS SPOT</t>
  </si>
  <si>
    <t>APOYO ADMINISTRATIVO SIAC SRCA</t>
  </si>
  <si>
    <t>Convenio Comunidades</t>
  </si>
  <si>
    <t>Mtto reforestación 50 Hectáreas</t>
  </si>
  <si>
    <t xml:space="preserve">Apoyo técnico a Supervisión, </t>
  </si>
  <si>
    <t>Arquitecto Apoyo POT</t>
  </si>
  <si>
    <t>Profesional Ordenamiento 1</t>
  </si>
  <si>
    <t>Apoyo Técnico Drones</t>
  </si>
  <si>
    <t>Abogado POT</t>
  </si>
  <si>
    <t>ESTRUCTURA 2016-2019</t>
  </si>
  <si>
    <t>ESTRUCTURA DE PROGRAMAS Y PROYECTOS PAI 2020-2023</t>
  </si>
  <si>
    <t>PRESUPUESTO DE INVERSIÓN 2024</t>
  </si>
  <si>
    <t xml:space="preserve">TOTAL FUENTES </t>
  </si>
  <si>
    <t xml:space="preserve">PPTO TOTAL </t>
  </si>
  <si>
    <t>Actualización Licencia de Base Datos Oracle</t>
  </si>
  <si>
    <t>Outsourcing de IT</t>
  </si>
  <si>
    <t>Adquisición Licenciamiento IPv6</t>
  </si>
  <si>
    <t>Soporte Software Geográfico Arcgis</t>
  </si>
  <si>
    <t>Correo Electrónico</t>
  </si>
  <si>
    <t>Antivirus</t>
  </si>
  <si>
    <t>Suministro de Repuestos</t>
  </si>
  <si>
    <t>Mantenimiento de UPS y/o Redes Eléctricos</t>
  </si>
  <si>
    <t>Digitalización Archivo</t>
  </si>
  <si>
    <t>2.3.2.01.01.005.02.03.01.01</t>
  </si>
  <si>
    <t>2.3.2.01.01.003.03.02</t>
  </si>
  <si>
    <t xml:space="preserve">Tablas de valoración documental </t>
  </si>
  <si>
    <t>Convenio Cafeteros</t>
  </si>
  <si>
    <t>PROFEIOSNAL ESTRATEGICO APOYO DG / PRESIDENCIA SIRAP</t>
  </si>
  <si>
    <t xml:space="preserve">Profesional Gestion de ecosistemas  estrategicos y biodiversidad </t>
  </si>
  <si>
    <t>CAPACITACION GRUPOS DE MONITOREO (PRIMEROS AUX.)</t>
  </si>
  <si>
    <t>PROFESIONAL ESTRATEGICO COMPARTIDO CON CAMBIO CLIMATICO</t>
  </si>
  <si>
    <t>Asesor Cambio Climatico /COMPARTICO POMCA 320301</t>
  </si>
  <si>
    <t>Apoyo seguimiento y estructuración proyectos SGR - otros</t>
  </si>
  <si>
    <t>Apoyo cargue plataformas proyectos SGR y apoyo ejecución PAI</t>
  </si>
  <si>
    <t>Apoyo SIG 2 (Planes viales)</t>
  </si>
  <si>
    <t>Apoyo técnico servicio al ciudadano</t>
  </si>
  <si>
    <t>SERVIDOR + ESTACIONES SIG</t>
  </si>
  <si>
    <t>Software red de monitoreo</t>
  </si>
  <si>
    <t xml:space="preserve">SF Gestión Documental </t>
  </si>
  <si>
    <t xml:space="preserve">Sist electrico auditorio y datos sector </t>
  </si>
  <si>
    <t>Dique Los Colores</t>
  </si>
  <si>
    <t>Profesional de apoyo forestal PSU - APOYO SEGUIMIENTO PINES - FORESTAL</t>
  </si>
  <si>
    <t>Karen</t>
  </si>
  <si>
    <t>Andres</t>
  </si>
  <si>
    <t>Suministro de material vegetal para Educación Ambiental</t>
  </si>
  <si>
    <t>Febrero</t>
  </si>
  <si>
    <t>Junio</t>
  </si>
  <si>
    <t>Abril</t>
  </si>
  <si>
    <t>Mayo</t>
  </si>
  <si>
    <t>Construcción sede pitalito</t>
  </si>
  <si>
    <t xml:space="preserve"> Valor Presupuesto Inicial </t>
  </si>
  <si>
    <t xml:space="preserve"> % Crecim.</t>
  </si>
  <si>
    <t>Gastos de Personal</t>
  </si>
  <si>
    <t>Acuerdo 026 de 2019</t>
  </si>
  <si>
    <t>Acuerdo 013 del 2020</t>
  </si>
  <si>
    <t>Acuerdo 020 de 2021</t>
  </si>
  <si>
    <t>Acuerdo 020 de 2022</t>
  </si>
  <si>
    <t>Por aprobar</t>
  </si>
  <si>
    <t>PPTO INICIALES</t>
  </si>
  <si>
    <t>NOMBRE INDICADOR</t>
  </si>
  <si>
    <t>Porcentaje de asistencia técnica, seguimiento y control a generadores de residuos o desechos peligrosos – RESPEL y especiales</t>
  </si>
  <si>
    <t>No. De estudios formulados  y/o actualizados de planes de manejo ambiental (PMA) de áreas protegidas</t>
  </si>
  <si>
    <t>Ha. revegetalizadas naturalmente para la protección de cuencas abastecedoras</t>
  </si>
  <si>
    <t>Porcentaje de avance en la formulación y/o ajustes de los  Planes de Ordenación y Manejo de Cuencas (POMCAS), Planes de Manejo de Acuíferos (PMA) y Planes de Manejo de Microcuencas (PMM). (IM 1)</t>
  </si>
  <si>
    <t>Porcentaje de actualización e Implementacion del programa de gestión documental</t>
  </si>
  <si>
    <t>DISTRIBUCIÓN NOMINA / AÑO</t>
  </si>
  <si>
    <t>No PROGRAMA</t>
  </si>
  <si>
    <t>3201</t>
  </si>
  <si>
    <t>3203</t>
  </si>
  <si>
    <t>3204</t>
  </si>
  <si>
    <t>3205</t>
  </si>
  <si>
    <t>3206</t>
  </si>
  <si>
    <t>3208</t>
  </si>
  <si>
    <t>3299</t>
  </si>
  <si>
    <t>Fortalecimiento del desempeño ambiental de los sectores productivos</t>
  </si>
  <si>
    <t>Gestión integral del recurso hídrico</t>
  </si>
  <si>
    <t>Gestión de la información y el conocimiento ambiental</t>
  </si>
  <si>
    <t>Ordenamiento ambiental territorial</t>
  </si>
  <si>
    <t>Educación ambiental</t>
  </si>
  <si>
    <t>Fortalecimiento de la gestión y dirección del sector ambiente y desarrollo sostenible</t>
  </si>
  <si>
    <t>PRESUPUESTO INICIAL 2023 Acuerdo 020 de 2022</t>
  </si>
  <si>
    <t>Fuentes Proyección Vitelio para 2024 inicial</t>
  </si>
  <si>
    <t>Total general</t>
  </si>
  <si>
    <t>Suma de PRESUPUESTO INICIAL 2023 Acuerdo 020 de 2022</t>
  </si>
  <si>
    <t>Suma de PRESUPUESTO INCIAL 2024</t>
  </si>
  <si>
    <t>PROYECTO 320504 GESTIÓN DEL CONOCIMIENTO Y GESTIÓN DEL RIESGO DE DESASTRES VIGENCIAS</t>
  </si>
  <si>
    <t>COMPARATIVO INDICADORES PPTO FINALES OK</t>
  </si>
  <si>
    <t>Profesional Educación  Ambiental DTN 2</t>
  </si>
  <si>
    <t xml:space="preserve">Profesional/apropiacion social del conocimiento/investigación </t>
  </si>
  <si>
    <t>2.3.2.02.02.010</t>
  </si>
  <si>
    <t>Profesional 2 - Apoyo para la gestion de registro y apoyo a RNSC NORTE CENTRO</t>
  </si>
  <si>
    <t>ACCIONES SIRAP MACIZO</t>
  </si>
  <si>
    <t>Santiago Angel</t>
  </si>
  <si>
    <t>Apoyo formulación de proyectos 1</t>
  </si>
  <si>
    <t>Apoyo formulación de proyectos 2</t>
  </si>
  <si>
    <t>Apoyo  servicio al ciudadano</t>
  </si>
  <si>
    <t xml:space="preserve">Apoyo archivo </t>
  </si>
  <si>
    <t>PPTO INICIAL ACUERDO DE CONSEJO DIRECTIVO No. 018 del 30/11/2023</t>
  </si>
  <si>
    <t>Construcción de hornillas ecoeficientes SGR</t>
  </si>
  <si>
    <t>Judicante 1</t>
  </si>
  <si>
    <t>PROFESIONAL FORESTAL -SEGUI. LICENCIAS</t>
  </si>
  <si>
    <t>EVALUACION Y SEGUIMIENTO RH SUBTERRANEA, LICENCIAS Y RIESGO - SRCA</t>
  </si>
  <si>
    <t>PROFESIONAL SEGUIMIENTO PLANES AMBIENTALES - VERTIMIENTOS DTN</t>
  </si>
  <si>
    <t>Veterinario hogar de paso DTN 2- Apoyo a la cordinacion y administracion de CAV-Hogares de Paso</t>
  </si>
  <si>
    <t>PROFESIONAL ERA MODELACION SIG</t>
  </si>
  <si>
    <t>APOYO ADMINISTRATIVO DTC</t>
  </si>
  <si>
    <t>APOYO ARCHIVO DTC</t>
  </si>
  <si>
    <t>Profesional Evaluación licencias y permisos CAU - DTN</t>
  </si>
  <si>
    <t>Profesional Ambiental - Forestal - apoyo gestión del riesgo por incendios forestales</t>
  </si>
  <si>
    <t>Proyecto  SGR Polinización con Meliponas (rcursos SGR)</t>
  </si>
  <si>
    <t>2.3.2.02.02.011</t>
  </si>
  <si>
    <t>2.3.2.02.02.012</t>
  </si>
  <si>
    <t>2.3.2.02.02.013</t>
  </si>
  <si>
    <t>2.3.2.02.02.014</t>
  </si>
  <si>
    <t>2.3.2.01.01.001.03.16</t>
  </si>
  <si>
    <t>Profesional Ordenamiento 2 Pablo</t>
  </si>
  <si>
    <t>Pablo Lozano</t>
  </si>
  <si>
    <t>Profesional apoyo ambiental DTN Y DTO</t>
  </si>
  <si>
    <t>Profesional apoyo ambiental DTS  y DTC</t>
  </si>
  <si>
    <t>Alix</t>
  </si>
  <si>
    <t>Joaquin</t>
  </si>
  <si>
    <t>Apoyo archivo Territoriales</t>
  </si>
  <si>
    <t>Desarrollo de campañas en gestión de la información y el conocimiento ambiental en el municipio de La Plata.</t>
  </si>
  <si>
    <t>N/A</t>
  </si>
  <si>
    <t>TALENTO HUMANO Sammy</t>
  </si>
  <si>
    <t>TALENTO HUMANO Jorge</t>
  </si>
  <si>
    <t>TALENTO HUMANO Palmita</t>
  </si>
  <si>
    <t>MATERIALES, INSUMOS Y EQUIPOS</t>
  </si>
  <si>
    <t>GASTOS DE VIAJE</t>
  </si>
  <si>
    <t xml:space="preserve">SERVICIOS TECNOLOGICOS Y DE PRUEBA </t>
  </si>
  <si>
    <t>CAPACITACIONE SY EVENTOS</t>
  </si>
  <si>
    <t>PROTECCION DEL CONOCIMIENTO Y DIVULGACION</t>
  </si>
  <si>
    <t>0196199</t>
  </si>
  <si>
    <t>2.3.2.01.01.004</t>
  </si>
  <si>
    <t>2.3.2.02.01.001</t>
  </si>
  <si>
    <t>TALENTO HUMANO</t>
  </si>
  <si>
    <t xml:space="preserve">2.3.2.02.02.008
</t>
  </si>
  <si>
    <t xml:space="preserve">2.3.2.02.01.003
</t>
  </si>
  <si>
    <t>2.3.2.01.01.002</t>
  </si>
  <si>
    <t>GASTOS DE VIAJE SUPERVISIÓN</t>
  </si>
  <si>
    <t>CAPACITACIONES Y EVENTOS</t>
  </si>
  <si>
    <t>ADMINISTRATIVOS</t>
  </si>
  <si>
    <t>Proyecto hornillas - conv Gobernación</t>
  </si>
  <si>
    <t>Interventoría Hornillas - conv Gobernación</t>
  </si>
  <si>
    <t>Profesional de apoyo- Convenio Gobernación</t>
  </si>
  <si>
    <t>ADICION PRESUPUESTAL SEGUN RESOLUCION NO. 0042-10-01-24 -EXCEDENTE CONVENIO NO. 062-22 GOBERNACION DEL HUILA</t>
  </si>
  <si>
    <t>Juan david</t>
  </si>
  <si>
    <t>Apoyo formulación PAC</t>
  </si>
  <si>
    <t>Angela Fajardo</t>
  </si>
  <si>
    <t>Apoyo formulación PAC 2</t>
  </si>
  <si>
    <t>Profesional 1 - Apoyo para la gestion de registro y apoyo a RNSC SUR OCCIDENTE</t>
  </si>
  <si>
    <t>Asistencia Técnica Sistemas Productivos Convenio Macizo</t>
  </si>
  <si>
    <t>Profesional Estratégico AP</t>
  </si>
  <si>
    <t>Apoyo Técnico Turismo en AP</t>
  </si>
  <si>
    <t>Profesional Apoyo Formulación Proyectos</t>
  </si>
  <si>
    <t>Pasante Implementación PMA Humedales</t>
  </si>
  <si>
    <t>Jhonatan Ruiz</t>
  </si>
  <si>
    <t>PRESUPUESTO INCIAL 2024 CONSEJO DIRECTIVO No. 018 del 30/11/2023</t>
  </si>
  <si>
    <t>SUSAN</t>
  </si>
  <si>
    <t>APOYO ADMINISTRATIVO SIAC, GRIF Y PERMISOS EN SRCA</t>
  </si>
  <si>
    <t>PROFESIONAL DE SEGUIMIENTO Y ATENCION DENUNCIAS</t>
  </si>
  <si>
    <t>Profesional seguimiento DGA, Emisiones RCD, Vertimientos y licencias y denuncias DTN</t>
  </si>
  <si>
    <t>PROFESIONAL DE SEGUIMIENTO Y ATENCION DENUNCIAS - INCENDIOS</t>
  </si>
  <si>
    <t>PASANTE DE VETERINARIA</t>
  </si>
  <si>
    <t>Profesional Seguimiento RH Reglamentadas - SRCA - SIAC - SIRH</t>
  </si>
  <si>
    <t>PROFESIONAL SEGUIMIENTO DOCUMENTAL CONCESIONES SRCA</t>
  </si>
  <si>
    <t>Pasante Geólogo - Segui. Licencias y Riesgo</t>
  </si>
  <si>
    <t>PROFESIONAL Seguimiento RH - DTS</t>
  </si>
  <si>
    <t>PROFESIONAL DE SEGUIMIENTO DOCUMENTAL RH DTO</t>
  </si>
  <si>
    <t>VISITA DE EVALUACIÓN AMBIENTAL EXPEDIENTE ASU0038-00 - CAV TERUEL</t>
  </si>
  <si>
    <t>APOYO ARCHIVO DTS</t>
  </si>
  <si>
    <t xml:space="preserve">ARL Pasante Ingeniería Industrial </t>
  </si>
  <si>
    <t>2.3.1.01.02.005</t>
  </si>
  <si>
    <t>Experto Productivo PNR Oseras</t>
  </si>
  <si>
    <t xml:space="preserve">Experto Productivo DRMI La Tatacoa </t>
  </si>
  <si>
    <t>Experto Productivo / Turismo PNR Miraflores</t>
  </si>
  <si>
    <t>Experto Productivo DRMI Peñas Blancas (Pitalito, Timaná, Suaza)</t>
  </si>
  <si>
    <t>Experto Productivo DRMI Peñas Blancas (Acevedo - Palestina)</t>
  </si>
  <si>
    <t>Gestor Local DRMI Peñas Blancas (Pitalito, Timaná, Suaza)</t>
  </si>
  <si>
    <t>Gestor Local DRMI Peñas Blancas (Acevedo - Palestina)</t>
  </si>
  <si>
    <t>Experto Productivo DRMI Minas (Oporapa - La Argentina - La Plata)</t>
  </si>
  <si>
    <t>Experto Productivo DRMI Minas (Tarqui - Pital)</t>
  </si>
  <si>
    <t>Gestor DRMI Serranía de Minas (Oporapa - La Argentina - La Plata)</t>
  </si>
  <si>
    <t>Gestor DRMI Serranía de Minas (Tarqui - Pital)</t>
  </si>
  <si>
    <t xml:space="preserve">Experto Productivo DRMI CBOB </t>
  </si>
  <si>
    <t xml:space="preserve">Apoyo Seguimiento Consultas Previas </t>
  </si>
  <si>
    <t>Profesional Apoyo Productivo Café 1</t>
  </si>
  <si>
    <t>Profesional Apoyo Productivo Varios 1</t>
  </si>
  <si>
    <t>Profesional Apoyo Productivo Varios 2</t>
  </si>
  <si>
    <t>Gestor Local DRMI La Tatacoa - Turismo / Productivo</t>
  </si>
  <si>
    <t>ING CIVIL - EVALUACION LICENCIAS, SEGUIMIENTO Y GESTION DEL RIESGO  - SRCA</t>
  </si>
  <si>
    <t>ABOGADO DE APOYO - COBRO DE SEGUIMIENTO SRCA</t>
  </si>
  <si>
    <t>GEOLOGA,  GESTION DEL RIESGO - APOYO CONTRAVENCIONES MINERAS DTs Y EVALUACION LICENCIAS</t>
  </si>
  <si>
    <t>APOYO JURIDICO DT´s</t>
  </si>
  <si>
    <t>PROFESIONAL BIOLOGO</t>
  </si>
  <si>
    <t>APOYO ING CIVIL - GESTION DEL RIESGO  - SRCA</t>
  </si>
  <si>
    <t>APOYO ADMINISTRATIVO DTN y Seguiomiento RH</t>
  </si>
  <si>
    <t>Juan pablo</t>
  </si>
  <si>
    <t>Suministro de papelería y material para actividades de educación ambiental</t>
  </si>
  <si>
    <t>Profesional seguimiento</t>
  </si>
  <si>
    <t xml:space="preserve">APOYO FORESTAL </t>
  </si>
  <si>
    <t xml:space="preserve">PROFESIONAL DE ACOMPAÑAMIENTO EN EL DIALOGO INTERCULTURAL Y ETNICO ENTRE LAS COMUNIDADES </t>
  </si>
  <si>
    <t xml:space="preserve">PROFESIONAL Seguimiento RH </t>
  </si>
  <si>
    <t>PROFESIONAL DE SEGUIMIENTO RH</t>
  </si>
  <si>
    <t>PROFESIONAL EVALUACION Y SEGUIMIENTO</t>
  </si>
  <si>
    <t>PASANTE DE APOYO SEGUIMIENTO</t>
  </si>
  <si>
    <t>Profesional atención y Seguimiento DTS</t>
  </si>
  <si>
    <t xml:space="preserve">APOYO JURIDICO DT </t>
  </si>
  <si>
    <t>JUDICANTE APOYO JURIDICO DTO</t>
  </si>
  <si>
    <t>Porfesional CIVIL Seguimiento RH Reglamentadas</t>
  </si>
  <si>
    <t xml:space="preserve">PROFESIONAL Seguimiento RH - DTN </t>
  </si>
  <si>
    <t>APOYO ADMINISTRATIVO DTN</t>
  </si>
  <si>
    <t>Fortalecimiento cuerpos de bomberos</t>
  </si>
  <si>
    <t>Curso fortalecimiento de competencias auditores internos ISO 9001 e ISO 14001</t>
  </si>
  <si>
    <t xml:space="preserve">Abril </t>
  </si>
  <si>
    <t xml:space="preserve">Apoyo gestión documental- archivo- organización de archivos </t>
  </si>
  <si>
    <t>VR TOTAL PPTO 2024</t>
  </si>
  <si>
    <t>Elementos pedagógicos instalados en las estaciones de los senderos(Animales en fibra de vidrio como el oso de anteojos (Tremarctos ornatus)  y la danta de montaña (Tapirus pinchaque)el águila real de montaña (Spizaetus isidori), la nutria de río (Lontra longicaudis), puma (Puma concolor), mariposa anartia (Anartia amathea) Árbol parlante1</t>
  </si>
  <si>
    <t>2.3.2.01.01.001.02.11</t>
  </si>
  <si>
    <t>VALOR TOTAL ADICIÓN</t>
  </si>
  <si>
    <t>CONVENIO EJERCITO NACIONAL</t>
  </si>
  <si>
    <t>Apoyo a Sistemas Pilotos de Reconverión Productiva en CTAA / MONITOREO PARTICIPATIVO</t>
  </si>
  <si>
    <t>Apoyo Técnico pendiente</t>
  </si>
  <si>
    <t>ADICION</t>
  </si>
  <si>
    <t xml:space="preserve"> % AMB.</t>
  </si>
  <si>
    <t>PROFESIONAL SEGUIMIENTO</t>
  </si>
  <si>
    <t>PROFESIONAL DE APOYO</t>
  </si>
  <si>
    <t>Adquisición de equipos de soporrte en los seguimientos.</t>
  </si>
  <si>
    <t>PROFESIONAL SEGUIMIENTO- Nuevo</t>
  </si>
  <si>
    <t>PASANTE APOYO SEGUIMIENTO- Nuevo</t>
  </si>
  <si>
    <t>2.3.2.01.01.003.05.03</t>
  </si>
  <si>
    <t>Unid</t>
  </si>
  <si>
    <t>No aplica</t>
  </si>
  <si>
    <t>Interventoría</t>
  </si>
  <si>
    <t xml:space="preserve">Apoyo SIG - Solcitudes  (Nuevo apoyo) </t>
  </si>
  <si>
    <t>Pedestales y conexión para figuras animatrónicas</t>
  </si>
  <si>
    <t>Firmas Digitales</t>
  </si>
  <si>
    <t>PROFESIONAL SEGUIMIENTO Y FUENTES MOVILES</t>
  </si>
  <si>
    <t>PROFESIONAL DE EVALUACION Y SEGUIMIENTO LICENCIAS Y PERMISOS</t>
  </si>
  <si>
    <t>Operario DTS 3</t>
  </si>
  <si>
    <t>Interventoria AVR</t>
  </si>
  <si>
    <t>Adecuar la infraestructura: Construcción Sendero Interpretativo Garzón</t>
  </si>
  <si>
    <t>2.3..2.01.01..001.03.19</t>
  </si>
  <si>
    <t>Coordinador técnico, administrativo y financiero</t>
  </si>
  <si>
    <t>Equipos y Software (Equipos de cómputo portátiles 15,Gafas de Realidad Virtual 15, Totem publicitario o monolito 4, Pantalla Gigante para proyección 2, Árbol parlante1)</t>
  </si>
  <si>
    <t xml:space="preserve">2.3.2.01.01.003.03.02
</t>
  </si>
  <si>
    <t>Publicación de 1 artículo científico en revista indexada</t>
  </si>
  <si>
    <t>Publicación de 1 libro resultado de investigación</t>
  </si>
  <si>
    <t>Investigadores</t>
  </si>
  <si>
    <t>Servicios de interventoría integral a la ejecución física, financiera, jurídica y administrativa del proyecto</t>
  </si>
  <si>
    <t>Adecuar la infraestructura: Construcción Sendero Interpretativo Pitalito</t>
  </si>
  <si>
    <t>Ajuste</t>
  </si>
  <si>
    <t>ADICIÓN PRESUPUESTAL RESOLUCIÓN N°
ACUERDO 005 DE 21 DE MARZO</t>
  </si>
  <si>
    <t>RECURSOS SGR MELIPONAS/ SENDICAM RESOLUCIÓN N° 3842 de 30 de diciembre de 2022</t>
  </si>
  <si>
    <t>RESOLUCIÓN 1718 DEL 4 DE JULIO DE 2023 (HORNILLAS GOBERNACIÓN SGR)</t>
  </si>
  <si>
    <t>RESOLUCIÓN 2208 DEL 11 AGOSTO DE 2023 (PROCESOS EDUCATIVOS LA PLATA)SGR</t>
  </si>
  <si>
    <t>Veronica osorio</t>
  </si>
  <si>
    <t>DARCY</t>
  </si>
  <si>
    <t>María jose-luna rubiela-luna bolaños, layura camila</t>
  </si>
  <si>
    <t>Aristides</t>
  </si>
  <si>
    <t>Internet</t>
  </si>
  <si>
    <t>CRÉDITO</t>
  </si>
  <si>
    <t>Acciones de modernización institucional</t>
  </si>
  <si>
    <t>Proyectos para el mejoramiento de la infraestructura de la Corporación (construcción y/o dotación)</t>
  </si>
  <si>
    <t>Planes Estratégicos actualizados e implementados de Tecnologías de la Información y las Comunicaciones</t>
  </si>
  <si>
    <t>Actualizar e implementar el Plan Estratégico de Tecnologías de la Información y las Comunicaciones - PETI</t>
  </si>
  <si>
    <t xml:space="preserve">Fortalecimiento de las Politicas del Modelo de Planeación y Gestión- MIPG </t>
  </si>
  <si>
    <t>Apoyo técnico para el fortalecimiento de las Politicas del Modelo de Planeación y Gestión- MIPG</t>
  </si>
  <si>
    <t>Acciones para el sostenimiento de las las Politicas del Modelo de Planeación y Gestión- MIPG</t>
  </si>
  <si>
    <t>Apoyo a la gestión, operación, adminsitración y promoción del proyecto</t>
  </si>
  <si>
    <t xml:space="preserve">Transporte </t>
  </si>
  <si>
    <t>Refrigerios y almuerzos</t>
  </si>
  <si>
    <t>TOTAL PPTO INICIAL</t>
  </si>
  <si>
    <t>VR TOTAL ADICIÓN</t>
  </si>
  <si>
    <t xml:space="preserve">Promover mecanismos de  comunicación y participación ciudadana en temas de interés ambiental </t>
  </si>
  <si>
    <t>Fortalecer la implementación de la Política Nacional de Educación Ambiental (Actualizar e implementar el Plan Decenal de Educación Ambiental)</t>
  </si>
  <si>
    <t>27. Ejecución de acciones en educación ambiental</t>
  </si>
  <si>
    <t>Generar procesos de apropiación social del conocimiento y/o  investigación de ciencia participativa frente a la problemática ambiental de los municipios del Huila.</t>
  </si>
  <si>
    <t>Proyecto SGR- Implementación del centro de ciencia SENDICAM.</t>
  </si>
  <si>
    <t>Proyecto SGR- Municipio de La Plata - Educación Ambiental Huila Biodiverso</t>
  </si>
  <si>
    <t>Apoyar la implementación de proyectos que estimulen la reducción de emisiones de gases efecto invernadero</t>
  </si>
  <si>
    <t>VALOR DEL PROYECTO SIN REGALÍAS</t>
  </si>
  <si>
    <t>5. Porcentaje de entes territoriales asesorados en la incorporación, planificación y ejecución de acciones relacionadas con cambio climático en el marco de los instrumentos de planificación territorial</t>
  </si>
  <si>
    <t>VALOR ADICIÓN</t>
  </si>
  <si>
    <t>Fortalecer la sostenibilidad de áreas productivas y ambientales   desde la cosmovisión cultural  de los pueblos originarios</t>
  </si>
  <si>
    <t>Comunidades indigenas apoyadas en temas de competencia de la Corporación</t>
  </si>
  <si>
    <t>Acompañamiento a procesos de formulación de  instrumentos de planificación ambiental de pueblos originarios</t>
  </si>
  <si>
    <t xml:space="preserve">Código: T-CAM-029 </t>
  </si>
  <si>
    <t xml:space="preserve">Estrategias diseñadas e implementadas  para la mitigación y prevención del riesgo de desastres naturales. </t>
  </si>
  <si>
    <t>Conocimiento del riesgo de desastres gestionados</t>
  </si>
  <si>
    <t>Asesoría y asistencia técnica especializada a entes territoriales y/o consejos territoriales de gestión del riesgo de desastres</t>
  </si>
  <si>
    <t>Proyectos para dotación a Consejos territoriales de gestión del riesgo de desastres</t>
  </si>
  <si>
    <t>Reducción del riesgo de desastres gestionado</t>
  </si>
  <si>
    <t xml:space="preserve">Apoyo Logístico (Transporte de Pasajeros) </t>
  </si>
  <si>
    <t>PPTO TOTAL 2024</t>
  </si>
  <si>
    <t xml:space="preserve">19. Porcentaje de sectores con acompañamiento para la reconversion hacia sistemas sostenibles de producción </t>
  </si>
  <si>
    <t>Suscribir y/o renovar instrumentos de articulación entre los diferentes sectores productivos, entes territoriales, entidades públicas y privadas</t>
  </si>
  <si>
    <t>Capacitaciones ambientales para mejorar las prácticas de los sectortes productivos</t>
  </si>
  <si>
    <t>Apoyar a los subsectores productivos para la implementación de proyectos pilotos o iniciativas de reconversión a sistemas de producción sostenible y economía circular</t>
  </si>
  <si>
    <t xml:space="preserve">Sectores que a través de proyectos piloto, alcanzan el 30% de sus residuos tratados y/o aprovechados </t>
  </si>
  <si>
    <t>21. Implementación del programa nacional de negocios verdes por la autoridad ambiental</t>
  </si>
  <si>
    <t>Participación en eventos de promoción de los negocios verdes</t>
  </si>
  <si>
    <t>TOTAL PPTO ADICIÓN</t>
  </si>
  <si>
    <t>VALOR TOTAL PPTO</t>
  </si>
  <si>
    <t>14. Porcentaje de áreas protegidas con planes de manejo en ejecución</t>
  </si>
  <si>
    <t xml:space="preserve">Ejecutar los Planes de Manejo Ambiental de las Áreas Protegidas </t>
  </si>
  <si>
    <t xml:space="preserve">Número de ecosistemas compartidos planificados y/o gestionados por la Corporación </t>
  </si>
  <si>
    <t xml:space="preserve">Ecosistemas compartidos planificados y/o gestionados por la Corporación </t>
  </si>
  <si>
    <t>Reservas Naturales de la Sociedad Civil - RNSC apoyadas</t>
  </si>
  <si>
    <t>Acompañamiento a solicitudes de nuevas iniciativas de Reservas Naturales de la Sociedad Civil - RNSC para su registro</t>
  </si>
  <si>
    <t>Reservas Naturales de la Sociedad Civil - RNSC registradas con apoyo y/o acompañamiento por parte de la Corporación</t>
  </si>
  <si>
    <t>16. Porcentaje de especies invasoras con medidas de prevención, control y manejo en ejecución</t>
  </si>
  <si>
    <t>Adoptar medidas de manejo y control de especies exóticas invasoras priorizadas en los ecosistemas presentes en el departamento</t>
  </si>
  <si>
    <t>15. Porcentaje de especies amenazadas con medidas de conservación y manejo en ejecución.</t>
  </si>
  <si>
    <t>Viáticos</t>
  </si>
  <si>
    <t xml:space="preserve">Porcentaje de empresas obligadas a conformar el Departamento de Gestión Ambiental - DGA - con seguimiento </t>
  </si>
  <si>
    <t>Seguimiento, control y asistencia tecnica a Departamento de Gestión Ambiental - DGA</t>
  </si>
  <si>
    <t>Realizar la actualizacion de los mapas y planes de descontaminacion por rudio de Nieva y Pitalito</t>
  </si>
  <si>
    <t>Participación en los comités técnicos de salud ambiental - COTSA</t>
  </si>
  <si>
    <t>Acompañamiento y asistencia técnica en la construcción y seguimiento a los planes de silvicultura urbana</t>
  </si>
  <si>
    <t>20. Porcentaje de ejecución de acciones en Gestión Ambiental Urbana</t>
  </si>
  <si>
    <t>TOTAL PPTO 2024</t>
  </si>
  <si>
    <t>Red de vigilancia y monitoreo de la calidad del aire implementada</t>
  </si>
  <si>
    <t>Fortalecer la estrategia para la preservación, conservación, rehabilitación y/o reintroducción, control y seguimiento a la fauna silvestre</t>
  </si>
  <si>
    <t>Fortalecer la estrategia de control a la deforestación, conservación y uso sostenible de los bosques en el departamento del Huila</t>
  </si>
  <si>
    <t>Estrategias fortalecidas que disminuyan el trafico y uso ilegal de la diversidad biologica y otros recursos naturales</t>
  </si>
  <si>
    <t xml:space="preserve">22. Tiempo promedio de tramite para la resolucion de autorizaciones ambientales otorgadas por la corporación </t>
  </si>
  <si>
    <t>Optimizar los tiempos en tramitar permisos  ambientales que se radiquen ante la autoridad ambiental regional</t>
  </si>
  <si>
    <t>23. Porcentaje de autorizaciones ambientales con seguimiento</t>
  </si>
  <si>
    <t>Mantener el control y seguimiento a las autorizaciones y permisos ambientales otorgados</t>
  </si>
  <si>
    <t xml:space="preserve">VALOR INICIAL TOTAL </t>
  </si>
  <si>
    <t>TOTAL PRESUPUESTO INICIAL</t>
  </si>
  <si>
    <t xml:space="preserve">Mantener información actualizada y divulgada en el Sistema de información ambiental y regional </t>
  </si>
  <si>
    <t>Porcentaje de actulización y seguimiento de la información de trámites ambientales (CITA, RUIA, SUNL, LOFL, SILAM - VITAL).</t>
  </si>
  <si>
    <t xml:space="preserve">Consolidación, registro y validación de información en los aplicativos en línea. </t>
  </si>
  <si>
    <t>TOTAL PPTO INICAL</t>
  </si>
  <si>
    <t xml:space="preserve">TOTAL PPTO INICIAL  </t>
  </si>
  <si>
    <t>Proyectos para cofinanciar construcción  y seguimiento al saneamiento ambiental hídrico como: interceptores, emisarios finales,  sistemas de tratamiento de aguas residuales domésticas y/o estudios y diseños asociados a estas obras.</t>
  </si>
  <si>
    <t>Proyectos para la descontaminación hídrica</t>
  </si>
  <si>
    <t>8. Porcentaje de municipios asesorados o asistidos en la inclusión del componente ambiental en los procesos de planificación y ordenamiento territorial, con énfasis en la incorporación de las determinantes ambientales para la revisión y ajuste de los POT</t>
  </si>
  <si>
    <t>Garantizar la incorporación de los aspectos ambientales en los planes de ordenamiento territorial y planes de desarrollo</t>
  </si>
  <si>
    <t>9. Porcentaje de avance en la formulación y/o ajustes de los  Planes de Ordenación y Manejo de Cuencas (POMCAS), Planes de Manejo de Acuíferos (PMA) y Planes de Manejo de Microcuencas (PMM).</t>
  </si>
  <si>
    <t>Formular y/o ajustar los PMAM</t>
  </si>
  <si>
    <t>Porcentaje de Planes de Manejo de áreas protegidas actualizadas y vigentes</t>
  </si>
  <si>
    <t>Actualizar los Planes de Manejo Ambiental de las Áreas Protegidas</t>
  </si>
  <si>
    <t>Porcentaje de áreas de bosque seco tropical delimitado y con manejo</t>
  </si>
  <si>
    <t>Delimitación y propuesta de manejo para las áreas de bosque seco tropical del departamento</t>
  </si>
  <si>
    <t>6. Porcentaje de páramos delimitados por el MADS, con zonificación y régimen de usos adoptados por la CAR</t>
  </si>
  <si>
    <t xml:space="preserve">Adoptar zonificacion y regimen de usos para complejos de páramos delimitados por el MADS con jurisdiccion en el departamento del Huila. </t>
  </si>
  <si>
    <t>Porcentaje de rondas hídricas acotadas</t>
  </si>
  <si>
    <t xml:space="preserve">Realizar el acotamiento de las rondas hídricas </t>
  </si>
  <si>
    <t>PPTO TOTAL ADICIÓN</t>
  </si>
  <si>
    <t>PPTO TOTAL INICIAL</t>
  </si>
  <si>
    <t xml:space="preserve">Estrategias de conservación y protección de las cuencas abastecedoras que no cuentan con plan de manejo formuladas </t>
  </si>
  <si>
    <t>Estrategia formulada para la conservación y protección de las cuencas abastecedoras que no cuentan con plan de manejo</t>
  </si>
  <si>
    <t>Espacios de diálogo para tramitar conflictos socioambientales alrededor del recurso hídrico</t>
  </si>
  <si>
    <t>Espacios de  diálogo consolidados para tramitar conflictos socioambientales alrededor del recurso hídrico</t>
  </si>
  <si>
    <t>Porcentaje de municipios acompañados y asesorados para la implementación de esquemas de pagos por servicios ambientales - PSA</t>
  </si>
  <si>
    <t xml:space="preserve">Municipios acompañados y asesorados para la implementación de esquemas de pagos por servicios ambientales - PSA </t>
  </si>
  <si>
    <t xml:space="preserve"> PPTO INICIAL </t>
  </si>
  <si>
    <t>PPTO PROGRAMA</t>
  </si>
  <si>
    <t xml:space="preserve">Conservación de la biodiversidad y sus servicios ecosistémicos
</t>
  </si>
  <si>
    <t xml:space="preserve">VR TOTAL ADICIÓN </t>
  </si>
  <si>
    <t>CRÉDITO SEDE PITALITO</t>
  </si>
  <si>
    <t>Incrementar el numero de empresas que se desempeñan como negocios verdes en el departamento</t>
  </si>
  <si>
    <t xml:space="preserve">Cumplimiento de los planes de mejora de los negocios verdes </t>
  </si>
  <si>
    <t>Porcentaje de negocios verdes verificados con sistema de divulgación</t>
  </si>
  <si>
    <t>Incrementar los ingresos generados por los negocios verdes en el deparamento</t>
  </si>
  <si>
    <t xml:space="preserve">Diseñar e implementar una estrategia de articulación institucional para el fortalecimiento de los negocios verdes </t>
  </si>
  <si>
    <t>Incrementar las ha en bosque conservadas por los negocios verdes</t>
  </si>
  <si>
    <t xml:space="preserve">Incrementar las áreas conservadas por empresas vinculadas a los negocios verdes </t>
  </si>
  <si>
    <t xml:space="preserve">PPTO TOTAL 2024 </t>
  </si>
  <si>
    <t>Ecosistemas estratégicos gestionados (Bosque Seco Tropical, Páramos y humedales)</t>
  </si>
  <si>
    <t>Caracterizar áreas para incrementar el conocimiento sobre la flora y la fauna silvestre del departamento</t>
  </si>
  <si>
    <t>Implementar el plan de conservación de especies amenazadas de Flora</t>
  </si>
  <si>
    <t>Implementar el plan de conservación de especies amenazadas de Fauna</t>
  </si>
  <si>
    <t>17. Porcentaje de áreas de ecosistemas en restauración, rehabilitación y reforestación</t>
  </si>
  <si>
    <t>Establecer la reforestación de áreas para la recuperación de la cobertura protectora del recurso hidrico.</t>
  </si>
  <si>
    <t>Realizar el mantenimiento de reforestación en áreas establecidas en vigencia anterior.</t>
  </si>
  <si>
    <t>Aislamiento de áreas para la protección del recurso hídrico, que abastece acueductos veredales y/o municipales.</t>
  </si>
  <si>
    <t>Mantenimiento a las áreas revegetalizadas para la recuperación de la cobertura protectora del recurso hidrico.</t>
  </si>
  <si>
    <t>Compra de predios para la restauración  y conservación de áreas estratégicas en cuencas hidrográficas abastecedoras de acueductos municipales y/o veredales</t>
  </si>
  <si>
    <t>Ejecutar los Planes de Manejo Ambiental de los humedales</t>
  </si>
  <si>
    <t xml:space="preserve">Incrementar el número de ecosistemas estratégicos (Humedales) caracterizados </t>
  </si>
  <si>
    <t xml:space="preserve">Desarrollar acciones para la conservación y recuperación del Bosque seco tropical </t>
  </si>
  <si>
    <t xml:space="preserve">Complejos de páramos delimitados con acciones para la conservación y conocimiento </t>
  </si>
  <si>
    <t>10. Porcentaje de  Planes de Ordenación y Manejo de Cuencas (POMCAS), Planes de Manejo de Acuiferos (PMA), y Planes de Manejo de Microcuencas (PMM) en ejecución</t>
  </si>
  <si>
    <t>1. Porcentaje de cuerpos de agua con planes de ordenamiento del recurso hídrico (PORH) adoptados</t>
  </si>
  <si>
    <t>Formular, adoptar, realizar seguimiento, evaluar y/o actualizar los Planes de Ordenación del Recurso Hídrico - PORH</t>
  </si>
  <si>
    <t>3. Porcentaje de cuerpos de agua con reglamentación del uso de las aguas</t>
  </si>
  <si>
    <t>Actualización de la reglamentación de las fuentes hídricas</t>
  </si>
  <si>
    <t>Porcentaje de fuentes hídricas reglamentadas con seguimiento</t>
  </si>
  <si>
    <t>Realizar seguimiento de fuentes hídricas reglamentadas</t>
  </si>
  <si>
    <t>24. Porcentaje de procesos sancionatorios resueltos</t>
  </si>
  <si>
    <t>Mantener la eficacia en tramitar y resolver las denuncias por infracciones a la normatividad ambiental de la actual y anteriores vigencias</t>
  </si>
  <si>
    <t>BST</t>
  </si>
  <si>
    <t>PMA HUMEDALES</t>
  </si>
  <si>
    <t>CONOCIMIENTO Y BST</t>
  </si>
  <si>
    <t>CONOCIMIENTO</t>
  </si>
  <si>
    <t>PMA HUMEDALES Y CONOCIMIENTO</t>
  </si>
  <si>
    <t>NUEVAS Y REGISTRADAS</t>
  </si>
  <si>
    <t>NUEVAS</t>
  </si>
  <si>
    <t>REGISTRADAS</t>
  </si>
  <si>
    <t>Capacitaciones</t>
  </si>
  <si>
    <t>Sectores</t>
  </si>
  <si>
    <t>Porcentaje</t>
  </si>
  <si>
    <t>Hectáreas</t>
  </si>
  <si>
    <t>Acciones</t>
  </si>
  <si>
    <t>Área</t>
  </si>
  <si>
    <t>Cuenca</t>
  </si>
  <si>
    <t>Metros lineales</t>
  </si>
  <si>
    <t>Municipios</t>
  </si>
  <si>
    <t>Corriente hídrica</t>
  </si>
  <si>
    <t>Proyecto</t>
  </si>
  <si>
    <t>Comunidad</t>
  </si>
  <si>
    <t>Municipio</t>
  </si>
  <si>
    <t>Plan</t>
  </si>
  <si>
    <t>Días</t>
  </si>
  <si>
    <t>Redes</t>
  </si>
  <si>
    <t>Pocentaje</t>
  </si>
  <si>
    <t>Operativos</t>
  </si>
  <si>
    <t>Mapas</t>
  </si>
  <si>
    <t xml:space="preserve">Porcentaje </t>
  </si>
  <si>
    <t>Estrategia diseñada para la protección de suelos para prevenir la acidez, salinización y erosión</t>
  </si>
  <si>
    <t>Profesional seguimiento Planes Ambientales DTS</t>
  </si>
  <si>
    <t xml:space="preserve">Formulación del PORH Y Reglamentación Agua </t>
  </si>
  <si>
    <t>Realizar seguimiento a los objetivos de calidad del recurso hídrico</t>
  </si>
  <si>
    <t>Programa PIRMA en ejecución</t>
  </si>
  <si>
    <t>Ejecutar el programa de monitoreo del estado del agua en fuentes hídricas (PIRMA)</t>
  </si>
  <si>
    <t xml:space="preserve">Operación y mantenimiento del centro de monitoreo y de la red de monitoreo hidrometereológico </t>
  </si>
  <si>
    <t>Construcción PTAR en el Centro de Atención y Valoración de Fauna - CAV</t>
  </si>
  <si>
    <t>Profesional negocios verdes - Meliponicultura</t>
  </si>
  <si>
    <t>PRESUPUESTO TOTAL</t>
  </si>
  <si>
    <t>PRESUPUESTO ADICIÓN</t>
  </si>
  <si>
    <t>Profesional forestal DTC</t>
  </si>
  <si>
    <t>Profesional forestal DTN</t>
  </si>
  <si>
    <t>Técnico forestal DTN</t>
  </si>
  <si>
    <t xml:space="preserve">Técnico forestal DTN </t>
  </si>
  <si>
    <t>Profesional seguimiento y fuentes móviles</t>
  </si>
  <si>
    <t>Profesional seguimiento - vertimientos DTN</t>
  </si>
  <si>
    <t>Profesional de evaluación y seguimiento licencias y permisos</t>
  </si>
  <si>
    <t xml:space="preserve">Profesional forestal DTO </t>
  </si>
  <si>
    <t>Profesional forestal DTS</t>
  </si>
  <si>
    <t>Geóloga,  gestión del riesgo - apoyo contravenciones mineras DTS y evaluación licencias</t>
  </si>
  <si>
    <t xml:space="preserve">Evaluación licencias - SRCA y apoyo contravenciones mineras </t>
  </si>
  <si>
    <t>Evaluacion y seguimiento RH subterranea, licencias y riesgo - SRCA</t>
  </si>
  <si>
    <t>Profesional seguimiento planes ambientales - vertimientos DTN</t>
  </si>
  <si>
    <t>Profesional evaluación y seguimiento</t>
  </si>
  <si>
    <t>Profesional seguimiento DGA, emisiones RCD, vertimientos y licencias y denuncias DTN</t>
  </si>
  <si>
    <t>Profesional ambiental, evaluación RH subterráneas - SRCA</t>
  </si>
  <si>
    <t>Profesional evaluación licencias y permisos CAU</t>
  </si>
  <si>
    <t>Profesional evaluación y seguimiento recurso hidrico DTN 1</t>
  </si>
  <si>
    <t>Profesional evaluación y seguimiento recurso hidrico DTN 2</t>
  </si>
  <si>
    <t xml:space="preserve">Profesional seguimiento RH, evaluación obras DTN </t>
  </si>
  <si>
    <t>Profesional seguimiento RH - DTO</t>
  </si>
  <si>
    <t>Abogado(a) de apoyo jurídico DTC</t>
  </si>
  <si>
    <t>Judicante apoyo jurídico DTC</t>
  </si>
  <si>
    <t>Abogado(a) de apoyo ESP a DTN</t>
  </si>
  <si>
    <t>Abogado(A) De Apoyo ESP A DTN</t>
  </si>
  <si>
    <t>Abogado(a) de apoyo jurídico DTN</t>
  </si>
  <si>
    <t xml:space="preserve">Apoyo jurídico DT </t>
  </si>
  <si>
    <t>Judicante DTN</t>
  </si>
  <si>
    <t>Apoyo jurídico</t>
  </si>
  <si>
    <t>Abogado(a) de apoyo jurídico DTO</t>
  </si>
  <si>
    <t>Judicante apoyo jurídico DTO</t>
  </si>
  <si>
    <t>Abogado(a) de apoyo a DTS</t>
  </si>
  <si>
    <t xml:space="preserve">Abogado(a) de apoyo a DTS </t>
  </si>
  <si>
    <t xml:space="preserve">Abogado(a) de apoyo ESP a DTS </t>
  </si>
  <si>
    <t>Judicante DTS</t>
  </si>
  <si>
    <t>Abogado articulador cobro de seguimiento SRCA</t>
  </si>
  <si>
    <t>Abogado de apoyo - cobro de seguimiento SRCA</t>
  </si>
  <si>
    <t>Abogado(a) de apoyo esp. SRCA</t>
  </si>
  <si>
    <t>META FÍSICA</t>
  </si>
  <si>
    <t>OBSERVACIONES</t>
  </si>
  <si>
    <t>Cinco capacitaciones anuales con asesoría ambiental para mejorar las prácticas de los sectores productivos</t>
  </si>
  <si>
    <t xml:space="preserve">Acciones de implementación de la estrategia para la protección de suelos para prevenir la acidez, salinización y erosión 
</t>
  </si>
  <si>
    <t>Proyectos</t>
  </si>
  <si>
    <t>TOTAL PRESUPUESTO POR PROYECTO</t>
  </si>
  <si>
    <t>Adelantar trabajo articulado para la organización de mercados campesinos y actividades con gobernación, administraciones municipales, SENA, ADR, Ejército, entre otras entidades</t>
  </si>
  <si>
    <t>Evaluciones regionales del agua efectuadas</t>
  </si>
  <si>
    <t>Actualizar indicadores hídricos regionales</t>
  </si>
  <si>
    <t>Ejecución de acciones relacionadas con la implementación de los Planes de Manejo (POMCAS y PMAM)</t>
  </si>
  <si>
    <t>11. Porcentaje de suelos degradados en recuperación o rehabilitación</t>
  </si>
  <si>
    <t xml:space="preserve">Recuperación y rehabilitación de suelos degradados </t>
  </si>
  <si>
    <t>26. Porcentaje de actualización y reporte de la información en el SIAC</t>
  </si>
  <si>
    <t>Acompañamientos a Consultas previas, planes, proyectos y programas ambientales de los pueblos originarios</t>
  </si>
  <si>
    <t>Ejecución de proyectos productivos -ambientales mediante la realización de convenios  que beneficie a los pueblos originarios</t>
  </si>
  <si>
    <t>Asesorar a los entes territoriales en la incorporación del componente de Cambio Climático en los instrumentos de planificación</t>
  </si>
  <si>
    <t>Actualizar el Plan de Cambio Climático Huila 2050, conforme a lo señalado en la Ley 1931 de 2018</t>
  </si>
  <si>
    <t xml:space="preserve"> -Aplicar baterías de indicadores a 2 procesos de educación ambiental que pueden ayudar a evaluar los conocimientos, comprensión y prácticas ambientales de los habitantes del departamento del Huila: Cuestionarios o encuestas, pruebas estandarizadas, entrevistas estructuradas o semiestructuradas.
-A través de actividades artísticas-lúdicas (Música, deporte, pintura, literatura, teatro, cine etc.) fomentar la comprensión de los problemas ambientales y la importancia de la conservación y protección del medio ambiente en los 37 municipios del Huila.
Promover espacios de participación con las organizaciones ambientales y/o población organizada, CIDEAS, COLAP, consejos de cuecas para la concertación de actividades de educación ambiental en los 37 municipios del Huila.
-Fomentar mínimo 1 encuentro anual de experiencias de investigación comunitaria y académica.
-Apoyar y asesorar los proyectos PRAE, PROCEDAS y otras actividades ambientales prácticas en los 37 municipios del Huila. </t>
  </si>
  <si>
    <t>Con personal de apoyo (técnico y jurídico) se pretende atender las 3.500 denuncias promedio que ingresan anualmente por VITAL y adelantar los procesos mediante la aplicación de la Ley 1333 de 2009 y demás normas complemetarias. 
Aclarando que tambien se deben resolver los procesos activos de vigencias anteriores de conformidad con la legislación vigente.</t>
  </si>
  <si>
    <t>Fortalecer la estrategia de control para disminuir el tráfico y uso ilegal de la diversidad biológica  y otros recursos naturales - RECAM</t>
  </si>
  <si>
    <t>Un operativo semanal entre los municipios de Neiva, Pitalito y Garzón. Recursos para mantenimiento y operación de los equipos de monitoreo</t>
  </si>
  <si>
    <t>Realizar el eguimiento y control a un estimado de 400 establecimientos activos al inicio de la vigencia 2027</t>
  </si>
  <si>
    <t>7. Porcentaje de Planes de Gestión Integral de Residuos Sólidos (PGIRS) con seguimiento a metas de aprovechamiento</t>
  </si>
  <si>
    <t xml:space="preserve">Acciones de seguimiento a las metas de aprovechamiento de los Planes de Gestión Integral de Residuos Sólidos (PGIRS) </t>
  </si>
  <si>
    <t>Realizar el control y seguimiento a los 37 municipios de su jurisdicción equivalente al 100% de los seguimientos programados, en la ejecución de los Planes de Gestión Integral de Residuos Sólidos – PGIRS, exclusivamente en lo relacionado con las metas de aprovechamiento y las autorizaciones ambientales que requiera el prestador del servicio de aseo.</t>
  </si>
  <si>
    <t>Relizar el seguimientos a los 3 establecimientos gestores y seguimiento a los generadores que se encuentren activos en la vigencia 2027</t>
  </si>
  <si>
    <t>Se cuenta con una linea base de 65 empresas inscritas ante la CAM. El numero de empresas puede aumentar, si se presentan nuevas inscripciones de empresas</t>
  </si>
  <si>
    <t>2. Porcentaje de Planes de Saneamiento y Manejo de Vertimientos (PSMV) con seguimiento</t>
  </si>
  <si>
    <t>Acciones para el seguimiento a  Planes de Saneamiento y Manejo de Vertimientos –PSMV</t>
  </si>
  <si>
    <t>Realizar el control y seguimiento a los 15 PSMV vigentes.</t>
  </si>
  <si>
    <t>TOTAL PRESUPUESTO PLAN DE ACCIÓN</t>
  </si>
  <si>
    <t>2024 CON ADICIÓN</t>
  </si>
  <si>
    <r>
      <t xml:space="preserve">Se realizará:
Suscripción y/o renovación de instrumentos de articulación así:
</t>
    </r>
    <r>
      <rPr>
        <b/>
        <sz val="11"/>
        <color rgb="FFFF0000"/>
        <rFont val="Arial"/>
        <family val="2"/>
      </rPr>
      <t xml:space="preserve">2024: </t>
    </r>
    <r>
      <rPr>
        <sz val="11"/>
        <color rgb="FFFF0000"/>
        <rFont val="Arial"/>
        <family val="2"/>
      </rPr>
      <t xml:space="preserve">Se suscribirá un acuerdo de voluntades con cafeteros
</t>
    </r>
    <r>
      <rPr>
        <b/>
        <sz val="11"/>
        <color rgb="FFFF0000"/>
        <rFont val="Arial"/>
        <family val="2"/>
      </rPr>
      <t xml:space="preserve">2025: </t>
    </r>
    <r>
      <rPr>
        <sz val="11"/>
        <color rgb="FFFF0000"/>
        <rFont val="Arial"/>
        <family val="2"/>
      </rPr>
      <t xml:space="preserve">Se renovarán las agendas sectoriales de los subsectores piscultura y ladrilleros. Suscripción de Acuerdo con el sector hortofrutícola (aguacate)
</t>
    </r>
    <r>
      <rPr>
        <b/>
        <sz val="11"/>
        <color rgb="FFFF0000"/>
        <rFont val="Arial"/>
        <family val="2"/>
      </rPr>
      <t>2026</t>
    </r>
    <r>
      <rPr>
        <sz val="11"/>
        <color rgb="FFFF0000"/>
        <rFont val="Arial"/>
        <family val="2"/>
      </rPr>
      <t xml:space="preserve">: Se renovará la agenda sectorial con el subsector cacaotero y se suscribiran dos acuerdos de voluntades, una con los paneleros y otro con apícolas
</t>
    </r>
    <r>
      <rPr>
        <b/>
        <sz val="11"/>
        <color rgb="FFFF0000"/>
        <rFont val="Arial"/>
        <family val="2"/>
      </rPr>
      <t xml:space="preserve">2027: </t>
    </r>
    <r>
      <rPr>
        <sz val="11"/>
        <color rgb="FFFF0000"/>
        <rFont val="Arial"/>
        <family val="2"/>
      </rPr>
      <t xml:space="preserve">Se renovarán las agendas sectoriales con los subsectores cafeteros y ganaderos.
</t>
    </r>
    <r>
      <rPr>
        <strike/>
        <sz val="11"/>
        <rFont val="Arial"/>
        <family val="2"/>
      </rPr>
      <t xml:space="preserve">Comités de seguimiento
Economía circular
Apuntar a reducir consumo de agua y de residuos contaminantes
Apoyo técnico a los sectores productivos.
Contratación de un profesional. </t>
    </r>
  </si>
  <si>
    <t>Se llevaran a cabo 8 proyectos pilotos para la reconversión en sectores productivos:
*Filtros verdes - cafeteros
*Biodigestores - porcícola y gandero.
*Proyectoorgánico - cacaoteros
*Cosecha de agua - ganaderos
*Silvopastoriles - ganadería
*Agroforestal - cafeteros
*Efciencia energética - ladrilleros y paneleros;
*Reconversión productiva en arroz</t>
  </si>
  <si>
    <t>Ejecución de 3 proyectos pilotos en subsectores de café, cacao y porcícola con el objetivo de alcanzar el 30% de sus residuos tratados y/o aprovechados</t>
  </si>
  <si>
    <t>Al finalizar los cuatro años del PAC, en articulación con otras entidades entidades, se contará con el diseño de una estrategia orientada a la protección de suelos para prevenir la desertificación, salinización y erosión</t>
  </si>
  <si>
    <t>Implementar acciones piloto de la estrategia diseñada en el 2025</t>
  </si>
  <si>
    <t xml:space="preserve">Línea Base: 203
Actualmente 214
Aplicación de canales alternos de divulgación del proyecto.
Fortalecimiento del equipo técnico del proyecto para asegurar una mayor cobertura y apoyo a empresarios del departamento .
Talleres de divulgación del proyecto a empresas de la región.
Visitas para el diligenciamiento de la ficha de verificación
Aplicación de canales alternos de divulgación del proyecto
</t>
  </si>
  <si>
    <t xml:space="preserve">De las acciones establecidas en los planes de mejora de los 108.
Articulación con entidades como SENA, Cámara de Comercio y Gobernación para acompañar a los empresarios en el cumplimiento de las acciones contenidas en los planes de mejora 
</t>
  </si>
  <si>
    <t>El porcentaje de la meta estipulada corresponde a la cantidad de negocios verdes verificados que cuentan con información en los micrositios en la página web y con un portafolio de servicios.
Articulación con Ministerio de Ambiente y SENA para incrementar el número de empresas verificadas.
Diseño de marcas, logos y material publicitario</t>
  </si>
  <si>
    <t xml:space="preserve">Participación de los empresarios en  ruedas de negocios, compras públicas, divulgar el catálogo de empresas de Negocios Verdes por medios masivos de comunicación, apoyar a los empresarios en la participación de ferias comerciales </t>
  </si>
  <si>
    <t>Alianza con entidades como SENA, Cámara de Comercio del Huila, Ministerio de Ambiente y Desarrollo Sostenible, Gobernación del Huila, Alcaldías, ADR.
Propiciar alianzas para la generación de espacios de comercialización</t>
  </si>
  <si>
    <t>Acompañamiento y asesoría a las empresas del sector de turismo de naturaleza y agrícola.
Donación de árboles para reforestar.
Delimitación de senderos naturales en predios de los empresarios.</t>
  </si>
  <si>
    <t>Asesoría, asistencia técnica y capacitación ambiental para la administración, promoción y gestión de las Áreas Protegidas.
Implementación de proyectos y actividades de ejecución de los PMA de las áreas protegidas.
Apoyo a Sistemas Pilotos de Reconversión Productiva
Ejecución de proyectos concebidos en los Planes de Manejo Ambiental de las Áreas Protegidas.</t>
  </si>
  <si>
    <r>
      <t>Jornadas de Educación Ambiental, Monitoreo, seguimiento y complementación de línea base de la biodiversidad, adelanto de procesos de investigación participativa y aplicada,  construcción de pozos sépticos, Instalación de vallas y señalización.</t>
    </r>
    <r>
      <rPr>
        <strike/>
        <sz val="11"/>
        <rFont val="Arial"/>
        <family val="2"/>
      </rPr>
      <t xml:space="preserve"> Durante el cuatrenio del Plan de Acción se estima el  avance de ejecución de los PMA del 40% al 60%, dado que la ejecución se encuentra  en el mediano plazo que corresponde del 4 al 7 año.</t>
    </r>
  </si>
  <si>
    <t xml:space="preserve">818 humedales identificados 
341 humedales caracterizados
Caracterización de humedales priorizados
</t>
  </si>
  <si>
    <t>De acuerdo a las acciones definidas en la convención de las Naciones Unidas para la lucha contra la desertificación, se acogieron las siguientes:
1. Restauración ecológica, incluida la restauración del suelo en zonas secas.
2. Conservación del bosque seco. 
3. Reconversión y adecuación productiva.</t>
  </si>
  <si>
    <t xml:space="preserve">Jornadas de educación ambiental en las zonas de influencia de los 6 complejos de páramos presentes en el departamento. 
Segumiento a coberturas, biodiversidad e integralidad de las áreas de Páramo.
Recopilación de informe de acciones por complejo. 
Consolidación de comisiones conjunta, y participacion en comisiones activas. </t>
  </si>
  <si>
    <t>Acompañamiento en nuevas iniciativas de Registro de Reservas Naturales de la Sociedad Civil - RNSC  que  requieran revisión documental, generación de información cartográfica, inicio de proceso ante Parques Nacionales y seguimiento al proceso hasta que lo archiven o la registren.
En el primer trimestre del 2024 se tienen 20 nuevas iniciativas.</t>
  </si>
  <si>
    <t>179 actuales, más las que se registren. Seguimiento a objetivos de conservación, visitas técnicas de caracterización, apoyo en formulación y presentación de planes de reserva, inversión en proyectos productivos y en proyectos de restauración.</t>
  </si>
  <si>
    <t>Macizo Colombiano y Corredor Trasandino Amazónico.
Apoyo a Sistemas pilotos de reconversión productiva.
Implementación de actividades en áreas de ecosistemas compartidos.</t>
  </si>
  <si>
    <t>Educación ambiental, Seguimiento y monitoreo a parcelas de investigación asociadas a la especie de Roble negro; apoyo y acompañamiento de grupos de monitoreo en zonas de robledad, restauración ecológica. El porcentaje de avance se define en 100% para cada vigencia, teniendo en cuenta que cada año se desarrollan actividades correlacionadas al cumplimiento de todos los objetivos. Importante conocer que el Plan de conservación del Roble es por 10 años, renovandose el último en el año 2019.</t>
  </si>
  <si>
    <t>Acompañamiento a la implementación del Plan de Conservación de especies amenazadas (oso de anteojos, danta de montaña, aguila real, venado, nutria, mono churuco, jaguar y cocodrilo del Magdalena)  y Plan para el reconocimiento de especies focales, a través de la articulación y acompañamiento de los Grupos de Monitoreo Comunitario de la biodiversidad, Sistematización de resultados del proceso de monitoreo participativo de la biodiversidad (consolidación, curaduría y depuración de la línea base de información biológica del Huila) . Por lo que incluye la elaboración de estudios de caracterización biológica participativa en áreas estrategicas, asesorpia y asistencia técnica para el manejo de especies amenazadas y la implementación de proyectos para su manejo (eventos de participación e intercambio de experiencias, suministro de equipos de monitoreo, divulgación de resultados y apoyo a interacciones negativas con fauna silvestre). El porcentaje de avance se define en 100% para cada vigencia, teniendo en cuenta que cada año se desarrollan actividades correlacionadas al cumplimiento de todos los objetivos.</t>
  </si>
  <si>
    <r>
      <t xml:space="preserve">Caracterizaciones ecológicas de fauna y flora en áreas estratégicas según criterios de priorización en zonas con vacíos de información. Se realizará la consolidación, curaduría y publicación de la información de fauna y flora.
</t>
    </r>
    <r>
      <rPr>
        <sz val="11"/>
        <color rgb="FFFF0000"/>
        <rFont val="Arial"/>
        <family val="2"/>
      </rPr>
      <t/>
    </r>
  </si>
  <si>
    <t xml:space="preserve">El listado de especies invasoras exóticas para el departamento del Huila se priorizará según la normativa legal vigente que se tiene para el país, determiando la presencia y distribución en el Huila.
Se realizará el manejo y control para la especie invasora Caracol Africano, que cuenta con un Plan de manejo y control mediante la Resolución 0654 de 2011 emitida por el Minambiente .
En cuanto a la priorización de especies invasoras  de flora, se tiene definido realizar medidas de manejo y control para la especies forestales Neem, Pawlonia y Tulripán Africano.
Adicionalmente se realizarán talleres y educación ambiental.
</t>
  </si>
  <si>
    <r>
      <rPr>
        <b/>
        <sz val="11"/>
        <rFont val="Arial"/>
        <family val="2"/>
      </rPr>
      <t xml:space="preserve">2024: </t>
    </r>
    <r>
      <rPr>
        <sz val="11"/>
        <rFont val="Arial"/>
        <family val="2"/>
      </rPr>
      <t xml:space="preserve">Inicia Formulación del PORH Rio Fortalecillas  (Diagnóstico: Declaratoria y caracterización. Censo de Usuarios) - 31%
</t>
    </r>
    <r>
      <rPr>
        <b/>
        <sz val="11"/>
        <rFont val="Arial"/>
        <family val="2"/>
      </rPr>
      <t xml:space="preserve">2025: </t>
    </r>
    <r>
      <rPr>
        <sz val="11"/>
        <rFont val="Arial"/>
        <family val="2"/>
      </rPr>
      <t xml:space="preserve">Diagnóstico (Plan de monitoreo, construcción de línea base) (Identificación de usos potenciales y elaboración de PORH) - 69%
</t>
    </r>
    <r>
      <rPr>
        <b/>
        <sz val="11"/>
        <rFont val="Arial"/>
        <family val="2"/>
      </rPr>
      <t>2026</t>
    </r>
    <r>
      <rPr>
        <sz val="11"/>
        <rFont val="Arial"/>
        <family val="2"/>
      </rPr>
      <t xml:space="preserve">: Inicia Formulación del PORH Rio Guachico  (Diagnostico: Declaratoria y caracterización. Censo de Usuarios) - 31%
</t>
    </r>
    <r>
      <rPr>
        <b/>
        <sz val="11"/>
        <rFont val="Arial"/>
        <family val="2"/>
      </rPr>
      <t>2027</t>
    </r>
    <r>
      <rPr>
        <sz val="11"/>
        <rFont val="Arial"/>
        <family val="2"/>
      </rPr>
      <t>: Diagnóstico (Plan de monitoreo, construcción de línea base) (Identificación de usos potenciales y elaboración de PORH) - 69%</t>
    </r>
  </si>
  <si>
    <r>
      <rPr>
        <b/>
        <sz val="11"/>
        <rFont val="Arial"/>
        <family val="2"/>
      </rPr>
      <t xml:space="preserve">2024: </t>
    </r>
    <r>
      <rPr>
        <sz val="11"/>
        <rFont val="Arial"/>
        <family val="2"/>
      </rPr>
      <t xml:space="preserve">Incia contratación junto con PORH Fortalecillas
</t>
    </r>
    <r>
      <rPr>
        <b/>
        <sz val="11"/>
        <rFont val="Arial"/>
        <family val="2"/>
      </rPr>
      <t>2025:</t>
    </r>
    <r>
      <rPr>
        <sz val="11"/>
        <rFont val="Arial"/>
        <family val="2"/>
      </rPr>
      <t xml:space="preserve"> Reglamentación Rio Fortalecillas (50%) (1.Publicación Acto administrativo - 2.Visitas oculares y estudios de reglamentación - 3.Componente Social - 4.Evaluación de PUEAA´s - 5.Proyecto de Distribución de aguas - 6.Aviso y Difusión del Proyecto 7.Objeciones, reforma del proyecto).
</t>
    </r>
    <r>
      <rPr>
        <b/>
        <sz val="11"/>
        <rFont val="Arial"/>
        <family val="2"/>
      </rPr>
      <t>2026:</t>
    </r>
    <r>
      <rPr>
        <sz val="11"/>
        <rFont val="Arial"/>
        <family val="2"/>
      </rPr>
      <t xml:space="preserve"> Inicia actualización de la reglamentación Quebrada el Hígado en Tarqui (15%) (1.Publicación Acto administrativo 
2.Visitas oculares y estudios de reglamentación)
</t>
    </r>
    <r>
      <rPr>
        <b/>
        <sz val="11"/>
        <rFont val="Arial"/>
        <family val="2"/>
      </rPr>
      <t>2027:</t>
    </r>
    <r>
      <rPr>
        <sz val="11"/>
        <rFont val="Arial"/>
        <family val="2"/>
      </rPr>
      <t xml:space="preserve"> Terminación de la actualización de la reglamentación Quebrada el Hígado en Tarqui (35%) (2.Visitas oculares y estudios de reglamentación (continuación) 3.Componente Social 4.Evaluación de PUEAA´s 5.Proyecto de Distribución de aguas 6.Aviso y Difusión del Proyecto 7.Objeciones, reforma del proyecto)</t>
    </r>
  </si>
  <si>
    <t>Personal para seguimiento a las 55 corrientes reglamentadas. Incluye verificación del uso y la implementación y/o ejecución de los PUEAA. 4.941 concesiones de agua</t>
  </si>
  <si>
    <r>
      <t xml:space="preserve">Seguimientos al acuerdo de meta de carga contaminante y cumplimiento de los objetivos de calidad de las corrientes y tramos definidos, en articulación con PORH y PSMV, implementación de la tasa retributiva por vertimientos puntuales y seguimiento a la norma de vertimiento vigente, en cumplimiento de los objetivos de la Política Nacional para la Gestión Integral del Recurso Hídrico
</t>
    </r>
    <r>
      <rPr>
        <sz val="11"/>
        <color rgb="FFFF0000"/>
        <rFont val="Arial"/>
        <family val="2"/>
      </rPr>
      <t/>
    </r>
  </si>
  <si>
    <r>
      <rPr>
        <b/>
        <sz val="11"/>
        <rFont val="Arial"/>
        <family val="2"/>
      </rPr>
      <t>2024:</t>
    </r>
    <r>
      <rPr>
        <sz val="11"/>
        <rFont val="Arial"/>
        <family val="2"/>
      </rPr>
      <t xml:space="preserve"> Campañas de monitoreo con convenio IDEAM Rio Magdalena y otras afluentes principales.
Muestreos y contramuestreos. Análisis de calidad de agua programadas en metas de mediano plazo de PORH Rio Neiva - Rio Frio Campoalegre; Quebrada Majo - Garzón; Rio Guarocó - Baraya; Quebrada La Nutria - Baraya; Rio Tune - Palermo; Quebrada la Guagua - Palermo (77 puntos de muestreo).
</t>
    </r>
    <r>
      <rPr>
        <b/>
        <sz val="11"/>
        <rFont val="Arial"/>
        <family val="2"/>
      </rPr>
      <t>2025:</t>
    </r>
    <r>
      <rPr>
        <sz val="11"/>
        <rFont val="Arial"/>
        <family val="2"/>
      </rPr>
      <t xml:space="preserve"> Campañas de monitoreo con convenio IDEAM rio Magdalena y otras afluentes principales.
Muestreos y contramuestreos. Análisis de calidad de agua programadas en metas de mediano plazo de PORH Quebrada los Micos - Ceibas; Rio Pedernal - Teruel; Quebrada el Hígado- Tarqui; Quebrada la Honda -Gigante; Las Vueltas - Hobo Gigante; Quebrada el Pescador - Hobo; Quebrada Garzón; Quebrada el Hobo; Quebrada la Chorrera - Isnos; Quebrada el Chuscal - Isnos (93 puntos de muestreo).
</t>
    </r>
    <r>
      <rPr>
        <b/>
        <sz val="11"/>
        <rFont val="Arial"/>
        <family val="2"/>
      </rPr>
      <t xml:space="preserve">2026: </t>
    </r>
    <r>
      <rPr>
        <sz val="11"/>
        <rFont val="Arial"/>
        <family val="2"/>
      </rPr>
      <t xml:space="preserve">Campañas de monitoreo con convenio IDEAM rio Magdalena y otras afluentes principales.
Muestreos y contramuestreos. Análisis de calidad de agua programadas en metas de corto plazo del Rio Aipe: (11 puntos de muestreo).
</t>
    </r>
    <r>
      <rPr>
        <b/>
        <sz val="11"/>
        <rFont val="Arial"/>
        <family val="2"/>
      </rPr>
      <t xml:space="preserve">2027: </t>
    </r>
    <r>
      <rPr>
        <sz val="11"/>
        <rFont val="Arial"/>
        <family val="2"/>
      </rPr>
      <t>Campañas de monitoreo con convenio IDEAM rio Magdalena y otras afluentes principales.
Muestreos y contramuestreos. Análisis de calidad de agua programadas en metas de mediano plazo corrientes Rio Tune y Quebrada la Guagua (10 puntos de muestreo).</t>
    </r>
  </si>
  <si>
    <t>El centro de monitoreo recepciona la información de las 32 estaciones en funcionamiento, son de diferentes tipologías:
*4 de alarma que no producen datos y se encuentran operativas: Andes, Cámbulos, San Bernardo, estación bomberos
*28 que producen datos, se encuentran operativas</t>
  </si>
  <si>
    <r>
      <t xml:space="preserve">Equipo ERA: oferta, demanda, calidad, riesgo y SIG. Actualmente se cuenta con la ERA 2023 que alimentará la ENA 2026. Se va a actualizar ERA 2026 - 2027
</t>
    </r>
    <r>
      <rPr>
        <b/>
        <sz val="11"/>
        <rFont val="Arial"/>
        <family val="2"/>
      </rPr>
      <t xml:space="preserve">2026: </t>
    </r>
    <r>
      <rPr>
        <sz val="11"/>
        <rFont val="Arial"/>
        <family val="2"/>
      </rPr>
      <t xml:space="preserve">Actualización de la Evaluación Regional del Agua – ERA, en los componentes de oferta, demanda, calidad, riesgo y SIG del recurso hidrico superficial, en seis (6) Subzonas 2101- Alto Magdalena, 2102- Río Timaná y otros, 2103- Río Suaza, 2104- Ríos directos Magdalena (mi), 2105- Río Páez y 2106 – Ríos Directos al Magdalena (md), con el fin de dar cumplimiento a los objetivos de la Política Nacional para la Gestión Integral del Recurso Hídrico
</t>
    </r>
    <r>
      <rPr>
        <b/>
        <sz val="11"/>
        <rFont val="Arial"/>
        <family val="2"/>
      </rPr>
      <t>2027</t>
    </r>
    <r>
      <rPr>
        <sz val="11"/>
        <rFont val="Arial"/>
        <family val="2"/>
      </rPr>
      <t>: Actualización de la Evaluación Regional del Agua – ERA, en los componentes de oferta, demanda, calidad, riesgo y SIG del recurso hidrico superficial, en siete (7) Subzonas 2108 - Río Yaguará, 2109 - Juncal y otros Ríos directos al Magdalena, 2110 - Río Neiva, 2111 - Río Fortalecillas y otros, 2112 - Río Baché,  2113 - Río Aipe y otros directos al Magdalena y 2114 - Río Cabrera, con el fin de dar cumplimiento a los objetivos de la Política Nacional para la Gestión Integral del Recurso Hídrico</t>
    </r>
  </si>
  <si>
    <t>La estrategia para las cuencas abastecedoras que no tienen instrumentos de planificación, se realizará mendiante una modelación SWAT escenarios de cambio de cobertura; 1. Análisis multicriterio y  2. cobertura total bosque, que se realiza a la cuenca que abastece a la cabecera municipal y se toma variables como caudal de la microcuenca o cuenca, población del municipio o ciudad a la cual abastece, con una proyección de crecimiento en un tiempo de 25 años para ver las áreas que se deben proteger y los sitios a intervenir, para la ejecución de proyectos relacionados con compra de predios, aislamientos de zonas de nacimientos, reforestaciones protectoras.</t>
  </si>
  <si>
    <t>Año tras año se tendrá un profesional por PMAM O POMCA aprobados y que se encuentren en ejecución, para atender los diferentes conflictos socioambientales que se tienen en estas áreas. Se citaran a las comunidades en conflicto para tratar de resolver los temas, y se realizará conjuntamente con el personal de la direccional regional donde se encuentren los casos</t>
  </si>
  <si>
    <t>Realizar la recuperación de suelos mediante los sistemas de aislamiento de zonas de nacimiento, construcción de Perchas y refugios de fauna, entre otros. Se ejecutarán mediante convenios.</t>
  </si>
  <si>
    <t>Se realizará el establecimiento de hectáreas de reforestación protectora en el área del Corredor Trasandino amazónico y en áreas públicas que se encuentran en las zonas de protección del recurso hídrico.</t>
  </si>
  <si>
    <t>Se realizará matenimiento a las áreas de reforestación que se implementan año tras año.</t>
  </si>
  <si>
    <t>Los aislamientos se realizarán en zonas de protección del recurso hídrico y en áreas públicas de fuentes que abastecen acueductos veredales y/o municipales.</t>
  </si>
  <si>
    <t>Los mantenimientos a los aislamientos se realizarán en zonas de protección del recurso hídrico y en áreas públicas, fuentes que abastecen acueductos veredales y/o municipales, que se establecen en vigencias anteriores.</t>
  </si>
  <si>
    <t>Se ejecutará mediante convenios interadministrativos con los municipios que presenten proyectos a la CAM, quien realizará la visita de verificación con el fin de identificar que se encuentren ubicados en áreas estratégicas para la conservación del recurso hídrico que sirvan para el abastecimiento de acueductos veredales y municipales.</t>
  </si>
  <si>
    <r>
      <t xml:space="preserve">Acompañar a los entes territoriales en la definición de los instrumentos administrativos para la reglamentación del Pago por servicios ambientales en sus localidades.
Desarrollar una estrategia para el diseño de los PSA propuestos en los POMCA formulados, haciendo uso de herramientas financieras locales (1% Ley 99, SGP Rivereños y regalias ambientales).
Socializar las fuentes de financiación establecidas en los entes territoriales para el financiamiento de esquemas de PSA.
</t>
    </r>
    <r>
      <rPr>
        <b/>
        <sz val="11"/>
        <rFont val="Arial"/>
        <family val="2"/>
      </rPr>
      <t xml:space="preserve">2024: </t>
    </r>
    <r>
      <rPr>
        <sz val="11"/>
        <rFont val="Arial"/>
        <family val="2"/>
      </rPr>
      <t xml:space="preserve">Asistir a los municipios que integran el POMCA Cuenca Guarapas (Pitalito - Palestina).
</t>
    </r>
    <r>
      <rPr>
        <b/>
        <sz val="11"/>
        <rFont val="Arial"/>
        <family val="2"/>
      </rPr>
      <t xml:space="preserve">2025: </t>
    </r>
    <r>
      <rPr>
        <sz val="11"/>
        <rFont val="Arial"/>
        <family val="2"/>
      </rPr>
      <t xml:space="preserve"> Asistir a los municipios que integran el POMCA de la cuenca Suaza (Suaza, Garzón, Altamira, Guadalupe, Acevedo)
</t>
    </r>
    <r>
      <rPr>
        <b/>
        <sz val="11"/>
        <rFont val="Arial"/>
        <family val="2"/>
      </rPr>
      <t xml:space="preserve">2026: </t>
    </r>
    <r>
      <rPr>
        <sz val="11"/>
        <rFont val="Arial"/>
        <family val="2"/>
      </rPr>
      <t xml:space="preserve">Asistir a los municipios que integran PMAM Quebrada Yaguilga, Quebrada Garzón y POMCA Río Las Ceibas, Río Loro y otros afluentes del Magdalena, (Pital, Agrado, La Plata, Neiva, Rivera)
</t>
    </r>
    <r>
      <rPr>
        <b/>
        <sz val="11"/>
        <rFont val="Arial"/>
        <family val="2"/>
      </rPr>
      <t xml:space="preserve">2027: </t>
    </r>
    <r>
      <rPr>
        <sz val="11"/>
        <rFont val="Arial"/>
        <family val="2"/>
      </rPr>
      <t>Asistir a los municipios que integran el POMCA  de la Cuenca Yaguará (Yaguará, Teruel, Iquirá, Tesalia y Nataga).</t>
    </r>
  </si>
  <si>
    <r>
      <t xml:space="preserve">Con Personal de apoyo se mantendrá actualizada la información en las plataformas de reporte institucional en los subsistemas que administra el IDEAM (SNIF, SISAIRE, SIRH,  RESPEL, RUA, </t>
    </r>
    <r>
      <rPr>
        <b/>
        <sz val="11"/>
        <rFont val="Arial"/>
        <family val="2"/>
      </rPr>
      <t>Negocios verdes, RUNAP, SIB, IFN (Inventario forestal Nacional),</t>
    </r>
    <r>
      <rPr>
        <sz val="11"/>
        <rFont val="Arial"/>
        <family val="2"/>
      </rPr>
      <t xml:space="preserve">
</t>
    </r>
  </si>
  <si>
    <t>Personal de apoyo para el cargue en las plataformas de CITA, RUIA, SUNL, LOFL, SILAM-VITAL  atención al ciudadano, territoriales y alimentación de los subsistemas de información ambiental).
Con el Personal de apoyo mantener los aplicativos en línea al día, en el registro de los actos administrativos que resultan en el dia a dia y en la disponibilidad en los centros de atención al ciudadano y territoriales.</t>
  </si>
  <si>
    <t>Suministro de información, lineamientos y determinantes ambientales para el ordenamiento territorial
a los municipios que adelanten la formulación de instrumentos de planificación territorial.
Asesoría, asistencia técnica, capacitación  y apoyo a los 37 municipios del departamento, en la inclusión del componente ambiental en la formulación, implementación y seguimiento de los instrumentos de planificación territorial
Adelantar el proceso de concertación ambiental de los procesos de revisión de POT que sean presentados a la CAM por parte de los municipios
Seguimiento al componente ambiental en la implementación de los POT</t>
  </si>
  <si>
    <r>
      <t xml:space="preserve">PMAM Timaná
Contratar la consultoria que elabora la Formulación y/o ajuste de un PMAM conforme a la normatividad vigente para su ejecución
</t>
    </r>
    <r>
      <rPr>
        <b/>
        <sz val="11"/>
        <rFont val="Arial"/>
        <family val="2"/>
      </rPr>
      <t xml:space="preserve">2025: </t>
    </r>
    <r>
      <rPr>
        <sz val="11"/>
        <rFont val="Arial"/>
        <family val="2"/>
      </rPr>
      <t xml:space="preserve">Convenio CAM - IGAC, para la elaboración de cartografía escala 1:10.000
</t>
    </r>
    <r>
      <rPr>
        <b/>
        <sz val="11"/>
        <rFont val="Arial"/>
        <family val="2"/>
      </rPr>
      <t xml:space="preserve">2026: </t>
    </r>
    <r>
      <rPr>
        <sz val="11"/>
        <rFont val="Arial"/>
        <family val="2"/>
      </rPr>
      <t xml:space="preserve">Inicio formulación y/o actualización PMAM RIO TIMANÁ,  en esta vigencia se realizará la fase de aprestamiento,  fases de la consulta previa (Certificación sobre la presencia de comunidades étnicas que hace necesaria la consulta previa,  coordinación y preparación, preconsulta,  consulta previa) y el 40% de ejecución de la etapa de Diagnóstico. 
</t>
    </r>
    <r>
      <rPr>
        <b/>
        <sz val="11"/>
        <rFont val="Arial"/>
        <family val="2"/>
      </rPr>
      <t xml:space="preserve">2027: </t>
    </r>
    <r>
      <rPr>
        <sz val="11"/>
        <rFont val="Arial"/>
        <family val="2"/>
      </rPr>
      <t>Terminación 60% fase de diagnóstico, fase de Formulación, protocolización consulta previa y publicación para observaciones y aprobación del PMAM RIO TIMANÁ.</t>
    </r>
  </si>
  <si>
    <r>
      <t xml:space="preserve">Estudios formulados y/o actualizados de planes de manejo ambiental (PMA) de áreas protegidas.
</t>
    </r>
    <r>
      <rPr>
        <b/>
        <sz val="11"/>
        <rFont val="Arial"/>
        <family val="2"/>
      </rPr>
      <t xml:space="preserve">2024: </t>
    </r>
    <r>
      <rPr>
        <sz val="11"/>
        <rFont val="Arial"/>
        <family val="2"/>
      </rPr>
      <t xml:space="preserve"> Etapa de Protocolización de Acuerdos en el marco de la Consulta Previa del DRMI Cerro Banderas Ojo Blanco e, inclusión de información nueva en el componente estrategico del PMA; se presenta la propuesta para adopción del Consejo Directivo.
</t>
    </r>
    <r>
      <rPr>
        <b/>
        <sz val="11"/>
        <rFont val="Arial"/>
        <family val="2"/>
      </rPr>
      <t xml:space="preserve">2025: </t>
    </r>
    <r>
      <rPr>
        <sz val="11"/>
        <rFont val="Arial"/>
        <family val="2"/>
      </rPr>
      <t xml:space="preserve">Actualización de los PMA de los PNR Miraflores y Oseras; se desarrollan las etapas de aprestamiento, diagnóstico, ordenamiento y componente estratégico y, se presenta la propuesta para adopción del CD.
</t>
    </r>
    <r>
      <rPr>
        <b/>
        <sz val="11"/>
        <rFont val="Arial"/>
        <family val="2"/>
      </rPr>
      <t>2026:</t>
    </r>
    <r>
      <rPr>
        <sz val="11"/>
        <rFont val="Arial"/>
        <family val="2"/>
      </rPr>
      <t xml:space="preserve"> Actualización de los PMA del PNR El Dorado y del DRMI Serranía de Peñas Blancas; se desarrollan las etapas de aprestamiento, diagnóstico, ordenamiento y componente estratégico y, se presenta la propuesta para adopción del Consejo Directivo.
</t>
    </r>
    <r>
      <rPr>
        <b/>
        <sz val="11"/>
        <rFont val="Arial"/>
        <family val="2"/>
      </rPr>
      <t xml:space="preserve">2027: </t>
    </r>
    <r>
      <rPr>
        <sz val="11"/>
        <rFont val="Arial"/>
        <family val="2"/>
      </rPr>
      <t>Actualización de los PMA de los PNR Corredor Biológico GP y Siberia Ceibas; se desarrollan las etapas de aprestamiento, diagnóstico, ordenamiento y componente estratégico y, se presenta la propuesta para adopción del Consejo Directivo.</t>
    </r>
  </si>
  <si>
    <r>
      <rPr>
        <b/>
        <sz val="11"/>
        <rFont val="Arial"/>
        <family val="2"/>
      </rPr>
      <t xml:space="preserve">2025: </t>
    </r>
    <r>
      <rPr>
        <sz val="11"/>
        <rFont val="Arial"/>
        <family val="2"/>
      </rPr>
      <t xml:space="preserve">1. Revisión cartografica de parches de bosque seco tropical y definición del poligono. 2. Avance en el levantamiento de información social y biológica.
</t>
    </r>
    <r>
      <rPr>
        <b/>
        <sz val="11"/>
        <rFont val="Arial"/>
        <family val="2"/>
      </rPr>
      <t xml:space="preserve">2026: </t>
    </r>
    <r>
      <rPr>
        <sz val="11"/>
        <rFont val="Arial"/>
        <family val="2"/>
      </rPr>
      <t xml:space="preserve">Adopción de la delimitación del área de bosque seco presente en el departamento del Huila.
</t>
    </r>
    <r>
      <rPr>
        <b/>
        <sz val="11"/>
        <rFont val="Arial"/>
        <family val="2"/>
      </rPr>
      <t xml:space="preserve">2027: </t>
    </r>
    <r>
      <rPr>
        <sz val="11"/>
        <rFont val="Arial"/>
        <family val="2"/>
      </rPr>
      <t>Formulación de lineas de conservación del bosque seco tropical presente en el departamento del Huila.</t>
    </r>
  </si>
  <si>
    <t>Se realizará la recopilación de información, zonificación y formulación de lineamientos de manejo en cada uno de los Complejos de Páramos. Si el complejo de Páramo de Sumapaz-Cruz verde se encuentra delimitado se realizará ajuste de meta.</t>
  </si>
  <si>
    <t>Identificación cartográfica de los drenajes, delimitación del cauce, definición de los componentes hidrológicos, geomorfológicos y ecosistémicos y definción de la faja paralela y área aferente</t>
  </si>
  <si>
    <r>
      <t xml:space="preserve">Estudios de conocimiento y gestión del riesgo:
</t>
    </r>
    <r>
      <rPr>
        <b/>
        <sz val="11"/>
        <rFont val="Arial"/>
        <family val="2"/>
      </rPr>
      <t>2024:</t>
    </r>
    <r>
      <rPr>
        <sz val="11"/>
        <rFont val="Arial"/>
        <family val="2"/>
      </rPr>
      <t xml:space="preserve"> Inicio de los estudios de amenaza en: AVR Quebrada Yaguilga sentencia judicial, AVR de Algeciras, AVR de Agrado, Estudios básicos de Amenaza Timaná (7 centros poblados rurales), Timaná estudios básicos área rural.
</t>
    </r>
    <r>
      <rPr>
        <b/>
        <sz val="11"/>
        <rFont val="Arial"/>
        <family val="2"/>
      </rPr>
      <t xml:space="preserve">2025: </t>
    </r>
    <r>
      <rPr>
        <sz val="11"/>
        <rFont val="Arial"/>
        <family val="2"/>
      </rPr>
      <t xml:space="preserve">Terminacióin de los estudios de amenaza en: AVR Quebrada Yaguilga sentencia judicial, AVR de Algeciras, AVR de Agrado, Estudios básicos de Amenaza Timaná (7 centros poblados rurales), Timaná estudios básicos área rural.
</t>
    </r>
    <r>
      <rPr>
        <b/>
        <sz val="11"/>
        <rFont val="Arial"/>
        <family val="2"/>
      </rPr>
      <t xml:space="preserve">2026: </t>
    </r>
    <r>
      <rPr>
        <sz val="11"/>
        <rFont val="Arial"/>
        <family val="2"/>
      </rPr>
      <t xml:space="preserve">Inicio de los estudios de amenaza en: AVR de Palermo, AVR de Villa Vieja, AVR Baraya, AVR Santa María y AVR Tarqui 
</t>
    </r>
    <r>
      <rPr>
        <b/>
        <sz val="11"/>
        <rFont val="Arial"/>
        <family val="2"/>
      </rPr>
      <t xml:space="preserve">2027: </t>
    </r>
    <r>
      <rPr>
        <sz val="11"/>
        <rFont val="Arial"/>
        <family val="2"/>
      </rPr>
      <t xml:space="preserve">Terminación de los estudios de amenaza en: AVR de Palermo, AVR de Villa Vieja, AVR Baraya, AVR Santa María y AVR Tarqui 
</t>
    </r>
  </si>
  <si>
    <t>Prestar asesoría y asistencia técnica en temas de:
Cómo afrontar situaciones de desastre o emergencia por eventos de movimientos en masa, inundaciones y avenidas torrenciales como consecuencia de la primera temporada de lluvias del año; Riesgo en Incendios Forestales; Formulación, Implementación y seguimiento de los Planes de Contingencia municipales.</t>
  </si>
  <si>
    <t>Fortalecer la capacidad operativa y logistica de los cuerpos de bomberos voluntarios de los entes territoriales a través de capacitación en la identificación del origen de los incendios forestales de causas antrópicas y en  las necesidades para el conocimiento y la reducción del riesgo en el territorio.</t>
  </si>
  <si>
    <r>
      <rPr>
        <b/>
        <sz val="11"/>
        <rFont val="Arial"/>
        <family val="2"/>
      </rPr>
      <t>2026:</t>
    </r>
    <r>
      <rPr>
        <sz val="11"/>
        <rFont val="Arial"/>
        <family val="2"/>
      </rPr>
      <t xml:space="preserve"> Obra Timaná: 1 malla
</t>
    </r>
    <r>
      <rPr>
        <b/>
        <sz val="11"/>
        <rFont val="Arial"/>
        <family val="2"/>
      </rPr>
      <t>2027:</t>
    </r>
    <r>
      <rPr>
        <sz val="11"/>
        <rFont val="Arial"/>
        <family val="2"/>
      </rPr>
      <t xml:space="preserve"> Obra Timaná: 1 malla</t>
    </r>
  </si>
  <si>
    <r>
      <t xml:space="preserve">Asesoria a los municipios en incorporación del componente Cambio Climático en instrumentos de planificación (Plan de Desarrollo, Planes de Gestión del Riesgo de Desastres y POT, EOT)
Apoyar la conformación de 21  Consejos municipales de Cambio Climático (hay 16 con acto administrativo) y la operatividad de 16.
Reactivación y fortalecimiento de la Gobernanza del Consejo Departamental de Cambio Climático
Entregar documentos a los territorios con recomendaciones especificas para la ejecución de acciones de cambio climático, a partir del Plan Huila 2050 y las demás politicas normativas vigentes.
Acompañamiento del Clúster de innovación en Soluciones Basadas en Naturaleza (cobertura departamental).
</t>
    </r>
    <r>
      <rPr>
        <b/>
        <sz val="11"/>
        <rFont val="Arial"/>
        <family val="2"/>
      </rPr>
      <t xml:space="preserve">2024: </t>
    </r>
    <r>
      <rPr>
        <sz val="11"/>
        <rFont val="Arial"/>
        <family val="2"/>
      </rPr>
      <t xml:space="preserve">Entregar a los (37) municipios un documento de incorporación del Cambio Climático en los instrumentos de planificación, con la contribución de herramientas regionales y normativas.
Construir la red de enlaces municipales de Cambio Climático (37) municipios y sensibilizarlos frente a las competencias locales frente al tema y los procesos de articulación.
</t>
    </r>
    <r>
      <rPr>
        <b/>
        <sz val="11"/>
        <rFont val="Arial"/>
        <family val="2"/>
      </rPr>
      <t xml:space="preserve">2025: </t>
    </r>
    <r>
      <rPr>
        <sz val="11"/>
        <rFont val="Arial"/>
        <family val="2"/>
      </rPr>
      <t xml:space="preserve">Asesorar a los (37) municipios del departamento en la conformación y/o operatividad de los Consejos Municipales de Cambio Climático
Apoyar la operatividad del Clúster de Soluciones basadas en la Naturaleza
</t>
    </r>
    <r>
      <rPr>
        <b/>
        <sz val="11"/>
        <rFont val="Arial"/>
        <family val="2"/>
      </rPr>
      <t xml:space="preserve">2026: </t>
    </r>
    <r>
      <rPr>
        <sz val="11"/>
        <rFont val="Arial"/>
        <family val="2"/>
      </rPr>
      <t xml:space="preserve">Realizar dos eventos relacionados con Cambio Climático
</t>
    </r>
    <r>
      <rPr>
        <b/>
        <sz val="11"/>
        <rFont val="Arial"/>
        <family val="2"/>
      </rPr>
      <t xml:space="preserve">2027: </t>
    </r>
    <r>
      <rPr>
        <sz val="11"/>
        <rFont val="Arial"/>
        <family val="2"/>
      </rPr>
      <t>Asesorar a los 37 municipios en la implementación de acciones de Cambio Climático y la evaluación de ese componente en el Plan de Desarrollo Municipal.</t>
    </r>
  </si>
  <si>
    <t>Evaluación del Plan Huila 2050 y articulación con los instrumentos nacionales.
Actualización del Plan Huila 2050.
Socialización de la actualización del Plan Departamental de Cambio Climático e implementación de acciones.</t>
  </si>
  <si>
    <t>Sistemas ecoeficientes de combustión para uso doméstico (hornillas ecológicas o biodigestores) y para sistemas productivos (paneleros y/o ladrilleros).</t>
  </si>
  <si>
    <t xml:space="preserve">-Participación en redes locales, nacionales e internacionales de educación ambiental.
-Ampliar la recopilación de datos, análisis, sistematización e intercambio de información en la plataforma del observatorio de educación ambiental. </t>
  </si>
  <si>
    <t>A través de los medios de comunicación, redes sociales, incrementar la difusión y visibilización de las acciones de educación ambiental que adelanta la comunidad y la CAM.</t>
  </si>
  <si>
    <t>Corresponde a obras de mantenimiento de las sedes y/o construcción de una sede</t>
  </si>
  <si>
    <t>Optimizar los tiempos para atender oportunamente las 1,850 solicitudes que ingresan en promedio anual de licencias, permisos, concesiones, autorizaciones a través de la Ventanilla integral de Tramites Ambientales en línea - VITAL.
Personal para los procesos de evaluación de las solicitudes de licencias, permisos, concesiones y autorizaciones ambientales.
Promedio del tiempo de los trámites ambientales en la Corporación - Aprovechamiento forestal 15 días hábiles - Licencia Ambiental 90 días hábiles</t>
  </si>
  <si>
    <t>9300 permisos activos a 2023 
PCA 1962
Con personal de apoyo realizar las visitas de verificación al cumplimiento de los compromisos ambientales establecidos en las autorizaciones y/o resoluciones que otorgan el uso de los recursos naturales y que se encuentran activos al inicio de la vigencia.
Incluye verificación del uso y la implementación y/o ejecución de los PUEAA</t>
  </si>
  <si>
    <t>Total denuncias activas por resolver en la vigencia - promedio10.000  
Procesos sancionatorios son los que tienen auto de inicio</t>
  </si>
  <si>
    <t>Garantizar la vinculación de profesionales de disciplinas varias, asi como de la adquisición de logística, equipos y elementos de medición que nos permita cuantificar y precisar las afectaciones ambientales, adicionalmente del fortalecimiento técnico con capacitación  y formación para mejorar la experticia técnica del personal adscrito a la RECAM, la cual estara a cargo de la atención de denuncias, realización de operativos, puestos de control, entre otras, en articulación con la fuerza pública</t>
  </si>
  <si>
    <t>Seguimiento depósitos de madera - implementación libro de operaciones - mesas de deforestación.
A traves del acompañamiento a la implementación de los Planes de Acción de las Mesas Locales Contra la Deforestación - MLCD. Adicionalmente con las acciones establecidas en las agendas del Proyecto "Posicionamiento de la Gobernanza Forestal en Colombia" concertada con el MADS; asi como de la implementación de la estrategia de corresponsabilidad en la lucha contra los incendios forestales, se espera hacerle frente a los motores de deforestacion presentes en el Huila.</t>
  </si>
  <si>
    <t xml:space="preserve">Atención veterinaria de animales silvestres que ingresan a los hogares de paso y al CAV, suministro de alimentos y medicamentos veterinarios, servicios de laboratorio y examenes, apoyo a rescates de fauna en condicion vulnerable,  disposición final de fauna (lberaciones y reubicaciones), manejo adecuado de residuos peligrosos.                                                       </t>
  </si>
  <si>
    <t xml:space="preserve">Insumos con filtros y discos portafiltros, mantenimiento, calibración de equipos, compra de gases de calibración, actualización de software y capacitación.
En operación de la red de monitorea de la calidad de aire y mantenimiento de los equipos de medición. </t>
  </si>
  <si>
    <t xml:space="preserve">A traves de la vinculación de profesional de apoyo , se realizará la orientacion y asistencia tecnica a los entes territoriales para la formulación e implementación de los Planes de Silvicultura Urbana. </t>
  </si>
  <si>
    <t>Participación activa y permanente en los comites de salud ambiental por medio de un Profesional</t>
  </si>
  <si>
    <t>Se realizara la contratación de una consultoria que realice la identificación y determinación de los niveles de ruido ambiental, fuentes de emisión y estrategias para elaborar el plan de descontaminación por ruido.
La idea es ampliar las zonas donde no se han realizado los mapas de ruido con el fin de obtener mayor cobertura. 2026: Neiva  y Pitalito</t>
  </si>
  <si>
    <t>2024 NUEVO VALOR</t>
  </si>
  <si>
    <t xml:space="preserve">En los  POMCA Rios Loro, Rio Ceibas y otros afluentes directos al Magdalena, POMCA Guarapas, POMCA Suaza, POMCA Yaguará y en los PMAM Quebrada Garzón, PMAM Quebrada Barbillas y PMAM Quebrada Yaguilga, se realizarán las siguientes acciones:
Año 2024: Gobernanza incluyendo Consejo de Cuenca, ONG´s, J.A.C., J.A.A, Gremios, Solución de Conflictos Socioambientales, Orientación Manejo del Recurso Hídrico, Ubicación de Usuarios Potenciales para ejecución de Proyectos Ambientales.
Año 2025: Gobernanza incluyendo Consejo de Cuenca, ONG´s, J.A.C., J.A.A, Gremios, Solución de Conflictos Socioambientales, Orientación Manejo del Recurso Hídrico, Ubicación de Usuarios Potenciales para ejecución de Proyectos Ambientales.
Año 2026: Gobernanza incluyendo Consejo de Cuenca, ONG´s, J.A.C., J.A.A, Gremios, Solución de Conflictos Socioambientales, Orientación Manejo del Recurso Hídrico, Ubicación de Usuarios Potenciales para ejecución de Proyectos Ambientales.
Año 2027: Gobernanza incluyendo Consejo de Cuenca, ONG´s, J.A.C., J.A.A, Gremios, Solución de Conflictos Socioambientales, Orientación Manejo del Recurso Hídrico, Ubicación de Usuarios Potenciales para ejecución de Proyectos Ambientales.
Para el PMAM Rio Timaná, se realizará: 
Año 2025: Elaboración Cartografia Escala 1:10.000
Año 2026: Inicio Ejecución Aprestamiento, inicio de Consulta Previa y parte del Diagnóstico PMAM
Año 2027: Protocolización de Consulta Previa, Terminación Diagnóstico, y Formulación  del PMAM
</t>
  </si>
  <si>
    <t xml:space="preserve">Proyectos Municipios </t>
  </si>
  <si>
    <t>SEGUNDA ADICIÓN 
% AMBIENTAL</t>
  </si>
  <si>
    <t>Vallas</t>
  </si>
  <si>
    <t>SEGUNDA ADICIÓN 
%AMBIENTAL</t>
  </si>
  <si>
    <t>Proyecto aislamiento Municipios (Íquira y La Plata)</t>
  </si>
  <si>
    <t>SEGUNDA ADICIÓN 
TSE</t>
  </si>
  <si>
    <t>PPTO PRIMER ADICIÓN</t>
  </si>
  <si>
    <t>FUENTES PRIMER ADICIÓN</t>
  </si>
  <si>
    <t>FUENTES SEGUNDA ADICIÓN</t>
  </si>
  <si>
    <t>PPTO SEGUNDA ADICIÓN</t>
  </si>
  <si>
    <t>CDP</t>
  </si>
  <si>
    <t xml:space="preserve">REGISTRO PREUPUESTAL </t>
  </si>
  <si>
    <t>SALDO TOTAL POR LIBERAR</t>
  </si>
  <si>
    <t>SALDO POR FUENTE PARA LIBERAR</t>
  </si>
  <si>
    <t>APROPIADO</t>
  </si>
  <si>
    <t>ADICIÓN % AMBIENTAL</t>
  </si>
  <si>
    <t>% AMB INICIAL</t>
  </si>
  <si>
    <t>PPTO INCIAL</t>
  </si>
  <si>
    <t>PPTO ADICIÓN</t>
  </si>
  <si>
    <t>FUENTE PPTO INICIAL</t>
  </si>
  <si>
    <t>PPTO INICIAL</t>
  </si>
  <si>
    <t>Saldo</t>
  </si>
  <si>
    <t xml:space="preserve">INDICADOR ANTERIOR </t>
  </si>
  <si>
    <t>ACTIVIDAD</t>
  </si>
  <si>
    <t>Apoyo técnico para la Consolidación y fortalecimiento del Modelo Integrado de Planeación y Gestión - MIPG</t>
  </si>
  <si>
    <t>Acciones para el sostenimiento de la acreditación en las normas internacionales ISO 9001:2015 y 14001:2015</t>
  </si>
  <si>
    <t>Ejecución de las acciones contenidas en la política de servicio al ciudadano</t>
  </si>
  <si>
    <t>Prestación del servicio de soporte de TIC´s mediante outsourcing</t>
  </si>
  <si>
    <t>Fortalecimiento de la infraestructura tecnológica de la Corporación</t>
  </si>
  <si>
    <t>Apoyo técnico para la actualización e implementación del programa de gestión documental</t>
  </si>
  <si>
    <t>Estudios y diseños de detalle para la construcción y/o adecuación de las Sedes territoriales</t>
  </si>
  <si>
    <t>Adecuaciones locativas sede central</t>
  </si>
  <si>
    <t>Sedes territoriales Construidas y/o adecuadas</t>
  </si>
  <si>
    <t xml:space="preserve">Personal para seguimiento a autorizaciones, permisos y licencias ambientales. </t>
  </si>
  <si>
    <t>Personal de apoyo en licencias y permisos ambientales resueltos</t>
  </si>
  <si>
    <t>Personal de apoyo en licencias y permisos ambientales resueltos - Mensajeria</t>
  </si>
  <si>
    <t>ESTRUCTURA 2020-2023</t>
  </si>
  <si>
    <t xml:space="preserve">Apoyo técnico a los sectores productivos </t>
  </si>
  <si>
    <t>Adquisición de material vegetal para las alianzas productivas y los proyectos de reconversión.</t>
  </si>
  <si>
    <t>Ejecución de proyectos piloto para la reconversión en sectores productivos.</t>
  </si>
  <si>
    <t>Construcción de sistemas de descontaminación de fuentes hídricas.</t>
  </si>
  <si>
    <t>Implementación y/o fortalecimiento de apiarios.</t>
  </si>
  <si>
    <t xml:space="preserve">Apoyo logístico para la consolidación de las actividades contenidas en el proyecto desarrollo sectorial sostenible </t>
  </si>
  <si>
    <t>Apoyo técnico a los empresarios vinculados al proyecto de negocios verdes</t>
  </si>
  <si>
    <t>Participación de integrantes del proyecto en ferias y eventos comerciales</t>
  </si>
  <si>
    <t>Apoyo investigación productos de la biodiversidad, potenciales para Negocios Verdes</t>
  </si>
  <si>
    <t>Proyecto SGR Polinización con Meliponas (recursos propios)</t>
  </si>
  <si>
    <t>Apoyo en la gestion e inscripción de RNSC</t>
  </si>
  <si>
    <t xml:space="preserve">Apoyo a RNSC priorizadas </t>
  </si>
  <si>
    <t xml:space="preserve">Implementación actividades en áreas de ecosistemas compartidos </t>
  </si>
  <si>
    <t>Elaboración de estudios de caracterización biológica participativa en areas estrategicas</t>
  </si>
  <si>
    <t>Estudios formulados y/o actualizados de planes de manejo ambiental (PMA) de áreas protegidas.</t>
  </si>
  <si>
    <t>Implementación de medidas de prevención, control y manejo de especies  invasoras en ejecución</t>
  </si>
  <si>
    <t>Personal de apoyo en procesos sancionatorios resueltos</t>
  </si>
  <si>
    <t>Personal de apoyo en Sancionatorios resueltos - Mensajeria</t>
  </si>
  <si>
    <t>Seguimiento, control y asistencia tecnica a Departamentos de Gestion Ambiental - DGA</t>
  </si>
  <si>
    <t>Asesoría, Asistencia Técnica y capacitación Ambiental para la administración, promoción y gestión de las Áreas Protegidas Registradas</t>
  </si>
  <si>
    <t>Asesoría, Asistencia Técnica y capacitación Ambiental para la administración, promoción y gestión de las Áreas Protegidas</t>
  </si>
  <si>
    <t>Implementación de proyectos y actividades de ejecución de los PMA de las áreas protegidas</t>
  </si>
  <si>
    <t>Asesoría, Asistencia Técnica y capacitación Ambiental para la adminsitración, promoción y gestión en los ecosistemas para restauración, rehabilitación y reforestación</t>
  </si>
  <si>
    <t>Implementación de proyectos y actividades en los ecosistemas para restauración, rehabilitación y reforestación y/o ejecución de PMA adoptados de ecosistemas estrategicos de humedales</t>
  </si>
  <si>
    <t>Asesoría y Asistencia Técnica para el manejo de especies amenazadas</t>
  </si>
  <si>
    <t>Implementación de proyectos y actividades para el manejo de especies amenazadas</t>
  </si>
  <si>
    <t xml:space="preserve">Implementar acciones en el marco del control a la extracción ilegal de los recursos naturales - Red de Control Ambiental - RECAM </t>
  </si>
  <si>
    <t>Logística para el funcionamiento de la RECAM  - Combustible</t>
  </si>
  <si>
    <t>Implementar acciones en el marco del pacto por la madera legal y la consolidación del proyecto de Gobernanza Forestal en Colombia</t>
  </si>
  <si>
    <t>Realización de campañas de educación y sensibilización para la promoción de la legalidad forestal y el uso sostenible de los bosques</t>
  </si>
  <si>
    <t>Personal para la atención, manejo y valoración medica y biológica de la fauna silvestre que ingresa al CAV y hogares de paso y su disposición final.</t>
  </si>
  <si>
    <t xml:space="preserve">Garantizar la manutención de la fauna silvestre  bajo responsabilidad de la CAM en el CAV y Hogares de Paso. </t>
  </si>
  <si>
    <t>Mantenimiento y adecuacion de Hogares de paso y Centro de Atención y Valoración de Fauna</t>
  </si>
  <si>
    <t>Ha. con reforestación, producción de material forestal, asistencia técnica, interventoría y supervisión; incluye apoyo logistico (Transporte, almuerzos y refrigerios)</t>
  </si>
  <si>
    <t>Mantenimiento  de reforestación protectora y/o protectora - productora, asistencia técnica, interventoría y supervisión. Incluye Logistica (Transporte, Almuerzos y refrigerios)</t>
  </si>
  <si>
    <t>Aislamiento de áreas para la protección-conservación-recuperación, asistencia técnica, interventoría, logistica (Transporte, almuerzos y refrigerios) y apoyo a la supervisión en cuencas abastecedoras</t>
  </si>
  <si>
    <t>Nueva</t>
  </si>
  <si>
    <t>ML con mantenimiento del aislamiento de áreas para la protección-conservación-recuperación de áreas revegetalizadas naturalemente para la protección de cuencas abstecedoras,  asistencia técnica, interventoría, logistica (Transporte, almuerzos y refrigerios) y apoyo a la supervisión en cuencas abastecedoras</t>
  </si>
  <si>
    <t>Avance de ejecución de los POMCAS, PMA, PMM de los Rios Las Ceibas, Guarapas, Suaza, y Quebradas Garzón y Barbillas, conforme al cronograma de implementación.</t>
  </si>
  <si>
    <t>Actividad Transferencia FIA- PDA</t>
  </si>
  <si>
    <t>PROYECTO 320301</t>
  </si>
  <si>
    <t>Realizar la reglamentacion de Cuerpos de agua</t>
  </si>
  <si>
    <t xml:space="preserve">Formular y adoptar los PORH </t>
  </si>
  <si>
    <t>Realizar campañas de monitoreo del recurso hídrico en el río Magdalena y sus principales afluentes</t>
  </si>
  <si>
    <t>Realizar Muestreos y/o contramuestreos  de  calidad de aguas</t>
  </si>
  <si>
    <t xml:space="preserve">Realizar seguimiento y/o Monitoreo al Recurso Hídrico  de aguas superficiales y subterraneas. </t>
  </si>
  <si>
    <t>Realizar seguimiento y/o Monitoreo al Recurso Hídrico  de aguas superficiales y subterraneas.</t>
  </si>
  <si>
    <t xml:space="preserve">Consolidacion, revision, cargue y validacion de informacion en el SIAC </t>
  </si>
  <si>
    <t xml:space="preserve">Consolidacion, cargue y validacion de informacion en los aplicativos en linea. </t>
  </si>
  <si>
    <t>Porcentaje de municipios asesorados o asistidos en la inclusión del componente ambiental en los procesos de planificación y ordenamiento territorial, con énfasis en la incorporación de las determinantes ambientales para la revisión y ajuste de los POT (IM 24</t>
  </si>
  <si>
    <t>Apoyo técnico a los municipios a través de un equipo de Profesionales POT</t>
  </si>
  <si>
    <t>Estudios de Amenaza, Vulnerabilidad y Riesgo  (AVR)   en la vigencia del plan de acción</t>
  </si>
  <si>
    <t>Asesoría y asistencia técnica especializada a entes territoriales y/o consejos territoriales de gestión del riesgo de desastres, en identificación, caracterización y análisis de escenarios de riesgo por amenaza natural, actualización e implementación de planes de gestión de riesgo de desastres municipales, incluido incendios por cobertura vegetal</t>
  </si>
  <si>
    <t xml:space="preserve">Comunicación del riesgo de desastres a través de eventos sobre Gestión del Riesgo de Desastres </t>
  </si>
  <si>
    <t>CONOCIMIENTO DEL RIESGO DE DESASTRES GESTIONADO / REDUCCIÓN DEL RIESGO DE DESASTRES GESTIONADO</t>
  </si>
  <si>
    <t>Apoyo a Comunidades Indígenas - Convenios CRIHU - Consultas Previas.</t>
  </si>
  <si>
    <t>Apoyo a los entes territoriales con asesoría en Cambio Climatico</t>
  </si>
  <si>
    <t>Construcción de hornillas ecoeficientes en sectores productivos y/o para uso doméstico</t>
  </si>
  <si>
    <t>Apoyo técnico al componente ambiental</t>
  </si>
  <si>
    <t>1.Apoyo técnico para la implementación del proyecto</t>
  </si>
  <si>
    <t>2.Actividades de educación ambiental</t>
  </si>
  <si>
    <t>4.Estrategia de comunicación y divulgación</t>
  </si>
  <si>
    <t>3.Senderos interpretativos para la educación ambiental Construidos y/o dotados y/o mantenidos e implementados</t>
  </si>
  <si>
    <t>5. Proyecto SGR- Implementación del centro de ciencia SENDICAM.</t>
  </si>
  <si>
    <t>6. Proyecto SGR- Municipio de La Plata - Educación Ambiental Huila Biodiverso</t>
  </si>
  <si>
    <t>Gastos de Transporte</t>
  </si>
  <si>
    <t xml:space="preserve">Gastos de Transporte </t>
  </si>
  <si>
    <t>Gastos de refrigerios y almuerzos</t>
  </si>
  <si>
    <t xml:space="preserve">Gastos de transporte </t>
  </si>
  <si>
    <t>ARL pasantes</t>
  </si>
  <si>
    <t xml:space="preserve">Daldo disponible para trasladas a P14 </t>
  </si>
  <si>
    <t xml:space="preserve">Profesional de asistencia técnica apicultura  </t>
  </si>
  <si>
    <t>Profesional Apoyo Productivo Café 2</t>
  </si>
  <si>
    <t>Profesional Apoyo Productivo Gandería (Bovina, Caprina, Ovina y Sps Menores) (Norte - Centro)</t>
  </si>
  <si>
    <t>Profesional Apoyo Productivo Gandería (Bovina, Caprina, Ovina y Sps Menores) (Sur - Occidente)</t>
  </si>
  <si>
    <t>Apoyo a Sistemas Pilotos de Reconverión Productiva</t>
  </si>
  <si>
    <t>Compra de Equipos</t>
  </si>
  <si>
    <t>Apoyo verificaciòn usuarios hornillas</t>
  </si>
  <si>
    <t>Interventorìa hornillas</t>
  </si>
  <si>
    <t>SUMA VERDE</t>
  </si>
  <si>
    <t>SUMA DE LO VERDE RP</t>
  </si>
  <si>
    <t>SUMA COLOR VERDE RP</t>
  </si>
  <si>
    <t>SUMA VERDE RP Y CDP</t>
  </si>
  <si>
    <t>SUMA RP</t>
  </si>
  <si>
    <t>VALOR COLOR VERDE RP</t>
  </si>
  <si>
    <t>%AMBIENTAL</t>
  </si>
  <si>
    <t>PROYECTO 320101: SECTORES PRODUCTIVOS SOSTENIBLE</t>
  </si>
  <si>
    <t>PROYECTO 320102: FORTALECIMIENTO DE LOS NEGOCIOS VERDES Y EL CONSUMO SOSTENIBLE</t>
  </si>
  <si>
    <t>PROYECTO 320201: CONSERVACIÓN Y PROTECCIÓN DE ÁREAS PROTEGIDAS Y ECOSISTEMAS ESTRATÉGICOS</t>
  </si>
  <si>
    <t>PROYECTO 320202: CONOCIMIENTO Y MONITOREO DE LAS ESPECIES DE FLORA Y FAUNA SILVESTRE</t>
  </si>
  <si>
    <t>PROYECTO 320301: ADMINISTRACIÓN DEL RECURSO HÍDRICO</t>
  </si>
  <si>
    <t xml:space="preserve">PROYECTO 320302: PROTECCIÓN Y CONSERVACIÓN DE CUENCAS </t>
  </si>
  <si>
    <t>PROYECTO 320303: DESCONTAMINACIÓN DE FUENTES HÍDRICAS</t>
  </si>
  <si>
    <t>PROYECTO 320303:: DESCONTAMINACIÓN DE FUENTES HÍDRICAS</t>
  </si>
  <si>
    <t>PROYECTO 320401: GESTIÓN DEL CONOCIMIENTO</t>
  </si>
  <si>
    <t>PROYECTO 320502: CONOCIMIENTO Y GESTIÓN DEL RIESGO DE DESASTRES NATURALES</t>
  </si>
  <si>
    <t>PROYECTO 320503: ORDENAMIENTO Y GESTIÓN AMBIENTAL CON PUEBLOS ORIGINARIOS</t>
  </si>
  <si>
    <t>PROYECTO 320601: HUILA, TERRITRIO CLIMÁTICAMENTE INTELIGENTE</t>
  </si>
  <si>
    <t>PROYECTO 320801: EDUCACIÓN AMBIENTAL</t>
  </si>
  <si>
    <t>PROYECTO 329901: FORTALECIMIENTO INSTITUCIONAL</t>
  </si>
  <si>
    <t>PROYECTO 329901:FORTALECIMIENTO INSTITUCIONAL</t>
  </si>
  <si>
    <t>PROYECTO329902: CONTROL A LA CORRECTA UTILIZACIÓN DE LOS RECURSOS NATURALES RENOVABLES</t>
  </si>
  <si>
    <t>PROYECTO 329902: CONTROL A LA CORRECTA UTILIZACIÓN DE LOS RECURSOS NATURALES RENOVABLES</t>
  </si>
  <si>
    <t>TOTAL VERDE</t>
  </si>
  <si>
    <t>suma verde</t>
  </si>
  <si>
    <t>PROYECTO PAC 2020-2023</t>
  </si>
  <si>
    <t>PROYECTO 320302: PROTECCIÓN Y CONSERVACIÓN DE CUENCAS ABASTECEDORAS</t>
  </si>
  <si>
    <t>PROYECTO 320501: PLANIFICACIÓN TERRITORIAL Y AMBIENTAL PARA UN DESARROLLO SOSTENIBLE</t>
  </si>
  <si>
    <t xml:space="preserve">ACTIVIDADES QUE NO TIENEN META PARA ESTE AÑO </t>
  </si>
  <si>
    <t>Redes y estaciones de monitoreo del recurso hídrico en operación</t>
  </si>
  <si>
    <t>NO TIENE META PERO TIENE PLATA$7.028.000</t>
  </si>
  <si>
    <t>TIENE META NO TIENE PLATA</t>
  </si>
  <si>
    <t>CREO QUE ES POR ALGO DE VIGENCIAS</t>
  </si>
  <si>
    <t>Mantenimiento al aislamiento de las áreas revegetalizadas para la recuperación de la cobertura protectora del recurso hidrico.</t>
  </si>
  <si>
    <t>Avance en el acotamiento de rondas hídricas de cuerpos de aguas priorizados</t>
  </si>
  <si>
    <t>PROYECTO 320201. CONSERVACIÓN Y PROTECCIÓN DE ÁREAS PROTEGIDAS Y ECOSISTEMAS ESTRATÉGICOS</t>
  </si>
  <si>
    <t>Pueblos originarios apoyados en temas de competencia de la Corporación</t>
  </si>
  <si>
    <t>Estrategias fortalecidas que disminuyan el tráfico y uso ilegal de la diversidad biológica y otros recursos naturales</t>
  </si>
  <si>
    <t>Redes y estaciones de monitoreo de aire en operación</t>
  </si>
  <si>
    <t>Seguimiento, control y asistencia tecnica a generadores y gestores de RCD</t>
  </si>
  <si>
    <r>
      <t xml:space="preserve">Abogado(a) de apoyo jurídico </t>
    </r>
    <r>
      <rPr>
        <sz val="10"/>
        <color rgb="FFFF0000"/>
        <rFont val="Arial"/>
        <family val="2"/>
      </rPr>
      <t>DTN</t>
    </r>
  </si>
  <si>
    <t>NÓMINA</t>
  </si>
  <si>
    <t>Porcentaje de sectores con acompañamiento para la reconversion hacia sistemas sostenibles de producción (IMG)</t>
  </si>
  <si>
    <t>Implementación del programa nacional de negocios verdes por la autoridad ambiental (IMG)</t>
  </si>
  <si>
    <t>Porcentaje de áreas protegidas con planes de manejo en ejecución (IMG)</t>
  </si>
  <si>
    <t>Porcentaje de especies amenazadas con medidas de conservación y manejo en ejecución (IMG)</t>
  </si>
  <si>
    <t>Porcentaje de especies invasoras con medidas de prevención, control y manejo en ejecución (IMG)</t>
  </si>
  <si>
    <t>Porcentaje de cuerpos de agua con planes de ordenamiento del recurso hídrico (PORH) adoptados (IMG)</t>
  </si>
  <si>
    <t>Porcentaje de cuerpos de agua con reglamentación del uso de las aguas (IMG)</t>
  </si>
  <si>
    <t>Porcentaje de  Planes de Ordenación y Manejo de Cuencas (POMCAS), Planes de Manejo de Acuiferos (PMA), y Planes de Manejo de Microcuencas (PMM) en ejecución (IMG)</t>
  </si>
  <si>
    <t>Porcentaje de suelos degradados en recuperación o rehabilitación  (IMG)</t>
  </si>
  <si>
    <t>Porcentaje de áreas de ecosistemas en restauración, rehabilitación y reforestación  (IMG)</t>
  </si>
  <si>
    <t>Porcentaje de suelos degradados en recuperación o rehabilitación (IMG)</t>
  </si>
  <si>
    <t>Porcentaje de áreas de ecosistemas en restauración, rehabilitación y reforestación (IMG)</t>
  </si>
  <si>
    <t>Porcentaje de actualización y reporte de la información en el SIAC (IMG)</t>
  </si>
  <si>
    <t>Porcentaje de municipios asesorados o asistidos en la inclusión del componente ambiental en los procesos de planificación y ordenamiento territorial, con énfasis en la incorporación de las determinantes ambientales para la revisión y ajuste de los POT (IMG)</t>
  </si>
  <si>
    <t>Porcentaje de entes territoriales asesorados en la incorporación, planificación y ejecución de acciones relacionadas con cambio climático en el marco de los instrumentos de planificación territorial (IMG)</t>
  </si>
  <si>
    <t>Ejecución de acciones en educación ambiental (IMG)</t>
  </si>
  <si>
    <t>Tiempo promedio de tramite para la resolucion de autorizaciones ambientales otorgadas por la corporación (IMG)</t>
  </si>
  <si>
    <t>Porcentaje de autorizaciones ambientales con seguimiento (IMG)</t>
  </si>
  <si>
    <t>Porcentaje de procesos sancionatorios resueltos (IMG)</t>
  </si>
  <si>
    <t>Porcentaje de ejecución de acciones en Gestión Ambiental Urbana (IMG)</t>
  </si>
  <si>
    <t>Porcentaje de Planes de Gestión Integral de Residuos Sólidos (PGIRS) con seguimiento a metas de aprovechamiento (IMG)</t>
  </si>
  <si>
    <t>Porcentaje de Planes de Saneamiento y Manejo de Vertimientos (PSMV) con seguimiento (IMG)</t>
  </si>
  <si>
    <t>3202008</t>
  </si>
  <si>
    <t>3202018</t>
  </si>
  <si>
    <t>3202040</t>
  </si>
  <si>
    <t>3203002</t>
  </si>
  <si>
    <t>3203039</t>
  </si>
  <si>
    <t>3203044</t>
  </si>
  <si>
    <t>3203050</t>
  </si>
  <si>
    <t>3203056</t>
  </si>
  <si>
    <t>3205001</t>
  </si>
  <si>
    <t>3299069</t>
  </si>
  <si>
    <t>3299054</t>
  </si>
  <si>
    <t>301</t>
  </si>
  <si>
    <t>302</t>
  </si>
  <si>
    <t>305</t>
  </si>
  <si>
    <t>303</t>
  </si>
  <si>
    <t>304</t>
  </si>
  <si>
    <t>306</t>
  </si>
  <si>
    <t>307</t>
  </si>
  <si>
    <t>308</t>
  </si>
  <si>
    <t>309</t>
  </si>
  <si>
    <t>310</t>
  </si>
  <si>
    <t>311</t>
  </si>
  <si>
    <t>312</t>
  </si>
  <si>
    <t>313</t>
  </si>
  <si>
    <t>314</t>
  </si>
  <si>
    <t>315</t>
  </si>
  <si>
    <t>316</t>
  </si>
  <si>
    <t>317</t>
  </si>
  <si>
    <t>318</t>
  </si>
  <si>
    <t>319</t>
  </si>
  <si>
    <t>320</t>
  </si>
  <si>
    <t>321</t>
  </si>
  <si>
    <t>322</t>
  </si>
  <si>
    <t>323</t>
  </si>
  <si>
    <t>324</t>
  </si>
  <si>
    <t>326</t>
  </si>
  <si>
    <t>327</t>
  </si>
  <si>
    <t>214</t>
  </si>
  <si>
    <t>328</t>
  </si>
  <si>
    <t>215</t>
  </si>
  <si>
    <t>216</t>
  </si>
  <si>
    <t>217</t>
  </si>
  <si>
    <t>329</t>
  </si>
  <si>
    <t>330</t>
  </si>
  <si>
    <t>331</t>
  </si>
  <si>
    <t>332</t>
  </si>
  <si>
    <t>333</t>
  </si>
  <si>
    <t>334</t>
  </si>
  <si>
    <t>335</t>
  </si>
  <si>
    <t>338</t>
  </si>
  <si>
    <t>336</t>
  </si>
  <si>
    <t>337</t>
  </si>
  <si>
    <t>339</t>
  </si>
  <si>
    <t>340</t>
  </si>
  <si>
    <t>341</t>
  </si>
  <si>
    <t>342</t>
  </si>
  <si>
    <t>343</t>
  </si>
  <si>
    <t>344</t>
  </si>
  <si>
    <t>345</t>
  </si>
  <si>
    <t>346</t>
  </si>
  <si>
    <t>347</t>
  </si>
  <si>
    <t>348</t>
  </si>
  <si>
    <t>349</t>
  </si>
  <si>
    <t>254</t>
  </si>
  <si>
    <t>255</t>
  </si>
  <si>
    <t>256</t>
  </si>
  <si>
    <t>257</t>
  </si>
  <si>
    <t>258</t>
  </si>
  <si>
    <t>259</t>
  </si>
  <si>
    <t>260</t>
  </si>
  <si>
    <t>261</t>
  </si>
  <si>
    <t>262</t>
  </si>
  <si>
    <t>263</t>
  </si>
  <si>
    <t>264</t>
  </si>
  <si>
    <t>265</t>
  </si>
  <si>
    <t>266</t>
  </si>
  <si>
    <t>267</t>
  </si>
  <si>
    <t>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</si>
</sst>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 #,##0.00_);_(* \(#,##0.00\);_(* &quot;-&quot;??_);_(@_)"/>
    <numFmt numFmtId="166" formatCode="&quot;$&quot;\ #,##0"/>
    <numFmt numFmtId="167" formatCode="_-* #,##0_-;\-* #,##0_-;_-* &quot;-&quot;??_-;_-@_-"/>
    <numFmt numFmtId="168" formatCode="_(* #,##0_);_(* \(#,##0\);_(* &quot;-&quot;??_);_(@_)"/>
    <numFmt numFmtId="169" formatCode="0.0%"/>
    <numFmt numFmtId="170" formatCode="_-&quot;$&quot;\ * #,##0_-;\-&quot;$&quot;\ * #,##0_-;_-&quot;$&quot;\ * &quot;-&quot;??_-;_-@_-"/>
    <numFmt numFmtId="171" formatCode="&quot;$&quot;\ #,##0.00"/>
    <numFmt numFmtId="172" formatCode="_-* #,##0.0_-;\-* #,##0.0_-;_-* &quot;-&quot;??_-;_-@_-"/>
    <numFmt numFmtId="173" formatCode="_-&quot;$&quot;\ * #,##0_-;\-&quot;$&quot;\ * #,##0_-;_-&quot;$&quot;\ * &quot;-&quot;_-;_-@"/>
    <numFmt numFmtId="174" formatCode="_(* #,##0.000_);_(* \(#,##0.000\);_(* &quot;-&quot;??_);_(@_)"/>
    <numFmt numFmtId="175" formatCode="0.0"/>
  </numFmts>
  <fonts count="57">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9"/>
      <color indexed="81"/>
      <name val="Tahoma"/>
      <family val="2"/>
    </font>
    <font>
      <sz val="9"/>
      <color indexed="81"/>
      <name val="Tahoma"/>
      <family val="2"/>
    </font>
    <font>
      <sz val="10"/>
      <color rgb="FF000000"/>
      <name val="Arial"/>
      <family val="2"/>
    </font>
    <font>
      <b/>
      <sz val="11"/>
      <color theme="1"/>
      <name val="Arial"/>
      <family val="2"/>
    </font>
    <font>
      <b/>
      <sz val="10"/>
      <color rgb="FF000000"/>
      <name val="Arial"/>
      <family val="2"/>
    </font>
    <font>
      <sz val="11"/>
      <color rgb="FF000000"/>
      <name val="Arial"/>
      <family val="2"/>
    </font>
    <font>
      <b/>
      <sz val="10"/>
      <color theme="0"/>
      <name val="Arial"/>
      <family val="2"/>
    </font>
    <font>
      <b/>
      <sz val="11"/>
      <color theme="0"/>
      <name val="Arial"/>
      <family val="2"/>
    </font>
    <font>
      <b/>
      <sz val="12"/>
      <color theme="0"/>
      <name val="Arial"/>
      <family val="2"/>
    </font>
    <font>
      <b/>
      <sz val="11"/>
      <color rgb="FF000000"/>
      <name val="Arial"/>
      <family val="2"/>
    </font>
    <font>
      <sz val="10"/>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0"/>
      <name val="Arial"/>
      <family val="2"/>
    </font>
    <font>
      <sz val="10"/>
      <color theme="1"/>
      <name val="Arial "/>
    </font>
    <font>
      <sz val="10"/>
      <name val="Arial "/>
    </font>
    <font>
      <sz val="9"/>
      <color theme="1"/>
      <name val="Arial"/>
      <family val="2"/>
    </font>
    <font>
      <sz val="9"/>
      <name val="Arial"/>
      <family val="2"/>
    </font>
    <font>
      <sz val="12"/>
      <color theme="1"/>
      <name val="Calibri"/>
      <family val="2"/>
      <scheme val="minor"/>
    </font>
    <font>
      <b/>
      <sz val="12"/>
      <color theme="1"/>
      <name val="Arial"/>
      <family val="2"/>
    </font>
    <font>
      <sz val="11"/>
      <name val="Arial"/>
      <family val="2"/>
    </font>
    <font>
      <sz val="9"/>
      <color theme="1"/>
      <name val="Calibri"/>
      <family val="2"/>
      <scheme val="minor"/>
    </font>
    <font>
      <b/>
      <sz val="9"/>
      <color theme="1"/>
      <name val="Arial"/>
      <family val="2"/>
    </font>
    <font>
      <b/>
      <sz val="10"/>
      <color theme="1"/>
      <name val="Calibri"/>
      <family val="2"/>
      <scheme val="minor"/>
    </font>
    <font>
      <b/>
      <sz val="16"/>
      <color theme="1"/>
      <name val="Arial"/>
      <family val="2"/>
    </font>
    <font>
      <sz val="12"/>
      <color rgb="FF000000"/>
      <name val="Arial"/>
      <family val="2"/>
    </font>
    <font>
      <sz val="11"/>
      <name val="Calibri"/>
      <family val="2"/>
      <scheme val="minor"/>
    </font>
    <font>
      <sz val="12"/>
      <name val="Arial"/>
      <family val="2"/>
    </font>
    <font>
      <sz val="10"/>
      <color rgb="FFFF0000"/>
      <name val="Arial"/>
      <family val="2"/>
    </font>
    <font>
      <b/>
      <sz val="10"/>
      <color rgb="FFFF0000"/>
      <name val="Arial"/>
      <family val="2"/>
    </font>
    <font>
      <sz val="8"/>
      <name val="Calibri"/>
      <family val="2"/>
      <scheme val="minor"/>
    </font>
    <font>
      <b/>
      <sz val="9"/>
      <name val="Arial"/>
      <family val="2"/>
    </font>
    <font>
      <sz val="8"/>
      <color theme="1"/>
      <name val="Arial Narrow"/>
      <family val="2"/>
    </font>
    <font>
      <sz val="11"/>
      <color indexed="81"/>
      <name val="Tahoma"/>
      <family val="2"/>
    </font>
    <font>
      <sz val="12"/>
      <color theme="1"/>
      <name val="Arial"/>
      <family val="2"/>
    </font>
    <font>
      <sz val="11"/>
      <color rgb="FF000000"/>
      <name val="Calibri"/>
      <family val="2"/>
      <scheme val="minor"/>
    </font>
    <font>
      <b/>
      <sz val="11"/>
      <name val="Calibri"/>
      <family val="2"/>
      <scheme val="minor"/>
    </font>
    <font>
      <sz val="11"/>
      <color rgb="FFFF0000"/>
      <name val="Calibri"/>
      <family val="2"/>
      <scheme val="minor"/>
    </font>
    <font>
      <b/>
      <sz val="11"/>
      <name val="Arial"/>
      <family val="2"/>
    </font>
    <font>
      <sz val="11"/>
      <color rgb="FFFF0000"/>
      <name val="Arial"/>
      <family val="2"/>
    </font>
    <font>
      <strike/>
      <sz val="11"/>
      <color rgb="FFFF0000"/>
      <name val="Arial"/>
      <family val="2"/>
    </font>
    <font>
      <strike/>
      <sz val="11"/>
      <name val="Arial"/>
      <family val="2"/>
    </font>
    <font>
      <b/>
      <sz val="11"/>
      <color indexed="81"/>
      <name val="Tahoma"/>
      <family val="2"/>
    </font>
    <font>
      <b/>
      <sz val="11"/>
      <color rgb="FFFF0000"/>
      <name val="Arial"/>
      <family val="2"/>
    </font>
    <font>
      <b/>
      <sz val="10"/>
      <color indexed="81"/>
      <name val="Tahoma"/>
      <family val="2"/>
    </font>
    <font>
      <sz val="10"/>
      <color indexed="81"/>
      <name val="Tahoma"/>
      <family val="2"/>
    </font>
    <font>
      <sz val="10"/>
      <color rgb="FFFF66CC"/>
      <name val="Arial"/>
      <family val="2"/>
    </font>
    <font>
      <sz val="11"/>
      <color rgb="FFFF66CC"/>
      <name val="Calibri"/>
      <family val="2"/>
      <scheme val="minor"/>
    </font>
    <font>
      <sz val="9"/>
      <color rgb="FFFF66CC"/>
      <name val="Arial"/>
      <family val="2"/>
    </font>
    <font>
      <b/>
      <sz val="10"/>
      <color rgb="FFFF66CC"/>
      <name val="Arial"/>
      <family val="2"/>
    </font>
    <font>
      <sz val="11"/>
      <color theme="1"/>
      <name val="Arial"/>
      <family val="2"/>
    </font>
  </fonts>
  <fills count="4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rgb="FF000000"/>
      </patternFill>
    </fill>
    <fill>
      <patternFill patternType="solid">
        <fgColor theme="4" tint="0.39997558519241921"/>
        <bgColor indexed="64"/>
      </patternFill>
    </fill>
    <fill>
      <patternFill patternType="solid">
        <fgColor rgb="FF7030A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D966"/>
        <bgColor rgb="FF000000"/>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rgb="FFFEFAF8"/>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59999389629810485"/>
        <bgColor rgb="FF000000"/>
      </patternFill>
    </fill>
    <fill>
      <patternFill patternType="solid">
        <fgColor theme="6" tint="0.59999389629810485"/>
        <bgColor indexed="64"/>
      </patternFill>
    </fill>
    <fill>
      <patternFill patternType="solid">
        <fgColor rgb="FFFFFFCC"/>
        <bgColor rgb="FFFFFFCC"/>
      </patternFill>
    </fill>
    <fill>
      <patternFill patternType="solid">
        <fgColor theme="0" tint="-0.14999847407452621"/>
        <bgColor indexed="64"/>
      </patternFill>
    </fill>
    <fill>
      <patternFill patternType="solid">
        <fgColor theme="7" tint="0.39997558519241921"/>
        <bgColor rgb="FF000000"/>
      </patternFill>
    </fill>
    <fill>
      <patternFill patternType="solid">
        <fgColor rgb="FFFF66CC"/>
        <bgColor indexed="64"/>
      </patternFill>
    </fill>
    <fill>
      <patternFill patternType="solid">
        <fgColor rgb="FFFFCCFF"/>
        <bgColor indexed="64"/>
      </patternFill>
    </fill>
    <fill>
      <patternFill patternType="solid">
        <fgColor theme="9" tint="0.39997558519241921"/>
        <bgColor rgb="FFFFFF00"/>
      </patternFill>
    </fill>
    <fill>
      <patternFill patternType="solid">
        <fgColor rgb="FFFFCCFF"/>
        <bgColor rgb="FFFFFF00"/>
      </patternFill>
    </fill>
    <fill>
      <patternFill patternType="solid">
        <fgColor rgb="FFFF0000"/>
        <bgColor indexed="64"/>
      </patternFill>
    </fill>
    <fill>
      <patternFill patternType="solid">
        <fgColor rgb="FF02D7E2"/>
        <bgColor indexed="64"/>
      </patternFill>
    </fill>
  </fills>
  <borders count="9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theme="0" tint="-0.499984740745262"/>
      </left>
      <right style="medium">
        <color indexed="64"/>
      </right>
      <top/>
      <bottom/>
      <diagonal/>
    </border>
    <border>
      <left style="medium">
        <color indexed="64"/>
      </left>
      <right style="medium">
        <color theme="0" tint="-0.499984740745262"/>
      </right>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medium">
        <color indexed="64"/>
      </left>
      <right style="medium">
        <color theme="0" tint="-0.499984740745262"/>
      </right>
      <top style="medium">
        <color indexed="64"/>
      </top>
      <bottom/>
      <diagonal/>
    </border>
    <border>
      <left style="medium">
        <color indexed="64"/>
      </left>
      <right/>
      <top/>
      <bottom style="thin">
        <color indexed="64"/>
      </bottom>
      <diagonal/>
    </border>
  </borders>
  <cellStyleXfs count="142">
    <xf numFmtId="0" fontId="0" fillId="0" borderId="0"/>
    <xf numFmtId="164" fontId="1" fillId="0" borderId="0" applyFont="0" applyFill="0" applyBorder="0" applyAlignment="0" applyProtection="0"/>
    <xf numFmtId="0" fontId="2" fillId="0" borderId="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32">
    <xf numFmtId="0" fontId="0" fillId="0" borderId="0" xfId="0"/>
    <xf numFmtId="0" fontId="3" fillId="0" borderId="0" xfId="0" applyFont="1"/>
    <xf numFmtId="0" fontId="3" fillId="3" borderId="0" xfId="0" applyFont="1" applyFill="1"/>
    <xf numFmtId="0" fontId="3" fillId="0" borderId="0" xfId="0" applyFont="1" applyAlignment="1">
      <alignment horizontal="justify" vertical="center" wrapText="1"/>
    </xf>
    <xf numFmtId="0" fontId="15" fillId="3" borderId="0" xfId="0" applyFont="1" applyFill="1"/>
    <xf numFmtId="0" fontId="2" fillId="0" borderId="1" xfId="0" applyFont="1" applyBorder="1" applyAlignment="1">
      <alignment horizontal="justify" vertical="center" wrapText="1"/>
    </xf>
    <xf numFmtId="0" fontId="3" fillId="0" borderId="2" xfId="0" applyFont="1" applyBorder="1" applyAlignment="1">
      <alignment horizontal="center" vertical="center"/>
    </xf>
    <xf numFmtId="0" fontId="2" fillId="5" borderId="1" xfId="0" applyFont="1" applyFill="1" applyBorder="1" applyAlignment="1">
      <alignment horizontal="justify" vertical="center" wrapText="1"/>
    </xf>
    <xf numFmtId="0" fontId="3" fillId="5" borderId="2" xfId="0" applyFont="1" applyFill="1" applyBorder="1" applyAlignment="1">
      <alignment horizontal="center" vertical="center"/>
    </xf>
    <xf numFmtId="0" fontId="0" fillId="0" borderId="0" xfId="0" applyAlignment="1">
      <alignment wrapText="1"/>
    </xf>
    <xf numFmtId="0" fontId="3" fillId="0" borderId="2" xfId="0" applyFont="1" applyBorder="1" applyAlignment="1">
      <alignment horizontal="center" vertical="center" wrapText="1"/>
    </xf>
    <xf numFmtId="0" fontId="2" fillId="18" borderId="1" xfId="0" applyFont="1" applyFill="1" applyBorder="1" applyAlignment="1">
      <alignment horizontal="justify" vertical="center" wrapText="1"/>
    </xf>
    <xf numFmtId="0" fontId="3" fillId="18" borderId="2" xfId="0" applyFont="1" applyFill="1" applyBorder="1" applyAlignment="1">
      <alignment horizontal="center" vertical="center"/>
    </xf>
    <xf numFmtId="0" fontId="2" fillId="0" borderId="2" xfId="0" applyFont="1" applyBorder="1" applyAlignment="1">
      <alignment horizontal="justify" vertical="center" wrapText="1"/>
    </xf>
    <xf numFmtId="0" fontId="3" fillId="17" borderId="2" xfId="0" applyFont="1" applyFill="1" applyBorder="1" applyAlignment="1">
      <alignment horizontal="center" vertical="center" wrapText="1"/>
    </xf>
    <xf numFmtId="41" fontId="0" fillId="0" borderId="0" xfId="0" applyNumberFormat="1"/>
    <xf numFmtId="0" fontId="2" fillId="5" borderId="2" xfId="0" applyFont="1" applyFill="1" applyBorder="1" applyAlignment="1">
      <alignment horizontal="justify" vertical="center" wrapText="1"/>
    </xf>
    <xf numFmtId="0" fontId="2" fillId="5"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15" borderId="2" xfId="0" applyFont="1" applyFill="1" applyBorder="1" applyAlignment="1">
      <alignment horizontal="justify" vertical="center" wrapText="1"/>
    </xf>
    <xf numFmtId="0" fontId="2" fillId="15" borderId="2" xfId="0" applyFont="1" applyFill="1" applyBorder="1" applyAlignment="1">
      <alignment horizontal="center" vertical="center" wrapText="1"/>
    </xf>
    <xf numFmtId="0" fontId="2" fillId="15" borderId="2" xfId="0" applyFont="1" applyFill="1" applyBorder="1" applyAlignment="1">
      <alignment horizontal="center" vertical="center"/>
    </xf>
    <xf numFmtId="1" fontId="2" fillId="15" borderId="2"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0" fontId="0" fillId="15" borderId="2" xfId="0" applyFill="1" applyBorder="1" applyAlignment="1">
      <alignment horizontal="center" vertical="center"/>
    </xf>
    <xf numFmtId="166" fontId="0" fillId="0" borderId="0" xfId="0" applyNumberFormat="1"/>
    <xf numFmtId="0" fontId="2" fillId="0" borderId="35" xfId="0" applyFont="1" applyBorder="1" applyAlignment="1">
      <alignment horizontal="justify" vertical="center" wrapText="1"/>
    </xf>
    <xf numFmtId="0" fontId="2" fillId="20" borderId="2" xfId="0" applyFont="1" applyFill="1" applyBorder="1" applyAlignment="1">
      <alignment horizontal="justify" vertical="center" wrapText="1"/>
    </xf>
    <xf numFmtId="0" fontId="2" fillId="0" borderId="1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 xfId="0" applyFont="1" applyBorder="1" applyAlignment="1">
      <alignment horizontal="justify" vertical="center" wrapText="1" readingOrder="1"/>
    </xf>
    <xf numFmtId="0" fontId="16" fillId="0" borderId="0" xfId="0" applyFont="1" applyAlignment="1">
      <alignment vertical="center" wrapText="1"/>
    </xf>
    <xf numFmtId="168" fontId="0" fillId="0" borderId="0" xfId="0" applyNumberFormat="1"/>
    <xf numFmtId="167" fontId="0" fillId="0" borderId="0" xfId="0" applyNumberFormat="1"/>
    <xf numFmtId="167" fontId="0" fillId="0" borderId="0" xfId="6" applyNumberFormat="1" applyFont="1"/>
    <xf numFmtId="0" fontId="2" fillId="0" borderId="1" xfId="0" applyFont="1" applyBorder="1" applyAlignment="1">
      <alignment horizontal="left" vertical="center" wrapText="1"/>
    </xf>
    <xf numFmtId="0" fontId="10" fillId="27"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3" borderId="2" xfId="0" applyFont="1" applyFill="1" applyBorder="1" applyAlignment="1">
      <alignment horizontal="left" wrapText="1"/>
    </xf>
    <xf numFmtId="0" fontId="4" fillId="2" borderId="2" xfId="0" applyFont="1" applyFill="1" applyBorder="1" applyAlignment="1">
      <alignment horizontal="left" vertical="center" wrapText="1"/>
    </xf>
    <xf numFmtId="0" fontId="3" fillId="0" borderId="2" xfId="0" applyFont="1" applyBorder="1" applyAlignment="1">
      <alignment horizontal="left" wrapText="1"/>
    </xf>
    <xf numFmtId="0" fontId="4" fillId="0" borderId="2" xfId="0" applyFont="1" applyBorder="1" applyAlignment="1">
      <alignment horizontal="left" wrapText="1"/>
    </xf>
    <xf numFmtId="0" fontId="7"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left" wrapText="1"/>
    </xf>
    <xf numFmtId="0" fontId="2" fillId="6"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29" fillId="0" borderId="2" xfId="0" applyFont="1" applyBorder="1" applyAlignment="1">
      <alignment horizontal="left" vertical="center" wrapText="1"/>
    </xf>
    <xf numFmtId="0" fontId="10" fillId="27"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16" borderId="2" xfId="0" applyFont="1" applyFill="1" applyBorder="1" applyAlignment="1">
      <alignment horizontal="justify" vertical="center" wrapText="1"/>
    </xf>
    <xf numFmtId="0" fontId="13" fillId="10" borderId="24"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0" fillId="27" borderId="1" xfId="0" applyFont="1" applyFill="1" applyBorder="1" applyAlignment="1">
      <alignment horizontal="center" vertical="center" wrapText="1"/>
    </xf>
    <xf numFmtId="167" fontId="14" fillId="13" borderId="20" xfId="0" applyNumberFormat="1" applyFont="1" applyFill="1" applyBorder="1" applyAlignment="1">
      <alignment vertical="center" wrapText="1"/>
    </xf>
    <xf numFmtId="0" fontId="10" fillId="27" borderId="2" xfId="0" applyFont="1" applyFill="1" applyBorder="1" applyAlignment="1">
      <alignment vertical="center" wrapText="1"/>
    </xf>
    <xf numFmtId="0" fontId="0" fillId="22" borderId="49" xfId="0" applyFill="1" applyBorder="1"/>
    <xf numFmtId="0" fontId="0" fillId="22" borderId="48" xfId="0" applyFill="1" applyBorder="1"/>
    <xf numFmtId="0" fontId="31" fillId="16" borderId="18" xfId="0" applyFont="1" applyFill="1" applyBorder="1" applyAlignment="1">
      <alignment horizontal="center" vertical="center" wrapText="1"/>
    </xf>
    <xf numFmtId="0" fontId="31" fillId="27" borderId="18" xfId="0" applyFont="1" applyFill="1" applyBorder="1" applyAlignment="1">
      <alignment horizontal="center" vertical="center" wrapText="1"/>
    </xf>
    <xf numFmtId="0" fontId="17" fillId="22" borderId="21" xfId="0" applyFont="1" applyFill="1" applyBorder="1" applyAlignment="1">
      <alignment horizontal="center"/>
    </xf>
    <xf numFmtId="0" fontId="10" fillId="16" borderId="2" xfId="0" applyFont="1" applyFill="1" applyBorder="1" applyAlignment="1">
      <alignment vertical="center" wrapText="1"/>
    </xf>
    <xf numFmtId="0" fontId="14" fillId="13" borderId="21" xfId="0" applyFont="1" applyFill="1" applyBorder="1" applyAlignment="1">
      <alignment horizontal="center" vertical="center" wrapText="1"/>
    </xf>
    <xf numFmtId="0" fontId="10" fillId="23" borderId="2" xfId="0" applyFont="1" applyFill="1" applyBorder="1" applyAlignment="1">
      <alignment horizontal="justify" vertical="center" wrapText="1"/>
    </xf>
    <xf numFmtId="167" fontId="10" fillId="23" borderId="2" xfId="6" applyNumberFormat="1" applyFont="1" applyFill="1" applyBorder="1" applyAlignment="1">
      <alignment horizontal="justify" vertical="center" wrapText="1"/>
    </xf>
    <xf numFmtId="167" fontId="10" fillId="16" borderId="2" xfId="6" applyNumberFormat="1" applyFont="1" applyFill="1" applyBorder="1" applyAlignment="1">
      <alignment horizontal="justify" vertical="center" wrapText="1"/>
    </xf>
    <xf numFmtId="0" fontId="3" fillId="15" borderId="2" xfId="0" applyFont="1" applyFill="1" applyBorder="1" applyAlignment="1">
      <alignment horizontal="center" vertical="center"/>
    </xf>
    <xf numFmtId="164" fontId="0" fillId="0" borderId="0" xfId="0" applyNumberFormat="1"/>
    <xf numFmtId="166" fontId="16" fillId="0" borderId="0" xfId="0" applyNumberFormat="1" applyFont="1"/>
    <xf numFmtId="0" fontId="0" fillId="0" borderId="0" xfId="0" applyAlignment="1">
      <alignment horizontal="center"/>
    </xf>
    <xf numFmtId="0" fontId="3" fillId="5" borderId="2" xfId="0" applyFont="1" applyFill="1" applyBorder="1" applyAlignment="1">
      <alignment horizontal="justify" vertical="center" wrapText="1"/>
    </xf>
    <xf numFmtId="0" fontId="3" fillId="5" borderId="2" xfId="0" applyFont="1" applyFill="1" applyBorder="1" applyAlignment="1">
      <alignment horizontal="center" vertical="center" wrapText="1"/>
    </xf>
    <xf numFmtId="0" fontId="2" fillId="5" borderId="2" xfId="2" applyFill="1" applyBorder="1" applyAlignment="1">
      <alignment horizontal="justify" vertical="center" wrapText="1"/>
    </xf>
    <xf numFmtId="0" fontId="20" fillId="5" borderId="2" xfId="0" applyFont="1" applyFill="1" applyBorder="1" applyAlignment="1">
      <alignment horizontal="justify" vertical="center" wrapText="1"/>
    </xf>
    <xf numFmtId="0" fontId="21" fillId="5" borderId="2"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5" borderId="1" xfId="2" applyFill="1" applyBorder="1" applyAlignment="1">
      <alignment horizontal="justify" vertical="center" wrapText="1"/>
    </xf>
    <xf numFmtId="9" fontId="3" fillId="5" borderId="2" xfId="5" applyFont="1" applyFill="1" applyBorder="1" applyAlignment="1">
      <alignment horizontal="center" vertical="center" wrapText="1"/>
    </xf>
    <xf numFmtId="0" fontId="2" fillId="15" borderId="1" xfId="2" applyFill="1" applyBorder="1" applyAlignment="1">
      <alignment horizontal="justify" vertical="center" wrapText="1"/>
    </xf>
    <xf numFmtId="0" fontId="3" fillId="15" borderId="2" xfId="0" applyFont="1" applyFill="1" applyBorder="1" applyAlignment="1">
      <alignment horizontal="center" vertical="center" wrapText="1"/>
    </xf>
    <xf numFmtId="9" fontId="3" fillId="15" borderId="2" xfId="5" applyFont="1" applyFill="1" applyBorder="1" applyAlignment="1">
      <alignment horizontal="center" vertical="center" wrapText="1"/>
    </xf>
    <xf numFmtId="0" fontId="2" fillId="30" borderId="2" xfId="0" applyFont="1" applyFill="1" applyBorder="1" applyAlignment="1">
      <alignment horizontal="justify" vertical="center" wrapText="1"/>
    </xf>
    <xf numFmtId="0" fontId="2" fillId="30" borderId="1" xfId="0" applyFont="1" applyFill="1" applyBorder="1" applyAlignment="1">
      <alignment horizontal="justify" vertical="center" wrapText="1"/>
    </xf>
    <xf numFmtId="0" fontId="2" fillId="18" borderId="2" xfId="0" applyFont="1" applyFill="1" applyBorder="1" applyAlignment="1">
      <alignment horizontal="justify" vertical="center" wrapText="1"/>
    </xf>
    <xf numFmtId="0" fontId="2" fillId="18" borderId="1" xfId="2" applyFill="1" applyBorder="1" applyAlignment="1">
      <alignment horizontal="justify" vertical="center" wrapText="1"/>
    </xf>
    <xf numFmtId="0" fontId="2" fillId="16" borderId="1" xfId="0" applyFont="1" applyFill="1" applyBorder="1" applyAlignment="1">
      <alignment horizontal="justify" vertical="center" wrapText="1"/>
    </xf>
    <xf numFmtId="0" fontId="2" fillId="16" borderId="2" xfId="0" applyFont="1" applyFill="1" applyBorder="1" applyAlignment="1">
      <alignment horizontal="justify" vertical="center" wrapText="1"/>
    </xf>
    <xf numFmtId="0" fontId="2" fillId="16"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right"/>
    </xf>
    <xf numFmtId="0" fontId="3" fillId="0" borderId="0" xfId="0" applyFont="1" applyAlignment="1">
      <alignment horizontal="right"/>
    </xf>
    <xf numFmtId="0" fontId="0" fillId="0" borderId="0" xfId="0" applyAlignment="1">
      <alignment horizontal="center" vertical="center"/>
    </xf>
    <xf numFmtId="0" fontId="2" fillId="15" borderId="11" xfId="0" applyFont="1" applyFill="1" applyBorder="1" applyAlignment="1">
      <alignment horizontal="justify" vertical="center" wrapText="1"/>
    </xf>
    <xf numFmtId="0" fontId="3" fillId="0" borderId="20" xfId="0" applyFont="1" applyBorder="1" applyAlignment="1">
      <alignment horizontal="center" vertical="center"/>
    </xf>
    <xf numFmtId="0" fontId="2" fillId="5" borderId="11" xfId="0" applyFont="1" applyFill="1" applyBorder="1" applyAlignment="1">
      <alignment horizontal="justify" vertical="center"/>
    </xf>
    <xf numFmtId="0" fontId="0" fillId="0" borderId="55" xfId="0" applyBorder="1" applyAlignment="1">
      <alignment horizontal="center"/>
    </xf>
    <xf numFmtId="0" fontId="0" fillId="0" borderId="56" xfId="0" applyBorder="1" applyAlignment="1">
      <alignment horizontal="center"/>
    </xf>
    <xf numFmtId="167" fontId="0" fillId="0" borderId="56" xfId="6" applyNumberFormat="1" applyFont="1" applyBorder="1"/>
    <xf numFmtId="0" fontId="0" fillId="0" borderId="56" xfId="0" applyBorder="1"/>
    <xf numFmtId="0" fontId="0" fillId="0" borderId="58" xfId="0" applyBorder="1" applyAlignment="1">
      <alignment horizontal="center"/>
    </xf>
    <xf numFmtId="167" fontId="0" fillId="0" borderId="58" xfId="6" applyNumberFormat="1" applyFont="1" applyBorder="1"/>
    <xf numFmtId="0" fontId="0" fillId="0" borderId="59" xfId="0" applyBorder="1" applyAlignment="1">
      <alignment horizontal="center"/>
    </xf>
    <xf numFmtId="0" fontId="0" fillId="0" borderId="60" xfId="0" applyBorder="1" applyAlignment="1">
      <alignment horizontal="center"/>
    </xf>
    <xf numFmtId="167" fontId="0" fillId="0" borderId="60" xfId="6" applyNumberFormat="1" applyFont="1" applyBorder="1"/>
    <xf numFmtId="0" fontId="0" fillId="0" borderId="61" xfId="0" applyBorder="1" applyAlignment="1">
      <alignment horizontal="center"/>
    </xf>
    <xf numFmtId="0" fontId="17" fillId="0" borderId="62" xfId="0" applyFont="1" applyBorder="1" applyAlignment="1">
      <alignment horizontal="center"/>
    </xf>
    <xf numFmtId="0" fontId="0" fillId="0" borderId="63" xfId="0" applyBorder="1"/>
    <xf numFmtId="0" fontId="0" fillId="0" borderId="64" xfId="0" applyBorder="1"/>
    <xf numFmtId="0" fontId="0" fillId="0" borderId="64" xfId="0" applyBorder="1" applyAlignment="1">
      <alignment horizontal="center"/>
    </xf>
    <xf numFmtId="167" fontId="0" fillId="0" borderId="64" xfId="6" applyNumberFormat="1" applyFont="1" applyBorder="1"/>
    <xf numFmtId="0" fontId="0" fillId="0" borderId="57" xfId="0" applyBorder="1" applyAlignment="1">
      <alignment horizontal="center"/>
    </xf>
    <xf numFmtId="0" fontId="3" fillId="0" borderId="0" xfId="0" applyFont="1" applyAlignment="1">
      <alignment vertical="center"/>
    </xf>
    <xf numFmtId="0" fontId="4" fillId="0" borderId="0" xfId="0" applyFont="1"/>
    <xf numFmtId="166" fontId="3" fillId="0" borderId="0" xfId="0" applyNumberFormat="1" applyFont="1" applyAlignment="1">
      <alignment horizontal="right" vertical="center"/>
    </xf>
    <xf numFmtId="166" fontId="2" fillId="16" borderId="18" xfId="0" applyNumberFormat="1" applyFont="1" applyFill="1" applyBorder="1" applyAlignment="1">
      <alignment horizontal="right" vertical="center" wrapText="1"/>
    </xf>
    <xf numFmtId="167" fontId="3" fillId="0" borderId="2" xfId="6" applyNumberFormat="1" applyFont="1" applyFill="1" applyBorder="1" applyAlignment="1">
      <alignment horizontal="center" vertical="center" wrapText="1"/>
    </xf>
    <xf numFmtId="43" fontId="0" fillId="0" borderId="0" xfId="6" applyFont="1"/>
    <xf numFmtId="0" fontId="0" fillId="0" borderId="0" xfId="0" applyAlignment="1">
      <alignment vertical="center"/>
    </xf>
    <xf numFmtId="166" fontId="0" fillId="0" borderId="0" xfId="0" applyNumberFormat="1" applyAlignment="1">
      <alignment vertical="center"/>
    </xf>
    <xf numFmtId="166" fontId="0" fillId="0" borderId="0" xfId="0" applyNumberFormat="1" applyAlignment="1">
      <alignment horizontal="center" vertical="center"/>
    </xf>
    <xf numFmtId="43" fontId="0" fillId="0" borderId="0" xfId="0" applyNumberFormat="1"/>
    <xf numFmtId="164" fontId="0" fillId="0" borderId="0" xfId="0" applyNumberFormat="1" applyAlignment="1">
      <alignment wrapText="1"/>
    </xf>
    <xf numFmtId="166" fontId="2" fillId="0" borderId="18" xfId="0" applyNumberFormat="1" applyFont="1" applyBorder="1" applyAlignment="1">
      <alignment horizontal="right" vertical="center"/>
    </xf>
    <xf numFmtId="9" fontId="0" fillId="0" borderId="0" xfId="5" applyFont="1"/>
    <xf numFmtId="167" fontId="0" fillId="0" borderId="2" xfId="6" applyNumberFormat="1" applyFont="1" applyBorder="1"/>
    <xf numFmtId="167" fontId="0" fillId="13" borderId="2" xfId="6" applyNumberFormat="1" applyFont="1" applyFill="1" applyBorder="1"/>
    <xf numFmtId="167" fontId="0" fillId="0" borderId="2" xfId="6" applyNumberFormat="1" applyFont="1" applyFill="1" applyBorder="1"/>
    <xf numFmtId="10" fontId="0" fillId="0" borderId="0" xfId="0" applyNumberFormat="1"/>
    <xf numFmtId="10" fontId="0" fillId="0" borderId="0" xfId="5" applyNumberFormat="1" applyFont="1"/>
    <xf numFmtId="0" fontId="0" fillId="0" borderId="2" xfId="0" applyBorder="1" applyAlignment="1">
      <alignment horizontal="center"/>
    </xf>
    <xf numFmtId="0" fontId="0" fillId="0" borderId="2" xfId="0" applyBorder="1" applyAlignment="1">
      <alignment horizontal="center" wrapText="1"/>
    </xf>
    <xf numFmtId="10" fontId="0" fillId="0" borderId="2" xfId="0" applyNumberFormat="1" applyBorder="1" applyAlignment="1">
      <alignment horizontal="center"/>
    </xf>
    <xf numFmtId="10" fontId="0" fillId="0" borderId="2" xfId="0" applyNumberFormat="1" applyBorder="1" applyAlignment="1">
      <alignment horizontal="center" wrapText="1"/>
    </xf>
    <xf numFmtId="43" fontId="24" fillId="0" borderId="2" xfId="6" applyFont="1" applyFill="1" applyBorder="1" applyAlignment="1">
      <alignment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9" fontId="17" fillId="0" borderId="2" xfId="0" applyNumberFormat="1" applyFont="1" applyBorder="1" applyAlignment="1">
      <alignment horizontal="center" vertical="center"/>
    </xf>
    <xf numFmtId="169" fontId="24" fillId="0" borderId="2" xfId="5" applyNumberFormat="1" applyFont="1" applyFill="1" applyBorder="1" applyAlignment="1">
      <alignment horizontal="center" vertical="center"/>
    </xf>
    <xf numFmtId="0" fontId="2" fillId="0" borderId="0" xfId="0" applyFont="1"/>
    <xf numFmtId="0" fontId="2" fillId="0" borderId="0" xfId="0" applyFont="1" applyAlignment="1">
      <alignment horizontal="right"/>
    </xf>
    <xf numFmtId="0" fontId="19" fillId="16" borderId="2" xfId="0" applyFont="1" applyFill="1" applyBorder="1" applyAlignment="1">
      <alignment horizontal="center" vertical="center" wrapText="1"/>
    </xf>
    <xf numFmtId="0" fontId="4" fillId="18" borderId="12" xfId="0" applyFont="1" applyFill="1" applyBorder="1" applyAlignment="1">
      <alignment horizontal="justify" vertical="center" wrapText="1"/>
    </xf>
    <xf numFmtId="0" fontId="2" fillId="15" borderId="17" xfId="0" applyFont="1" applyFill="1" applyBorder="1" applyAlignment="1">
      <alignment horizontal="justify" vertical="center" wrapText="1"/>
    </xf>
    <xf numFmtId="0" fontId="2" fillId="0" borderId="22" xfId="0" applyFont="1" applyBorder="1" applyAlignment="1">
      <alignment horizontal="justify" vertical="center" wrapText="1"/>
    </xf>
    <xf numFmtId="0" fontId="2" fillId="5" borderId="17" xfId="0" applyFont="1" applyFill="1" applyBorder="1" applyAlignment="1">
      <alignment horizontal="justify" vertical="center" wrapText="1"/>
    </xf>
    <xf numFmtId="0" fontId="4"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2" fontId="2" fillId="0" borderId="0" xfId="8" applyFont="1" applyAlignment="1">
      <alignment horizontal="center" vertical="center"/>
    </xf>
    <xf numFmtId="0" fontId="32" fillId="0" borderId="0" xfId="0" applyFont="1"/>
    <xf numFmtId="0" fontId="2" fillId="0" borderId="0" xfId="0" applyFont="1" applyAlignment="1">
      <alignment horizontal="left" vertical="center"/>
    </xf>
    <xf numFmtId="0" fontId="2" fillId="15" borderId="12" xfId="0" applyFont="1" applyFill="1" applyBorder="1" applyAlignment="1">
      <alignment horizontal="justify" vertical="center" wrapText="1"/>
    </xf>
    <xf numFmtId="0" fontId="3" fillId="5" borderId="12" xfId="0" applyFont="1" applyFill="1" applyBorder="1" applyAlignment="1">
      <alignment horizontal="left" vertical="center" wrapText="1"/>
    </xf>
    <xf numFmtId="0" fontId="3" fillId="18" borderId="37" xfId="0" applyFont="1" applyFill="1" applyBorder="1" applyAlignment="1">
      <alignment horizontal="center" vertical="center" wrapText="1"/>
    </xf>
    <xf numFmtId="0" fontId="2" fillId="17" borderId="17" xfId="2" applyFill="1" applyBorder="1" applyAlignment="1">
      <alignment horizontal="justify" vertical="center"/>
    </xf>
    <xf numFmtId="0" fontId="2" fillId="0" borderId="35" xfId="2" applyBorder="1" applyAlignment="1">
      <alignment horizontal="justify" vertical="center"/>
    </xf>
    <xf numFmtId="0" fontId="2" fillId="18" borderId="17" xfId="2" applyFill="1" applyBorder="1" applyAlignment="1">
      <alignment horizontal="justify" vertical="center"/>
    </xf>
    <xf numFmtId="0" fontId="2" fillId="15" borderId="37" xfId="0" applyFont="1" applyFill="1" applyBorder="1" applyAlignment="1">
      <alignment horizontal="center" vertical="center"/>
    </xf>
    <xf numFmtId="1" fontId="2" fillId="15" borderId="37" xfId="0" applyNumberFormat="1" applyFont="1" applyFill="1" applyBorder="1" applyAlignment="1">
      <alignment horizontal="center" vertical="center"/>
    </xf>
    <xf numFmtId="0" fontId="2" fillId="0" borderId="33" xfId="2" applyBorder="1" applyAlignment="1">
      <alignment horizontal="justify" vertical="center"/>
    </xf>
    <xf numFmtId="0" fontId="7" fillId="0" borderId="35" xfId="0" applyFont="1" applyBorder="1" applyAlignment="1">
      <alignment horizontal="justify" vertical="center" wrapText="1" readingOrder="1"/>
    </xf>
    <xf numFmtId="0" fontId="22" fillId="26" borderId="22" xfId="0" applyFont="1" applyFill="1" applyBorder="1" applyAlignment="1">
      <alignment horizontal="justify" vertical="center" wrapText="1"/>
    </xf>
    <xf numFmtId="3" fontId="0" fillId="0" borderId="0" xfId="0" applyNumberFormat="1"/>
    <xf numFmtId="166" fontId="3" fillId="0" borderId="2" xfId="0" applyNumberFormat="1" applyFont="1" applyBorder="1" applyAlignment="1">
      <alignment horizontal="right" vertical="center" wrapText="1"/>
    </xf>
    <xf numFmtId="170" fontId="0" fillId="0" borderId="0" xfId="7" applyNumberFormat="1" applyFont="1"/>
    <xf numFmtId="166" fontId="3" fillId="0" borderId="0" xfId="0" applyNumberFormat="1" applyFont="1" applyAlignment="1">
      <alignment horizontal="center" vertical="center"/>
    </xf>
    <xf numFmtId="0" fontId="2" fillId="0" borderId="24" xfId="0" applyFont="1" applyBorder="1" applyAlignment="1">
      <alignment horizontal="justify" vertical="center" wrapText="1"/>
    </xf>
    <xf numFmtId="42" fontId="2" fillId="0" borderId="0" xfId="0" applyNumberFormat="1" applyFont="1" applyAlignment="1">
      <alignment horizontal="right"/>
    </xf>
    <xf numFmtId="42" fontId="16" fillId="4" borderId="37" xfId="0" applyNumberFormat="1" applyFont="1" applyFill="1" applyBorder="1" applyAlignment="1">
      <alignment horizontal="center" vertical="center"/>
    </xf>
    <xf numFmtId="166" fontId="16" fillId="4" borderId="37" xfId="0" applyNumberFormat="1" applyFont="1" applyFill="1" applyBorder="1" applyAlignment="1">
      <alignment vertical="center"/>
    </xf>
    <xf numFmtId="167" fontId="0" fillId="0" borderId="0" xfId="0" applyNumberFormat="1" applyAlignment="1">
      <alignment horizontal="center" vertical="center"/>
    </xf>
    <xf numFmtId="167" fontId="16" fillId="4" borderId="37" xfId="0" applyNumberFormat="1" applyFont="1" applyFill="1" applyBorder="1"/>
    <xf numFmtId="166" fontId="19" fillId="4" borderId="71" xfId="0" applyNumberFormat="1" applyFont="1" applyFill="1" applyBorder="1" applyAlignment="1">
      <alignment horizontal="center" vertical="center" wrapText="1"/>
    </xf>
    <xf numFmtId="166" fontId="2" fillId="0" borderId="2" xfId="0" applyNumberFormat="1" applyFont="1" applyBorder="1" applyAlignment="1">
      <alignment horizontal="center" vertical="center" wrapText="1"/>
    </xf>
    <xf numFmtId="0" fontId="33" fillId="18" borderId="49" xfId="2" applyFont="1" applyFill="1" applyBorder="1" applyAlignment="1">
      <alignment horizontal="center" vertical="center"/>
    </xf>
    <xf numFmtId="0" fontId="33" fillId="18" borderId="12" xfId="2" applyFont="1" applyFill="1" applyBorder="1" applyAlignment="1">
      <alignment horizontal="center" vertical="center"/>
    </xf>
    <xf numFmtId="42" fontId="19" fillId="4" borderId="17" xfId="8" applyFont="1" applyFill="1" applyBorder="1" applyAlignment="1">
      <alignment horizontal="right"/>
    </xf>
    <xf numFmtId="164" fontId="16" fillId="4" borderId="17" xfId="1" applyFont="1" applyFill="1" applyBorder="1" applyAlignment="1">
      <alignment vertical="center"/>
    </xf>
    <xf numFmtId="164" fontId="16" fillId="4" borderId="38" xfId="1" applyFont="1" applyFill="1" applyBorder="1" applyAlignment="1">
      <alignment vertical="center"/>
    </xf>
    <xf numFmtId="166" fontId="4" fillId="4" borderId="37" xfId="0" applyNumberFormat="1" applyFont="1" applyFill="1" applyBorder="1" applyAlignment="1">
      <alignment horizontal="right" vertical="center"/>
    </xf>
    <xf numFmtId="166" fontId="4" fillId="4" borderId="38" xfId="0" applyNumberFormat="1" applyFont="1" applyFill="1" applyBorder="1" applyAlignment="1">
      <alignment horizontal="right" vertical="center"/>
    </xf>
    <xf numFmtId="0" fontId="19" fillId="14" borderId="11" xfId="0" applyFont="1" applyFill="1" applyBorder="1" applyAlignment="1">
      <alignment horizontal="center" vertical="center" wrapText="1"/>
    </xf>
    <xf numFmtId="0" fontId="2" fillId="16" borderId="5" xfId="0" applyFont="1" applyFill="1" applyBorder="1" applyAlignment="1">
      <alignment horizontal="justify" vertical="center" wrapText="1"/>
    </xf>
    <xf numFmtId="0" fontId="2" fillId="15" borderId="37" xfId="0" applyFont="1" applyFill="1" applyBorder="1" applyAlignment="1">
      <alignment horizontal="justify" vertical="center" wrapText="1"/>
    </xf>
    <xf numFmtId="0" fontId="2" fillId="16" borderId="35"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15" borderId="17" xfId="0" applyFont="1" applyFill="1" applyBorder="1" applyAlignment="1">
      <alignment horizontal="left" vertical="center" wrapText="1"/>
    </xf>
    <xf numFmtId="166" fontId="2" fillId="16" borderId="43" xfId="0" applyNumberFormat="1" applyFont="1" applyFill="1" applyBorder="1" applyAlignment="1">
      <alignment horizontal="right" vertical="center" wrapText="1"/>
    </xf>
    <xf numFmtId="166" fontId="2" fillId="16" borderId="5" xfId="0" applyNumberFormat="1" applyFont="1" applyFill="1" applyBorder="1" applyAlignment="1">
      <alignment horizontal="center" vertical="center" wrapText="1"/>
    </xf>
    <xf numFmtId="1" fontId="16" fillId="14" borderId="50" xfId="0" applyNumberFormat="1" applyFont="1" applyFill="1" applyBorder="1" applyAlignment="1">
      <alignment horizontal="center" vertical="center" wrapText="1"/>
    </xf>
    <xf numFmtId="0" fontId="4" fillId="18" borderId="37" xfId="0" applyFont="1" applyFill="1" applyBorder="1" applyAlignment="1">
      <alignment horizontal="justify" vertical="center" wrapText="1"/>
    </xf>
    <xf numFmtId="167" fontId="16" fillId="14" borderId="11" xfId="0" applyNumberFormat="1" applyFont="1" applyFill="1" applyBorder="1"/>
    <xf numFmtId="0" fontId="2" fillId="14" borderId="34" xfId="0" applyFont="1" applyFill="1" applyBorder="1" applyAlignment="1">
      <alignment horizontal="justify" vertical="center" wrapText="1"/>
    </xf>
    <xf numFmtId="0" fontId="35" fillId="0" borderId="0" xfId="0" applyFont="1" applyAlignment="1">
      <alignment vertical="center" wrapText="1"/>
    </xf>
    <xf numFmtId="3" fontId="16" fillId="4" borderId="17" xfId="0" applyNumberFormat="1" applyFont="1" applyFill="1" applyBorder="1" applyAlignment="1">
      <alignment horizontal="center" vertical="center"/>
    </xf>
    <xf numFmtId="0" fontId="2" fillId="16" borderId="24" xfId="0" applyFont="1" applyFill="1" applyBorder="1" applyAlignment="1">
      <alignment horizontal="justify" vertical="center" wrapText="1"/>
    </xf>
    <xf numFmtId="0" fontId="2" fillId="15" borderId="46" xfId="0" applyFont="1" applyFill="1" applyBorder="1" applyAlignment="1">
      <alignment horizontal="justify" vertical="center" wrapText="1"/>
    </xf>
    <xf numFmtId="167" fontId="3" fillId="0" borderId="0" xfId="0" applyNumberFormat="1" applyFont="1"/>
    <xf numFmtId="166" fontId="2" fillId="0" borderId="2" xfId="0" applyNumberFormat="1" applyFont="1" applyBorder="1" applyAlignment="1">
      <alignment horizontal="right" vertical="center" wrapText="1"/>
    </xf>
    <xf numFmtId="0" fontId="2" fillId="0" borderId="4" xfId="0" applyFont="1" applyBorder="1" applyAlignment="1">
      <alignment horizontal="left" vertical="center" wrapText="1"/>
    </xf>
    <xf numFmtId="0" fontId="3" fillId="4" borderId="0" xfId="0" applyFont="1" applyFill="1"/>
    <xf numFmtId="1" fontId="0" fillId="0" borderId="0" xfId="0" applyNumberFormat="1"/>
    <xf numFmtId="44" fontId="0" fillId="0" borderId="0" xfId="7" applyFont="1" applyAlignment="1">
      <alignment horizontal="center" vertical="center"/>
    </xf>
    <xf numFmtId="43" fontId="0" fillId="0" borderId="0" xfId="6" applyFont="1" applyAlignment="1">
      <alignment horizontal="center" vertical="center"/>
    </xf>
    <xf numFmtId="44" fontId="0" fillId="0" borderId="0" xfId="7" applyFont="1" applyAlignment="1">
      <alignment horizontal="center" vertical="center" wrapText="1"/>
    </xf>
    <xf numFmtId="44" fontId="0" fillId="0" borderId="0" xfId="0" applyNumberFormat="1" applyAlignment="1">
      <alignment horizontal="center" vertical="center"/>
    </xf>
    <xf numFmtId="166" fontId="2" fillId="0" borderId="3" xfId="0" applyNumberFormat="1" applyFont="1" applyBorder="1" applyAlignment="1">
      <alignment horizontal="right" vertical="center" wrapText="1"/>
    </xf>
    <xf numFmtId="166" fontId="16" fillId="4" borderId="13" xfId="0" applyNumberFormat="1" applyFont="1" applyFill="1" applyBorder="1" applyAlignment="1">
      <alignment horizontal="center" vertical="center"/>
    </xf>
    <xf numFmtId="166" fontId="16" fillId="4" borderId="37" xfId="0" applyNumberFormat="1" applyFont="1" applyFill="1" applyBorder="1"/>
    <xf numFmtId="172" fontId="0" fillId="0" borderId="2" xfId="6" applyNumberFormat="1" applyFont="1" applyBorder="1"/>
    <xf numFmtId="172" fontId="0" fillId="0" borderId="0" xfId="0" applyNumberFormat="1"/>
    <xf numFmtId="172" fontId="0" fillId="0" borderId="0" xfId="6" applyNumberFormat="1" applyFont="1"/>
    <xf numFmtId="172" fontId="0" fillId="0" borderId="0" xfId="5" applyNumberFormat="1" applyFont="1"/>
    <xf numFmtId="0" fontId="10" fillId="16" borderId="6" xfId="0" applyFont="1" applyFill="1" applyBorder="1" applyAlignment="1">
      <alignment horizontal="center" vertical="center" wrapText="1"/>
    </xf>
    <xf numFmtId="0" fontId="10" fillId="16" borderId="3" xfId="0" applyFont="1" applyFill="1" applyBorder="1" applyAlignment="1">
      <alignment horizontal="left" vertical="center" wrapText="1"/>
    </xf>
    <xf numFmtId="0" fontId="10" fillId="16" borderId="2" xfId="0" applyFont="1" applyFill="1" applyBorder="1" applyAlignment="1">
      <alignment horizontal="center" vertical="center" wrapText="1"/>
    </xf>
    <xf numFmtId="0" fontId="10" fillId="16" borderId="2"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7" fillId="0" borderId="10" xfId="0" applyFont="1" applyBorder="1" applyAlignment="1">
      <alignment horizontal="center"/>
    </xf>
    <xf numFmtId="0" fontId="17" fillId="0" borderId="0" xfId="0" applyFont="1" applyAlignment="1">
      <alignment horizontal="center"/>
    </xf>
    <xf numFmtId="0" fontId="24" fillId="0" borderId="0" xfId="0" applyFont="1"/>
    <xf numFmtId="0" fontId="2" fillId="15" borderId="1" xfId="0" applyFont="1" applyFill="1" applyBorder="1" applyAlignment="1">
      <alignment horizontal="justify" vertical="center" wrapText="1"/>
    </xf>
    <xf numFmtId="167" fontId="32" fillId="0" borderId="2" xfId="6" applyNumberFormat="1" applyFont="1" applyBorder="1"/>
    <xf numFmtId="172" fontId="32" fillId="0" borderId="2" xfId="6" applyNumberFormat="1" applyFont="1" applyBorder="1"/>
    <xf numFmtId="0" fontId="20" fillId="5" borderId="1" xfId="0" applyFont="1" applyFill="1" applyBorder="1" applyAlignment="1">
      <alignment horizontal="justify" vertical="center" wrapText="1"/>
    </xf>
    <xf numFmtId="0" fontId="2" fillId="20" borderId="1" xfId="0" applyFont="1" applyFill="1" applyBorder="1" applyAlignment="1">
      <alignment horizontal="justify" vertical="center" wrapText="1"/>
    </xf>
    <xf numFmtId="0" fontId="2" fillId="15" borderId="2" xfId="0" applyFont="1" applyFill="1" applyBorder="1" applyAlignment="1">
      <alignment vertical="center" wrapText="1"/>
    </xf>
    <xf numFmtId="0" fontId="2" fillId="15" borderId="2" xfId="2" applyFill="1" applyBorder="1" applyAlignment="1">
      <alignment horizontal="justify" vertical="center" wrapText="1"/>
    </xf>
    <xf numFmtId="0" fontId="2" fillId="18" borderId="2" xfId="2" applyFill="1" applyBorder="1" applyAlignment="1">
      <alignment horizontal="justify" vertical="center" wrapText="1"/>
    </xf>
    <xf numFmtId="0" fontId="2" fillId="24" borderId="19" xfId="0" applyFont="1" applyFill="1" applyBorder="1" applyAlignment="1">
      <alignment horizontal="justify" vertical="center" wrapText="1"/>
    </xf>
    <xf numFmtId="0" fontId="2" fillId="24" borderId="20" xfId="0" applyFont="1" applyFill="1" applyBorder="1" applyAlignment="1">
      <alignment horizontal="justify" vertical="center" wrapText="1"/>
    </xf>
    <xf numFmtId="0" fontId="2" fillId="18" borderId="20" xfId="0" applyFont="1" applyFill="1" applyBorder="1" applyAlignment="1">
      <alignment horizontal="center" vertical="center"/>
    </xf>
    <xf numFmtId="167" fontId="0" fillId="0" borderId="20" xfId="6" applyNumberFormat="1" applyFont="1" applyBorder="1"/>
    <xf numFmtId="172" fontId="0" fillId="0" borderId="20" xfId="6" applyNumberFormat="1" applyFont="1" applyBorder="1"/>
    <xf numFmtId="167" fontId="0" fillId="13" borderId="2" xfId="6" applyNumberFormat="1" applyFont="1" applyFill="1" applyBorder="1" applyAlignment="1">
      <alignment horizontal="left"/>
    </xf>
    <xf numFmtId="166" fontId="19" fillId="4" borderId="12" xfId="0" applyNumberFormat="1" applyFont="1" applyFill="1" applyBorder="1" applyAlignment="1">
      <alignment horizontal="center" vertical="center" wrapText="1"/>
    </xf>
    <xf numFmtId="166" fontId="19" fillId="4" borderId="38" xfId="0" applyNumberFormat="1" applyFont="1" applyFill="1" applyBorder="1" applyAlignment="1">
      <alignment horizontal="center" vertical="center" wrapText="1"/>
    </xf>
    <xf numFmtId="0" fontId="2" fillId="3" borderId="1" xfId="0" applyFont="1" applyFill="1" applyBorder="1" applyAlignment="1">
      <alignment horizontal="justify" vertical="center" wrapText="1"/>
    </xf>
    <xf numFmtId="42" fontId="19" fillId="4" borderId="38" xfId="8" applyFont="1" applyFill="1" applyBorder="1" applyAlignment="1">
      <alignment horizontal="right"/>
    </xf>
    <xf numFmtId="0" fontId="4" fillId="0" borderId="0" xfId="0" applyFont="1" applyAlignment="1">
      <alignment horizontal="center"/>
    </xf>
    <xf numFmtId="166" fontId="2" fillId="0" borderId="1" xfId="0" applyNumberFormat="1" applyFont="1" applyBorder="1" applyAlignment="1">
      <alignment horizontal="justify" vertical="center" wrapText="1"/>
    </xf>
    <xf numFmtId="170" fontId="0" fillId="0" borderId="0" xfId="0" applyNumberFormat="1"/>
    <xf numFmtId="0" fontId="2" fillId="20" borderId="6"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2" xfId="0" applyFont="1" applyFill="1" applyBorder="1" applyAlignment="1">
      <alignment horizontal="center" vertical="center" wrapText="1"/>
    </xf>
    <xf numFmtId="0" fontId="2" fillId="30" borderId="6" xfId="0" applyFont="1" applyFill="1" applyBorder="1" applyAlignment="1">
      <alignment horizontal="center" vertical="center" wrapText="1"/>
    </xf>
    <xf numFmtId="0" fontId="2" fillId="30"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2" fillId="18" borderId="1" xfId="0" applyFont="1" applyFill="1" applyBorder="1" applyAlignment="1">
      <alignment horizontal="center" vertical="center" wrapText="1"/>
    </xf>
    <xf numFmtId="0" fontId="2" fillId="18" borderId="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17" fillId="13" borderId="5" xfId="0" applyFont="1" applyFill="1" applyBorder="1"/>
    <xf numFmtId="0" fontId="17" fillId="13" borderId="2" xfId="0" applyFont="1" applyFill="1" applyBorder="1"/>
    <xf numFmtId="0" fontId="17" fillId="13" borderId="2" xfId="0" applyFont="1" applyFill="1" applyBorder="1" applyAlignment="1">
      <alignment vertical="center" wrapText="1"/>
    </xf>
    <xf numFmtId="9" fontId="0" fillId="13" borderId="2" xfId="5" applyFont="1" applyFill="1" applyBorder="1"/>
    <xf numFmtId="167" fontId="16" fillId="22" borderId="37" xfId="0" applyNumberFormat="1" applyFont="1" applyFill="1" applyBorder="1" applyAlignment="1">
      <alignment vertical="center"/>
    </xf>
    <xf numFmtId="0" fontId="16" fillId="29" borderId="37" xfId="0" applyFont="1" applyFill="1" applyBorder="1" applyAlignment="1">
      <alignment vertical="center"/>
    </xf>
    <xf numFmtId="9" fontId="16" fillId="22" borderId="37" xfId="5" applyFont="1" applyFill="1" applyBorder="1" applyAlignment="1">
      <alignment vertical="center"/>
    </xf>
    <xf numFmtId="9" fontId="0" fillId="13" borderId="2" xfId="5" applyFont="1" applyFill="1" applyBorder="1" applyAlignment="1">
      <alignment horizontal="left"/>
    </xf>
    <xf numFmtId="0" fontId="16" fillId="0" borderId="0" xfId="0" applyFont="1" applyAlignment="1">
      <alignment horizontal="center" wrapText="1"/>
    </xf>
    <xf numFmtId="0" fontId="4" fillId="0" borderId="0" xfId="0" applyFont="1" applyAlignment="1">
      <alignment horizontal="justify" vertical="center" wrapText="1"/>
    </xf>
    <xf numFmtId="0" fontId="4" fillId="16" borderId="2" xfId="0" applyFont="1" applyFill="1" applyBorder="1" applyAlignment="1">
      <alignment horizontal="center" vertical="center" wrapText="1"/>
    </xf>
    <xf numFmtId="0" fontId="3" fillId="0" borderId="19" xfId="0" applyFont="1" applyBorder="1" applyAlignment="1">
      <alignment horizontal="justify" vertical="center" wrapText="1"/>
    </xf>
    <xf numFmtId="166" fontId="0" fillId="0" borderId="2" xfId="0" applyNumberFormat="1" applyBorder="1" applyAlignment="1">
      <alignment horizontal="right" vertical="center"/>
    </xf>
    <xf numFmtId="5" fontId="16" fillId="14" borderId="51" xfId="1" applyNumberFormat="1" applyFont="1" applyFill="1" applyBorder="1" applyAlignment="1">
      <alignment horizontal="right" vertical="center"/>
    </xf>
    <xf numFmtId="167" fontId="17" fillId="0" borderId="2" xfId="0" applyNumberFormat="1" applyFont="1" applyBorder="1" applyAlignment="1">
      <alignment vertical="center"/>
    </xf>
    <xf numFmtId="0" fontId="29" fillId="0" borderId="0" xfId="0" applyFont="1" applyAlignment="1">
      <alignment horizontal="center" wrapText="1"/>
    </xf>
    <xf numFmtId="49" fontId="2" fillId="0" borderId="0" xfId="0" applyNumberFormat="1" applyFont="1"/>
    <xf numFmtId="49" fontId="3" fillId="0" borderId="0" xfId="0" applyNumberFormat="1" applyFont="1"/>
    <xf numFmtId="49" fontId="3" fillId="0" borderId="0" xfId="0" applyNumberFormat="1" applyFont="1" applyAlignment="1">
      <alignment vertical="center"/>
    </xf>
    <xf numFmtId="49" fontId="4" fillId="16" borderId="8" xfId="0" applyNumberFormat="1" applyFont="1" applyFill="1" applyBorder="1" applyAlignment="1">
      <alignment horizontal="center" vertical="center" wrapText="1"/>
    </xf>
    <xf numFmtId="49" fontId="0" fillId="0" borderId="0" xfId="0" applyNumberFormat="1"/>
    <xf numFmtId="49" fontId="3" fillId="16" borderId="2" xfId="0" applyNumberFormat="1" applyFont="1" applyFill="1" applyBorder="1" applyAlignment="1">
      <alignment horizontal="justify" vertical="center" wrapText="1"/>
    </xf>
    <xf numFmtId="49" fontId="2" fillId="16" borderId="8" xfId="0" applyNumberFormat="1" applyFont="1" applyFill="1" applyBorder="1" applyAlignment="1">
      <alignment horizontal="justify" vertical="center" wrapText="1"/>
    </xf>
    <xf numFmtId="166" fontId="3" fillId="0" borderId="0" xfId="0" applyNumberFormat="1" applyFont="1"/>
    <xf numFmtId="44" fontId="0" fillId="0" borderId="0" xfId="7" applyFont="1"/>
    <xf numFmtId="0" fontId="16" fillId="0" borderId="0" xfId="0" applyFont="1"/>
    <xf numFmtId="0" fontId="19" fillId="0" borderId="0" xfId="0" applyFont="1"/>
    <xf numFmtId="170" fontId="3" fillId="0" borderId="0" xfId="0" applyNumberFormat="1" applyFont="1"/>
    <xf numFmtId="42" fontId="2" fillId="0" borderId="0" xfId="0" applyNumberFormat="1" applyFont="1"/>
    <xf numFmtId="42" fontId="0" fillId="0" borderId="0" xfId="0" applyNumberFormat="1"/>
    <xf numFmtId="0" fontId="27" fillId="0" borderId="0" xfId="0" applyFont="1"/>
    <xf numFmtId="166" fontId="0" fillId="0" borderId="18" xfId="0" applyNumberFormat="1" applyBorder="1" applyAlignment="1">
      <alignment horizontal="right" vertical="center"/>
    </xf>
    <xf numFmtId="170" fontId="3" fillId="0" borderId="89" xfId="7" applyNumberFormat="1" applyFont="1" applyBorder="1" applyAlignment="1">
      <alignment horizontal="center" vertical="center"/>
    </xf>
    <xf numFmtId="42" fontId="3" fillId="0" borderId="89" xfId="7" applyNumberFormat="1" applyFont="1" applyBorder="1" applyAlignment="1">
      <alignment horizontal="center" vertical="center"/>
    </xf>
    <xf numFmtId="170" fontId="8" fillId="13" borderId="89" xfId="0" applyNumberFormat="1" applyFont="1" applyFill="1" applyBorder="1" applyAlignment="1">
      <alignment horizontal="center" vertical="center"/>
    </xf>
    <xf numFmtId="0" fontId="19" fillId="13" borderId="89" xfId="0" applyFont="1" applyFill="1" applyBorder="1" applyAlignment="1">
      <alignment horizontal="center" vertical="center" wrapText="1"/>
    </xf>
    <xf numFmtId="0" fontId="37" fillId="13" borderId="89" xfId="0" applyFont="1" applyFill="1" applyBorder="1" applyAlignment="1">
      <alignment horizontal="center" vertical="center"/>
    </xf>
    <xf numFmtId="0" fontId="23" fillId="22" borderId="89" xfId="0" applyFont="1" applyFill="1" applyBorder="1" applyAlignment="1">
      <alignment horizontal="center" vertical="center" wrapText="1"/>
    </xf>
    <xf numFmtId="0" fontId="23" fillId="22" borderId="89" xfId="0" applyFont="1" applyFill="1" applyBorder="1" applyAlignment="1">
      <alignment horizontal="left" vertical="center" wrapText="1"/>
    </xf>
    <xf numFmtId="0" fontId="23" fillId="22" borderId="89" xfId="0" applyFont="1" applyFill="1" applyBorder="1" applyAlignment="1">
      <alignment vertical="center" wrapText="1"/>
    </xf>
    <xf numFmtId="170" fontId="4" fillId="0" borderId="89" xfId="7" applyNumberFormat="1" applyFont="1" applyBorder="1" applyAlignment="1">
      <alignment horizontal="center" vertical="center"/>
    </xf>
    <xf numFmtId="3" fontId="24" fillId="0" borderId="2" xfId="6" applyNumberFormat="1" applyFont="1" applyFill="1" applyBorder="1" applyAlignment="1">
      <alignment vertical="center"/>
    </xf>
    <xf numFmtId="170" fontId="4" fillId="0" borderId="89" xfId="0" applyNumberFormat="1" applyFont="1" applyBorder="1" applyAlignment="1">
      <alignment horizontal="center" vertical="center"/>
    </xf>
    <xf numFmtId="166" fontId="3" fillId="0" borderId="4" xfId="0" applyNumberFormat="1" applyFont="1" applyBorder="1" applyAlignment="1">
      <alignment horizontal="right" vertical="center" wrapText="1"/>
    </xf>
    <xf numFmtId="44" fontId="3" fillId="0" borderId="0" xfId="7" applyFont="1"/>
    <xf numFmtId="44" fontId="3" fillId="0" borderId="0" xfId="0" applyNumberFormat="1" applyFont="1"/>
    <xf numFmtId="170" fontId="3" fillId="0" borderId="0" xfId="7" applyNumberFormat="1" applyFont="1"/>
    <xf numFmtId="0" fontId="3" fillId="0" borderId="0" xfId="0" applyFont="1" applyAlignment="1">
      <alignment horizontal="center"/>
    </xf>
    <xf numFmtId="0" fontId="3" fillId="0" borderId="0" xfId="0" applyFont="1" applyAlignment="1">
      <alignment horizontal="left" vertical="center"/>
    </xf>
    <xf numFmtId="0" fontId="10" fillId="16" borderId="22"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27" borderId="6" xfId="0" applyFont="1" applyFill="1" applyBorder="1" applyAlignment="1">
      <alignment horizontal="center" vertical="center" wrapText="1"/>
    </xf>
    <xf numFmtId="0" fontId="10" fillId="27" borderId="22" xfId="0" applyFont="1" applyFill="1" applyBorder="1" applyAlignment="1">
      <alignment horizontal="center" vertical="center" wrapText="1"/>
    </xf>
    <xf numFmtId="0" fontId="10" fillId="27" borderId="35" xfId="0" applyFont="1" applyFill="1" applyBorder="1" applyAlignment="1">
      <alignment horizontal="center" vertical="center" wrapText="1"/>
    </xf>
    <xf numFmtId="0" fontId="25" fillId="22" borderId="15" xfId="0" applyFont="1" applyFill="1" applyBorder="1" applyAlignment="1">
      <alignment horizontal="center" vertical="center"/>
    </xf>
    <xf numFmtId="0" fontId="25" fillId="22" borderId="16" xfId="0" applyFont="1" applyFill="1" applyBorder="1" applyAlignment="1">
      <alignment horizontal="center" vertical="center"/>
    </xf>
    <xf numFmtId="0" fontId="25" fillId="22" borderId="47" xfId="0" applyFont="1" applyFill="1" applyBorder="1" applyAlignment="1">
      <alignment horizontal="center" vertical="center"/>
    </xf>
    <xf numFmtId="0" fontId="10" fillId="16" borderId="7" xfId="0" applyFont="1" applyFill="1" applyBorder="1" applyAlignment="1">
      <alignment horizontal="left" vertical="center" wrapText="1"/>
    </xf>
    <xf numFmtId="0" fontId="10" fillId="16" borderId="5" xfId="0" applyFont="1" applyFill="1" applyBorder="1" applyAlignment="1">
      <alignment horizontal="left" vertical="center" wrapText="1"/>
    </xf>
    <xf numFmtId="0" fontId="10" fillId="27" borderId="3" xfId="0" applyFont="1" applyFill="1" applyBorder="1" applyAlignment="1">
      <alignment horizontal="left" vertical="center" wrapText="1"/>
    </xf>
    <xf numFmtId="0" fontId="10" fillId="27" borderId="7" xfId="0" applyFont="1" applyFill="1" applyBorder="1" applyAlignment="1">
      <alignment horizontal="left" vertical="center" wrapText="1"/>
    </xf>
    <xf numFmtId="0" fontId="10" fillId="27" borderId="5" xfId="0" applyFont="1" applyFill="1" applyBorder="1" applyAlignment="1">
      <alignment horizontal="left" vertical="center" wrapText="1"/>
    </xf>
    <xf numFmtId="0" fontId="10" fillId="23" borderId="2" xfId="0" applyFont="1" applyFill="1" applyBorder="1" applyAlignment="1">
      <alignment horizontal="center" vertical="center" wrapText="1"/>
    </xf>
    <xf numFmtId="0" fontId="10" fillId="23" borderId="18" xfId="0" applyFont="1" applyFill="1" applyBorder="1" applyAlignment="1">
      <alignment horizontal="center" vertical="center" wrapText="1"/>
    </xf>
    <xf numFmtId="0" fontId="10" fillId="16" borderId="18" xfId="0" applyFont="1" applyFill="1" applyBorder="1" applyAlignment="1">
      <alignment horizontal="center" vertical="center" wrapText="1"/>
    </xf>
    <xf numFmtId="42" fontId="19" fillId="4" borderId="13" xfId="8" applyFont="1" applyFill="1" applyBorder="1" applyAlignment="1">
      <alignment horizontal="right"/>
    </xf>
    <xf numFmtId="166" fontId="3" fillId="0" borderId="2" xfId="7" applyNumberFormat="1" applyFont="1" applyFill="1" applyBorder="1" applyAlignment="1">
      <alignment horizontal="right" vertical="center" wrapText="1"/>
    </xf>
    <xf numFmtId="166" fontId="3" fillId="0" borderId="0" xfId="0" applyNumberFormat="1" applyFont="1" applyAlignment="1">
      <alignment horizontal="right"/>
    </xf>
    <xf numFmtId="166" fontId="2" fillId="16" borderId="5" xfId="0" applyNumberFormat="1" applyFont="1" applyFill="1" applyBorder="1" applyAlignment="1">
      <alignment horizontal="right" vertical="center" wrapText="1"/>
    </xf>
    <xf numFmtId="9" fontId="0" fillId="0" borderId="2" xfId="5" applyFont="1" applyBorder="1"/>
    <xf numFmtId="0" fontId="18" fillId="2" borderId="93" xfId="0" applyFont="1" applyFill="1" applyBorder="1" applyAlignment="1">
      <alignment horizontal="center" vertical="center" wrapText="1"/>
    </xf>
    <xf numFmtId="167" fontId="18" fillId="2" borderId="93" xfId="6" applyNumberFormat="1" applyFont="1" applyFill="1" applyBorder="1" applyAlignment="1">
      <alignment horizontal="center" vertical="center" wrapText="1"/>
    </xf>
    <xf numFmtId="170" fontId="18" fillId="2" borderId="93" xfId="7" applyNumberFormat="1" applyFont="1" applyFill="1" applyBorder="1" applyAlignment="1">
      <alignment horizontal="center" vertical="center" wrapText="1"/>
    </xf>
    <xf numFmtId="9" fontId="27" fillId="27" borderId="2" xfId="0" applyNumberFormat="1" applyFont="1" applyFill="1" applyBorder="1" applyAlignment="1">
      <alignment horizontal="justify" vertical="center" wrapText="1"/>
    </xf>
    <xf numFmtId="167" fontId="27" fillId="27" borderId="2" xfId="6" applyNumberFormat="1" applyFont="1" applyFill="1" applyBorder="1" applyAlignment="1">
      <alignment horizontal="justify" vertical="center" wrapText="1"/>
    </xf>
    <xf numFmtId="170" fontId="27" fillId="27" borderId="2" xfId="7" applyNumberFormat="1" applyFont="1" applyFill="1" applyBorder="1" applyAlignment="1">
      <alignment horizontal="justify" vertical="center" wrapText="1"/>
    </xf>
    <xf numFmtId="9" fontId="27" fillId="33" borderId="2" xfId="0" applyNumberFormat="1" applyFont="1" applyFill="1" applyBorder="1" applyAlignment="1">
      <alignment horizontal="justify" vertical="center" wrapText="1"/>
    </xf>
    <xf numFmtId="167" fontId="27" fillId="33" borderId="2" xfId="6" applyNumberFormat="1" applyFont="1" applyFill="1" applyBorder="1" applyAlignment="1">
      <alignment horizontal="justify" vertical="center" wrapText="1"/>
    </xf>
    <xf numFmtId="170" fontId="27" fillId="33" borderId="2" xfId="7" applyNumberFormat="1" applyFont="1" applyFill="1" applyBorder="1" applyAlignment="1">
      <alignment horizontal="justify"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18" fillId="2" borderId="93" xfId="6" applyNumberFormat="1" applyFont="1" applyFill="1" applyBorder="1" applyAlignment="1">
      <alignment horizontal="center" vertical="center" wrapText="1"/>
    </xf>
    <xf numFmtId="0" fontId="27" fillId="27" borderId="2" xfId="6" applyNumberFormat="1" applyFont="1" applyFill="1" applyBorder="1" applyAlignment="1">
      <alignment horizontal="center" vertical="center" wrapText="1"/>
    </xf>
    <xf numFmtId="0" fontId="27" fillId="33" borderId="2" xfId="6" applyNumberFormat="1" applyFont="1" applyFill="1" applyBorder="1" applyAlignment="1">
      <alignment horizontal="center" vertical="center" wrapText="1"/>
    </xf>
    <xf numFmtId="0" fontId="0" fillId="0" borderId="0" xfId="6" applyNumberFormat="1" applyFont="1" applyAlignment="1">
      <alignment horizontal="center"/>
    </xf>
    <xf numFmtId="0" fontId="0" fillId="0" borderId="0" xfId="0" pivotButton="1"/>
    <xf numFmtId="0" fontId="17" fillId="0" borderId="5" xfId="0" applyFont="1" applyBorder="1" applyAlignment="1">
      <alignment horizontal="center" vertical="center" wrapText="1"/>
    </xf>
    <xf numFmtId="0" fontId="0" fillId="0" borderId="35" xfId="0" applyBorder="1"/>
    <xf numFmtId="0" fontId="17" fillId="0" borderId="43" xfId="0" applyFont="1" applyBorder="1" applyAlignment="1">
      <alignment horizontal="center" vertical="center" wrapText="1"/>
    </xf>
    <xf numFmtId="0" fontId="0" fillId="0" borderId="1" xfId="0" applyBorder="1"/>
    <xf numFmtId="167" fontId="0" fillId="0" borderId="18" xfId="6" applyNumberFormat="1" applyFont="1" applyBorder="1"/>
    <xf numFmtId="0" fontId="16" fillId="0" borderId="19" xfId="0" applyFont="1" applyBorder="1"/>
    <xf numFmtId="0" fontId="17" fillId="0" borderId="20" xfId="0" applyFont="1" applyBorder="1" applyAlignment="1">
      <alignment horizontal="center"/>
    </xf>
    <xf numFmtId="167" fontId="16" fillId="0" borderId="20" xfId="6" applyNumberFormat="1" applyFont="1" applyBorder="1"/>
    <xf numFmtId="9" fontId="16" fillId="0" borderId="20" xfId="5" applyFont="1" applyBorder="1"/>
    <xf numFmtId="167" fontId="16" fillId="0" borderId="21" xfId="6" applyNumberFormat="1" applyFont="1" applyBorder="1"/>
    <xf numFmtId="167" fontId="32" fillId="0" borderId="3" xfId="6" applyNumberFormat="1" applyFont="1" applyBorder="1" applyAlignment="1">
      <alignment horizontal="center"/>
    </xf>
    <xf numFmtId="167" fontId="0" fillId="4" borderId="2" xfId="6" applyNumberFormat="1" applyFont="1" applyFill="1" applyBorder="1"/>
    <xf numFmtId="172" fontId="0" fillId="4" borderId="2" xfId="6" applyNumberFormat="1" applyFont="1" applyFill="1" applyBorder="1"/>
    <xf numFmtId="3" fontId="38" fillId="0" borderId="11" xfId="2" applyNumberFormat="1" applyFont="1" applyBorder="1" applyAlignment="1">
      <alignment horizontal="center" vertical="center" wrapText="1"/>
    </xf>
    <xf numFmtId="10" fontId="16" fillId="22" borderId="37" xfId="5" applyNumberFormat="1" applyFont="1" applyFill="1" applyBorder="1" applyAlignment="1">
      <alignment vertical="center"/>
    </xf>
    <xf numFmtId="174" fontId="0" fillId="0" borderId="0" xfId="0" applyNumberFormat="1"/>
    <xf numFmtId="1" fontId="3" fillId="0" borderId="0" xfId="0" applyNumberFormat="1" applyFont="1"/>
    <xf numFmtId="42" fontId="19" fillId="4" borderId="11" xfId="0" applyNumberFormat="1" applyFont="1" applyFill="1" applyBorder="1"/>
    <xf numFmtId="0" fontId="19" fillId="0" borderId="0" xfId="0" applyFont="1" applyAlignment="1">
      <alignment horizontal="right"/>
    </xf>
    <xf numFmtId="170" fontId="2" fillId="0" borderId="0" xfId="7" applyNumberFormat="1" applyFont="1"/>
    <xf numFmtId="0" fontId="2" fillId="0" borderId="2" xfId="0" applyFont="1" applyBorder="1" applyAlignment="1">
      <alignment horizontal="left" vertical="center" wrapText="1"/>
    </xf>
    <xf numFmtId="166" fontId="2" fillId="0" borderId="5" xfId="0" applyNumberFormat="1" applyFont="1" applyBorder="1" applyAlignment="1">
      <alignment horizontal="center" vertical="center" wrapText="1"/>
    </xf>
    <xf numFmtId="166" fontId="4" fillId="0" borderId="0" xfId="0" applyNumberFormat="1" applyFont="1"/>
    <xf numFmtId="0" fontId="2" fillId="0" borderId="2" xfId="0" applyFont="1" applyBorder="1" applyAlignment="1">
      <alignment horizontal="center" vertical="center" wrapText="1"/>
    </xf>
    <xf numFmtId="166" fontId="3" fillId="18" borderId="37"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justify" vertical="center" wrapText="1"/>
    </xf>
    <xf numFmtId="42" fontId="19" fillId="4" borderId="11" xfId="8" applyFont="1" applyFill="1" applyBorder="1" applyAlignment="1">
      <alignment horizontal="center" vertical="center"/>
    </xf>
    <xf numFmtId="0" fontId="2" fillId="0" borderId="6" xfId="0" applyFont="1" applyBorder="1" applyAlignment="1">
      <alignment horizontal="left" vertical="center" wrapText="1"/>
    </xf>
    <xf numFmtId="0" fontId="2" fillId="0" borderId="1" xfId="0" applyFont="1" applyBorder="1" applyAlignment="1" applyProtection="1">
      <alignment horizontal="justify" vertical="center" wrapText="1"/>
      <protection locked="0"/>
    </xf>
    <xf numFmtId="0" fontId="4" fillId="14" borderId="11" xfId="0" applyFont="1" applyFill="1" applyBorder="1"/>
    <xf numFmtId="0" fontId="4" fillId="14" borderId="12" xfId="0" applyFont="1" applyFill="1" applyBorder="1" applyAlignment="1">
      <alignment horizontal="center" vertical="center" wrapText="1"/>
    </xf>
    <xf numFmtId="0" fontId="4" fillId="14" borderId="11" xfId="0" applyFont="1" applyFill="1" applyBorder="1" applyAlignment="1">
      <alignment horizontal="center"/>
    </xf>
    <xf numFmtId="0" fontId="2" fillId="3" borderId="2" xfId="0" applyFont="1" applyFill="1" applyBorder="1" applyAlignment="1">
      <alignment horizontal="center" vertical="center" wrapText="1"/>
    </xf>
    <xf numFmtId="0" fontId="34" fillId="0" borderId="0" xfId="0" applyFont="1"/>
    <xf numFmtId="167" fontId="2" fillId="0" borderId="0" xfId="0" applyNumberFormat="1" applyFont="1"/>
    <xf numFmtId="43" fontId="19" fillId="0" borderId="0" xfId="6" applyFont="1"/>
    <xf numFmtId="0" fontId="4" fillId="14" borderId="53" xfId="0" applyFont="1" applyFill="1" applyBorder="1" applyAlignment="1">
      <alignment horizontal="center" vertical="center" wrapText="1"/>
    </xf>
    <xf numFmtId="0" fontId="2" fillId="0" borderId="20" xfId="0" applyFont="1" applyBorder="1" applyAlignment="1">
      <alignment horizontal="center" vertical="center"/>
    </xf>
    <xf numFmtId="0" fontId="2" fillId="16" borderId="17" xfId="0" applyFont="1" applyFill="1" applyBorder="1" applyAlignment="1">
      <alignment horizontal="justify" vertical="center" wrapText="1"/>
    </xf>
    <xf numFmtId="0" fontId="2" fillId="16" borderId="37" xfId="0" applyFont="1" applyFill="1" applyBorder="1" applyAlignment="1">
      <alignment horizontal="justify" vertical="center" wrapText="1"/>
    </xf>
    <xf numFmtId="0" fontId="2" fillId="16" borderId="37" xfId="0" applyFont="1" applyFill="1" applyBorder="1" applyAlignment="1">
      <alignment horizontal="center" vertical="center" wrapText="1"/>
    </xf>
    <xf numFmtId="0" fontId="2" fillId="0" borderId="0" xfId="0" applyFont="1" applyAlignment="1">
      <alignment horizontal="center"/>
    </xf>
    <xf numFmtId="166" fontId="2" fillId="0" borderId="2" xfId="0" applyNumberFormat="1" applyFont="1" applyBorder="1" applyAlignment="1">
      <alignment horizontal="center" vertical="center"/>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0" xfId="0" applyFont="1" applyFill="1"/>
    <xf numFmtId="49" fontId="2" fillId="16" borderId="8" xfId="0" applyNumberFormat="1" applyFont="1" applyFill="1" applyBorder="1"/>
    <xf numFmtId="0" fontId="2" fillId="3" borderId="20" xfId="0" applyFont="1" applyFill="1" applyBorder="1" applyAlignment="1">
      <alignment horizontal="center" vertical="center"/>
    </xf>
    <xf numFmtId="0" fontId="2" fillId="3" borderId="20" xfId="0" applyFont="1" applyFill="1" applyBorder="1" applyAlignment="1">
      <alignment horizontal="center" vertical="center" wrapText="1"/>
    </xf>
    <xf numFmtId="166" fontId="2" fillId="0" borderId="20" xfId="0" applyNumberFormat="1" applyFont="1" applyBorder="1" applyAlignment="1">
      <alignment horizontal="right" vertical="center" wrapText="1"/>
    </xf>
    <xf numFmtId="0" fontId="2" fillId="16" borderId="33" xfId="0" applyFont="1" applyFill="1" applyBorder="1" applyAlignment="1">
      <alignment horizontal="justify" vertical="center" wrapText="1"/>
    </xf>
    <xf numFmtId="0" fontId="2" fillId="16" borderId="34" xfId="0" applyFont="1" applyFill="1" applyBorder="1" applyAlignment="1">
      <alignment horizontal="justify" vertical="center" wrapText="1"/>
    </xf>
    <xf numFmtId="0" fontId="2" fillId="16" borderId="34" xfId="0" applyFont="1" applyFill="1" applyBorder="1" applyAlignment="1">
      <alignment horizontal="center" vertical="center" wrapText="1"/>
    </xf>
    <xf numFmtId="166" fontId="2" fillId="16" borderId="34" xfId="0" applyNumberFormat="1"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3" borderId="35" xfId="0" applyFont="1" applyFill="1" applyBorder="1" applyAlignment="1">
      <alignment horizontal="left" vertical="center" wrapText="1"/>
    </xf>
    <xf numFmtId="166" fontId="2" fillId="0" borderId="5" xfId="0" applyNumberFormat="1" applyFont="1" applyBorder="1" applyAlignment="1">
      <alignment horizontal="center" vertical="center"/>
    </xf>
    <xf numFmtId="166" fontId="2" fillId="15" borderId="37" xfId="0" applyNumberFormat="1" applyFont="1" applyFill="1" applyBorder="1" applyAlignment="1">
      <alignment horizontal="right" vertical="center" wrapText="1"/>
    </xf>
    <xf numFmtId="166" fontId="2" fillId="16" borderId="34" xfId="0" applyNumberFormat="1" applyFont="1" applyFill="1" applyBorder="1" applyAlignment="1">
      <alignment horizontal="right" vertical="center" wrapText="1"/>
    </xf>
    <xf numFmtId="166" fontId="2" fillId="16" borderId="42" xfId="0" applyNumberFormat="1" applyFont="1" applyFill="1" applyBorder="1" applyAlignment="1">
      <alignment horizontal="right" vertical="center" wrapText="1"/>
    </xf>
    <xf numFmtId="166" fontId="2" fillId="0" borderId="5" xfId="0" applyNumberFormat="1" applyFont="1" applyBorder="1" applyAlignment="1">
      <alignment horizontal="right" vertical="center" wrapText="1"/>
    </xf>
    <xf numFmtId="166" fontId="2" fillId="0" borderId="2" xfId="6" applyNumberFormat="1" applyFont="1" applyFill="1" applyBorder="1" applyAlignment="1">
      <alignment horizontal="right" vertical="center" wrapText="1"/>
    </xf>
    <xf numFmtId="166" fontId="2" fillId="0" borderId="20" xfId="6" applyNumberFormat="1" applyFont="1" applyFill="1" applyBorder="1" applyAlignment="1">
      <alignment horizontal="right" vertical="center" wrapText="1"/>
    </xf>
    <xf numFmtId="166" fontId="2" fillId="0" borderId="5" xfId="6" applyNumberFormat="1" applyFont="1" applyFill="1" applyBorder="1" applyAlignment="1">
      <alignment horizontal="right" vertical="center" wrapText="1"/>
    </xf>
    <xf numFmtId="166" fontId="2" fillId="16" borderId="34" xfId="0" applyNumberFormat="1" applyFont="1" applyFill="1" applyBorder="1" applyAlignment="1">
      <alignment horizontal="justify" vertical="center" wrapText="1"/>
    </xf>
    <xf numFmtId="166" fontId="2" fillId="0" borderId="35" xfId="0" applyNumberFormat="1" applyFont="1" applyBorder="1" applyAlignment="1">
      <alignment horizontal="justify" vertical="center" wrapText="1"/>
    </xf>
    <xf numFmtId="166" fontId="2" fillId="16" borderId="34" xfId="8" applyNumberFormat="1" applyFont="1" applyFill="1" applyBorder="1" applyAlignment="1">
      <alignment horizontal="right" vertical="center" wrapText="1"/>
    </xf>
    <xf numFmtId="166" fontId="2" fillId="18" borderId="33" xfId="0" applyNumberFormat="1" applyFont="1" applyFill="1" applyBorder="1" applyAlignment="1">
      <alignment horizontal="justify" vertical="center" wrapText="1"/>
    </xf>
    <xf numFmtId="166" fontId="2" fillId="18" borderId="34" xfId="0" applyNumberFormat="1" applyFont="1" applyFill="1" applyBorder="1" applyAlignment="1">
      <alignment horizontal="justify" vertical="center" wrapText="1"/>
    </xf>
    <xf numFmtId="166" fontId="2" fillId="18" borderId="34" xfId="0" applyNumberFormat="1" applyFont="1" applyFill="1" applyBorder="1" applyAlignment="1">
      <alignment horizontal="center" vertical="center" wrapText="1"/>
    </xf>
    <xf numFmtId="166" fontId="2" fillId="0" borderId="34" xfId="7" applyNumberFormat="1" applyFont="1" applyFill="1" applyBorder="1" applyAlignment="1">
      <alignment horizontal="right" vertical="center" wrapText="1"/>
    </xf>
    <xf numFmtId="166" fontId="2" fillId="15" borderId="37" xfId="8" applyNumberFormat="1" applyFont="1" applyFill="1" applyBorder="1" applyAlignment="1">
      <alignment horizontal="right" vertical="center"/>
    </xf>
    <xf numFmtId="166" fontId="2" fillId="15" borderId="38" xfId="8" applyNumberFormat="1" applyFont="1" applyFill="1" applyBorder="1" applyAlignment="1">
      <alignment horizontal="right" vertical="center"/>
    </xf>
    <xf numFmtId="0" fontId="19" fillId="14" borderId="65" xfId="0" applyFont="1" applyFill="1" applyBorder="1" applyAlignment="1">
      <alignment horizontal="left" vertical="center" wrapText="1"/>
    </xf>
    <xf numFmtId="0" fontId="19" fillId="14" borderId="66" xfId="0" applyFont="1" applyFill="1" applyBorder="1" applyAlignment="1">
      <alignment horizontal="left" vertical="center" wrapText="1"/>
    </xf>
    <xf numFmtId="0" fontId="19" fillId="14" borderId="67" xfId="0" applyFont="1" applyFill="1" applyBorder="1" applyAlignment="1">
      <alignment horizontal="left" vertical="center" wrapText="1"/>
    </xf>
    <xf numFmtId="171" fontId="3" fillId="0" borderId="0" xfId="0" applyNumberFormat="1" applyFont="1" applyAlignment="1">
      <alignment horizontal="center" vertical="center"/>
    </xf>
    <xf numFmtId="166" fontId="3" fillId="0" borderId="5" xfId="0" applyNumberFormat="1" applyFont="1" applyBorder="1" applyAlignment="1">
      <alignment horizontal="right" vertical="center"/>
    </xf>
    <xf numFmtId="166" fontId="2" fillId="16" borderId="34" xfId="7" applyNumberFormat="1" applyFont="1" applyFill="1" applyBorder="1" applyAlignment="1">
      <alignment horizontal="right" vertical="center" wrapText="1"/>
    </xf>
    <xf numFmtId="166" fontId="2" fillId="16" borderId="42" xfId="7" applyNumberFormat="1" applyFont="1" applyFill="1" applyBorder="1" applyAlignment="1">
      <alignment horizontal="right" vertical="center" wrapText="1"/>
    </xf>
    <xf numFmtId="166" fontId="3" fillId="0" borderId="34" xfId="0" applyNumberFormat="1" applyFont="1" applyBorder="1" applyAlignment="1">
      <alignment horizontal="right" vertical="center"/>
    </xf>
    <xf numFmtId="166" fontId="19" fillId="14" borderId="37" xfId="0" applyNumberFormat="1" applyFont="1" applyFill="1" applyBorder="1" applyAlignment="1">
      <alignment horizontal="right" vertical="center" wrapText="1"/>
    </xf>
    <xf numFmtId="167" fontId="4" fillId="14" borderId="38" xfId="0" applyNumberFormat="1" applyFont="1" applyFill="1" applyBorder="1" applyAlignment="1">
      <alignment horizontal="right"/>
    </xf>
    <xf numFmtId="166" fontId="4" fillId="14" borderId="71" xfId="0" applyNumberFormat="1" applyFont="1" applyFill="1" applyBorder="1" applyAlignment="1">
      <alignment horizontal="right"/>
    </xf>
    <xf numFmtId="166" fontId="4" fillId="4" borderId="17" xfId="6" applyNumberFormat="1" applyFont="1" applyFill="1" applyBorder="1" applyAlignment="1">
      <alignment horizontal="right"/>
    </xf>
    <xf numFmtId="166" fontId="4" fillId="4" borderId="37" xfId="6" applyNumberFormat="1" applyFont="1" applyFill="1" applyBorder="1" applyAlignment="1">
      <alignment horizontal="right"/>
    </xf>
    <xf numFmtId="166" fontId="4" fillId="4" borderId="38" xfId="6" applyNumberFormat="1" applyFont="1" applyFill="1" applyBorder="1" applyAlignment="1">
      <alignment horizontal="right"/>
    </xf>
    <xf numFmtId="166" fontId="4" fillId="4" borderId="71" xfId="6" applyNumberFormat="1" applyFont="1" applyFill="1" applyBorder="1" applyAlignment="1">
      <alignment horizontal="right"/>
    </xf>
    <xf numFmtId="167" fontId="3" fillId="0" borderId="0" xfId="0" applyNumberFormat="1" applyFont="1" applyAlignment="1">
      <alignment horizontal="right"/>
    </xf>
    <xf numFmtId="9" fontId="3" fillId="0" borderId="0" xfId="5" applyFont="1"/>
    <xf numFmtId="43" fontId="3" fillId="0" borderId="0" xfId="6" applyFont="1" applyAlignment="1">
      <alignment horizontal="left" vertical="center"/>
    </xf>
    <xf numFmtId="43" fontId="3" fillId="0" borderId="0" xfId="6" applyFont="1"/>
    <xf numFmtId="0" fontId="2" fillId="3" borderId="0" xfId="0" applyFont="1" applyFill="1"/>
    <xf numFmtId="171" fontId="3" fillId="0" borderId="0" xfId="7" applyNumberFormat="1" applyFont="1" applyAlignment="1">
      <alignment horizontal="center" vertical="center"/>
    </xf>
    <xf numFmtId="171" fontId="3" fillId="0" borderId="0" xfId="0" applyNumberFormat="1" applyFont="1"/>
    <xf numFmtId="166" fontId="2" fillId="18" borderId="34" xfId="7" applyNumberFormat="1" applyFont="1" applyFill="1" applyBorder="1" applyAlignment="1">
      <alignment horizontal="right" vertical="center" wrapText="1"/>
    </xf>
    <xf numFmtId="166" fontId="2" fillId="0" borderId="5" xfId="7" applyNumberFormat="1" applyFont="1" applyFill="1" applyBorder="1" applyAlignment="1">
      <alignment horizontal="right" vertical="center" wrapText="1"/>
    </xf>
    <xf numFmtId="170" fontId="3" fillId="0" borderId="0" xfId="0" applyNumberFormat="1" applyFont="1" applyAlignment="1">
      <alignment horizontal="right"/>
    </xf>
    <xf numFmtId="42" fontId="4" fillId="4" borderId="37" xfId="0" applyNumberFormat="1" applyFont="1" applyFill="1" applyBorder="1" applyAlignment="1">
      <alignment horizontal="center" vertical="center"/>
    </xf>
    <xf numFmtId="170" fontId="4" fillId="4" borderId="37" xfId="0" applyNumberFormat="1" applyFont="1" applyFill="1" applyBorder="1" applyAlignment="1">
      <alignment horizontal="center" vertical="center"/>
    </xf>
    <xf numFmtId="42" fontId="3" fillId="0" borderId="0" xfId="0" applyNumberFormat="1" applyFont="1" applyAlignment="1">
      <alignment horizontal="right"/>
    </xf>
    <xf numFmtId="42" fontId="3" fillId="0" borderId="0" xfId="0" applyNumberFormat="1" applyFont="1"/>
    <xf numFmtId="44" fontId="3" fillId="0" borderId="0" xfId="0" applyNumberFormat="1" applyFont="1" applyAlignment="1">
      <alignment horizontal="right"/>
    </xf>
    <xf numFmtId="42" fontId="3" fillId="4" borderId="0" xfId="0" applyNumberFormat="1" applyFont="1" applyFill="1"/>
    <xf numFmtId="42" fontId="4" fillId="0" borderId="0" xfId="0" applyNumberFormat="1" applyFont="1"/>
    <xf numFmtId="166" fontId="2" fillId="5" borderId="37" xfId="0" applyNumberFormat="1" applyFont="1" applyFill="1" applyBorder="1" applyAlignment="1">
      <alignment horizontal="right" vertical="center" wrapText="1"/>
    </xf>
    <xf numFmtId="166" fontId="2" fillId="0" borderId="45" xfId="0" applyNumberFormat="1" applyFont="1" applyBorder="1" applyAlignment="1">
      <alignment horizontal="right" vertical="center" wrapText="1"/>
    </xf>
    <xf numFmtId="0" fontId="3" fillId="18" borderId="17" xfId="0" applyFont="1" applyFill="1" applyBorder="1" applyAlignment="1">
      <alignment horizontal="justify" vertical="center" wrapText="1"/>
    </xf>
    <xf numFmtId="0" fontId="4" fillId="14" borderId="36" xfId="0" applyFont="1" applyFill="1" applyBorder="1" applyAlignment="1">
      <alignment horizontal="center" vertical="center"/>
    </xf>
    <xf numFmtId="166" fontId="4" fillId="14" borderId="37" xfId="0" applyNumberFormat="1" applyFont="1" applyFill="1" applyBorder="1" applyAlignment="1">
      <alignment horizontal="right" vertical="center"/>
    </xf>
    <xf numFmtId="166" fontId="4" fillId="14" borderId="38" xfId="0" applyNumberFormat="1" applyFont="1" applyFill="1" applyBorder="1" applyAlignment="1">
      <alignment horizontal="right" vertical="center"/>
    </xf>
    <xf numFmtId="0" fontId="3" fillId="0" borderId="0" xfId="0" applyFont="1" applyAlignment="1">
      <alignment horizontal="right" vertical="center"/>
    </xf>
    <xf numFmtId="166" fontId="4" fillId="4" borderId="37" xfId="0" applyNumberFormat="1" applyFont="1" applyFill="1" applyBorder="1" applyAlignment="1">
      <alignment horizontal="right"/>
    </xf>
    <xf numFmtId="0" fontId="3" fillId="0" borderId="35" xfId="0" applyFont="1" applyBorder="1" applyAlignment="1">
      <alignment horizontal="justify" vertical="center" wrapText="1"/>
    </xf>
    <xf numFmtId="166" fontId="3" fillId="0" borderId="20" xfId="0" applyNumberFormat="1" applyFont="1" applyBorder="1" applyAlignment="1">
      <alignment horizontal="right" vertical="center"/>
    </xf>
    <xf numFmtId="166" fontId="2" fillId="16" borderId="37" xfId="0" applyNumberFormat="1" applyFont="1" applyFill="1" applyBorder="1" applyAlignment="1">
      <alignment horizontal="right" vertical="center" wrapText="1"/>
    </xf>
    <xf numFmtId="166" fontId="2" fillId="16" borderId="38" xfId="0" applyNumberFormat="1" applyFont="1" applyFill="1" applyBorder="1" applyAlignment="1">
      <alignment horizontal="right" vertical="center" wrapText="1"/>
    </xf>
    <xf numFmtId="0" fontId="3" fillId="0" borderId="33" xfId="0" applyFont="1" applyBorder="1" applyAlignment="1">
      <alignment horizontal="justify" vertical="center" wrapText="1"/>
    </xf>
    <xf numFmtId="166" fontId="3" fillId="0" borderId="34" xfId="0" applyNumberFormat="1" applyFont="1" applyBorder="1" applyAlignment="1">
      <alignment horizontal="right" vertical="center" wrapText="1"/>
    </xf>
    <xf numFmtId="166" fontId="2" fillId="0" borderId="0" xfId="8" applyNumberFormat="1" applyFont="1" applyAlignment="1">
      <alignment horizontal="right"/>
    </xf>
    <xf numFmtId="166" fontId="19" fillId="4" borderId="17" xfId="8" applyNumberFormat="1" applyFont="1" applyFill="1" applyBorder="1" applyAlignment="1">
      <alignment horizontal="right"/>
    </xf>
    <xf numFmtId="166" fontId="2" fillId="0" borderId="2" xfId="8" applyNumberFormat="1" applyFont="1" applyFill="1" applyBorder="1" applyAlignment="1">
      <alignment horizontal="right" vertical="center" wrapText="1"/>
    </xf>
    <xf numFmtId="166" fontId="2" fillId="0" borderId="2" xfId="7" applyNumberFormat="1" applyFont="1" applyFill="1" applyBorder="1" applyAlignment="1">
      <alignment horizontal="right" vertical="center" wrapText="1"/>
    </xf>
    <xf numFmtId="166" fontId="2" fillId="0" borderId="5" xfId="8" applyNumberFormat="1" applyFont="1" applyFill="1" applyBorder="1" applyAlignment="1">
      <alignment horizontal="right" vertical="center" wrapText="1"/>
    </xf>
    <xf numFmtId="164" fontId="2" fillId="0" borderId="0" xfId="0" applyNumberFormat="1" applyFont="1"/>
    <xf numFmtId="166" fontId="19" fillId="14" borderId="17" xfId="8" applyNumberFormat="1" applyFont="1" applyFill="1" applyBorder="1" applyAlignment="1">
      <alignment horizontal="right" vertical="center" wrapText="1"/>
    </xf>
    <xf numFmtId="166" fontId="19" fillId="4" borderId="11" xfId="8" applyNumberFormat="1" applyFont="1" applyFill="1" applyBorder="1" applyAlignment="1">
      <alignment horizontal="center" vertical="center"/>
    </xf>
    <xf numFmtId="49" fontId="19" fillId="16" borderId="8" xfId="0" applyNumberFormat="1" applyFont="1" applyFill="1" applyBorder="1" applyAlignment="1">
      <alignment horizontal="center" vertical="center" wrapText="1"/>
    </xf>
    <xf numFmtId="166" fontId="2" fillId="0" borderId="18" xfId="6" applyNumberFormat="1" applyFont="1" applyFill="1" applyBorder="1" applyAlignment="1">
      <alignment horizontal="right" vertical="center" wrapText="1"/>
    </xf>
    <xf numFmtId="166" fontId="2" fillId="0" borderId="18" xfId="0" applyNumberFormat="1" applyFont="1" applyBorder="1" applyAlignment="1">
      <alignment horizontal="right" vertical="center" wrapText="1"/>
    </xf>
    <xf numFmtId="0" fontId="2" fillId="0" borderId="0" xfId="0" applyFont="1" applyAlignment="1">
      <alignment vertical="center"/>
    </xf>
    <xf numFmtId="0" fontId="4" fillId="14" borderId="50" xfId="0" applyFont="1" applyFill="1" applyBorder="1" applyAlignment="1">
      <alignment horizontal="center" vertical="center" wrapText="1"/>
    </xf>
    <xf numFmtId="0" fontId="16" fillId="14" borderId="0" xfId="0" applyFont="1" applyFill="1" applyAlignment="1">
      <alignment horizontal="center" vertical="center"/>
    </xf>
    <xf numFmtId="0" fontId="19" fillId="14" borderId="50" xfId="0" applyFont="1" applyFill="1" applyBorder="1" applyAlignment="1">
      <alignment horizontal="center" vertical="center" wrapText="1"/>
    </xf>
    <xf numFmtId="0" fontId="16" fillId="14" borderId="14" xfId="0" applyFont="1" applyFill="1" applyBorder="1" applyAlignment="1">
      <alignment horizontal="center" vertical="center"/>
    </xf>
    <xf numFmtId="0" fontId="16" fillId="14" borderId="48" xfId="0" applyFont="1" applyFill="1" applyBorder="1" applyAlignment="1">
      <alignment horizontal="center" vertical="center"/>
    </xf>
    <xf numFmtId="0" fontId="16" fillId="14" borderId="11" xfId="0" applyFont="1" applyFill="1" applyBorder="1" applyAlignment="1">
      <alignment horizontal="center" vertical="center" wrapText="1"/>
    </xf>
    <xf numFmtId="166" fontId="2" fillId="16" borderId="2" xfId="0" applyNumberFormat="1" applyFont="1" applyFill="1" applyBorder="1" applyAlignment="1">
      <alignment horizontal="right" vertical="center" wrapText="1"/>
    </xf>
    <xf numFmtId="166" fontId="2" fillId="3" borderId="2" xfId="0" applyNumberFormat="1" applyFont="1" applyFill="1" applyBorder="1" applyAlignment="1">
      <alignment horizontal="right" vertical="center" wrapText="1"/>
    </xf>
    <xf numFmtId="0" fontId="2" fillId="18" borderId="33" xfId="0" applyFont="1" applyFill="1" applyBorder="1" applyAlignment="1">
      <alignment horizontal="justify" vertical="center"/>
    </xf>
    <xf numFmtId="0" fontId="2" fillId="16" borderId="25" xfId="0" applyFont="1" applyFill="1" applyBorder="1" applyAlignment="1">
      <alignment horizontal="center" vertical="center" wrapText="1"/>
    </xf>
    <xf numFmtId="166" fontId="2" fillId="3" borderId="2" xfId="0" applyNumberFormat="1" applyFont="1" applyFill="1" applyBorder="1" applyAlignment="1">
      <alignment horizontal="right" vertical="center"/>
    </xf>
    <xf numFmtId="166" fontId="2" fillId="16" borderId="25" xfId="0" applyNumberFormat="1" applyFont="1" applyFill="1" applyBorder="1" applyAlignment="1">
      <alignment horizontal="right" vertical="center" wrapText="1"/>
    </xf>
    <xf numFmtId="0" fontId="2" fillId="16" borderId="25" xfId="0" applyFont="1" applyFill="1" applyBorder="1" applyAlignment="1">
      <alignment horizontal="justify" vertical="center" wrapText="1"/>
    </xf>
    <xf numFmtId="49" fontId="2" fillId="0" borderId="2" xfId="0" applyNumberFormat="1" applyFont="1" applyBorder="1" applyAlignment="1">
      <alignment horizontal="center" vertical="center" wrapText="1"/>
    </xf>
    <xf numFmtId="0" fontId="28" fillId="14" borderId="11" xfId="0" applyFont="1" applyFill="1" applyBorder="1" applyAlignment="1">
      <alignment horizontal="center" vertical="center" wrapText="1"/>
    </xf>
    <xf numFmtId="0" fontId="2" fillId="15" borderId="12" xfId="0" applyFont="1" applyFill="1" applyBorder="1" applyAlignment="1">
      <alignment horizontal="justify" vertical="center"/>
    </xf>
    <xf numFmtId="0" fontId="2" fillId="18" borderId="12" xfId="0" applyFont="1" applyFill="1" applyBorder="1" applyAlignment="1">
      <alignment horizontal="justify" vertical="center" wrapText="1"/>
    </xf>
    <xf numFmtId="0" fontId="2" fillId="18" borderId="33" xfId="2" applyFill="1" applyBorder="1" applyAlignment="1">
      <alignment horizontal="justify" vertical="center"/>
    </xf>
    <xf numFmtId="0" fontId="2" fillId="0" borderId="19" xfId="2" applyBorder="1" applyAlignment="1">
      <alignment horizontal="justify" vertical="center"/>
    </xf>
    <xf numFmtId="166" fontId="4" fillId="14" borderId="11" xfId="0" applyNumberFormat="1" applyFont="1" applyFill="1" applyBorder="1" applyAlignment="1">
      <alignment horizontal="center" vertical="center"/>
    </xf>
    <xf numFmtId="166" fontId="2" fillId="16" borderId="5" xfId="0" applyNumberFormat="1" applyFont="1" applyFill="1" applyBorder="1" applyAlignment="1">
      <alignment horizontal="justify" vertical="center" wrapText="1"/>
    </xf>
    <xf numFmtId="166" fontId="3" fillId="18" borderId="37" xfId="0" applyNumberFormat="1" applyFont="1" applyFill="1" applyBorder="1" applyAlignment="1">
      <alignment horizontal="right" vertical="center" wrapText="1"/>
    </xf>
    <xf numFmtId="166" fontId="3" fillId="18" borderId="38" xfId="0" applyNumberFormat="1" applyFont="1" applyFill="1" applyBorder="1" applyAlignment="1">
      <alignment horizontal="right" vertical="center" wrapText="1"/>
    </xf>
    <xf numFmtId="166" fontId="3" fillId="0" borderId="5" xfId="3" applyNumberFormat="1" applyFont="1" applyFill="1" applyBorder="1" applyAlignment="1">
      <alignment horizontal="right" vertical="center"/>
    </xf>
    <xf numFmtId="166" fontId="3" fillId="0" borderId="43" xfId="3" applyNumberFormat="1" applyFont="1" applyFill="1" applyBorder="1" applyAlignment="1">
      <alignment horizontal="right" vertical="center"/>
    </xf>
    <xf numFmtId="166" fontId="2" fillId="0" borderId="2" xfId="3" applyNumberFormat="1" applyFont="1" applyFill="1" applyBorder="1" applyAlignment="1">
      <alignment horizontal="right" vertical="center"/>
    </xf>
    <xf numFmtId="166" fontId="2" fillId="0" borderId="18" xfId="3" applyNumberFormat="1" applyFont="1" applyFill="1" applyBorder="1" applyAlignment="1">
      <alignment horizontal="right" vertical="center"/>
    </xf>
    <xf numFmtId="166" fontId="4" fillId="14" borderId="34" xfId="0" applyNumberFormat="1" applyFont="1" applyFill="1" applyBorder="1" applyAlignment="1">
      <alignment horizontal="right" vertical="center"/>
    </xf>
    <xf numFmtId="166" fontId="0" fillId="26" borderId="7" xfId="0" applyNumberFormat="1" applyFill="1" applyBorder="1" applyAlignment="1">
      <alignment horizontal="right" wrapText="1"/>
    </xf>
    <xf numFmtId="166" fontId="16" fillId="14" borderId="37" xfId="0" applyNumberFormat="1" applyFont="1" applyFill="1" applyBorder="1" applyAlignment="1">
      <alignment horizontal="right" vertical="center" wrapText="1"/>
    </xf>
    <xf numFmtId="166" fontId="3" fillId="0" borderId="5" xfId="1" applyNumberFormat="1" applyFont="1" applyFill="1" applyBorder="1" applyAlignment="1">
      <alignment horizontal="right" vertical="center"/>
    </xf>
    <xf numFmtId="166" fontId="3" fillId="0" borderId="43" xfId="1" applyNumberFormat="1" applyFont="1" applyFill="1" applyBorder="1" applyAlignment="1">
      <alignment horizontal="right" vertical="center"/>
    </xf>
    <xf numFmtId="166" fontId="3" fillId="0" borderId="2" xfId="1" applyNumberFormat="1" applyFont="1" applyFill="1" applyBorder="1" applyAlignment="1">
      <alignment horizontal="right" vertical="center"/>
    </xf>
    <xf numFmtId="166" fontId="3" fillId="0" borderId="18" xfId="1" applyNumberFormat="1" applyFont="1" applyFill="1" applyBorder="1" applyAlignment="1">
      <alignment horizontal="right" vertical="center"/>
    </xf>
    <xf numFmtId="166" fontId="16" fillId="14" borderId="34" xfId="0" applyNumberFormat="1" applyFont="1" applyFill="1" applyBorder="1" applyAlignment="1">
      <alignment horizontal="right"/>
    </xf>
    <xf numFmtId="166" fontId="16" fillId="14" borderId="42" xfId="0" applyNumberFormat="1" applyFont="1" applyFill="1" applyBorder="1" applyAlignment="1">
      <alignment horizontal="right"/>
    </xf>
    <xf numFmtId="166" fontId="16" fillId="14" borderId="82" xfId="0" applyNumberFormat="1" applyFont="1" applyFill="1" applyBorder="1" applyAlignment="1">
      <alignment horizontal="right"/>
    </xf>
    <xf numFmtId="166" fontId="2" fillId="15" borderId="38" xfId="8" applyNumberFormat="1" applyFont="1" applyFill="1" applyBorder="1" applyAlignment="1">
      <alignment vertical="center"/>
    </xf>
    <xf numFmtId="166" fontId="2" fillId="0" borderId="5" xfId="7" applyNumberFormat="1" applyFont="1" applyFill="1" applyBorder="1" applyAlignment="1"/>
    <xf numFmtId="166" fontId="2" fillId="0" borderId="43" xfId="7" applyNumberFormat="1" applyFont="1" applyFill="1" applyBorder="1" applyAlignment="1"/>
    <xf numFmtId="166" fontId="2" fillId="0" borderId="2" xfId="7" applyNumberFormat="1" applyFont="1" applyFill="1" applyBorder="1" applyAlignment="1"/>
    <xf numFmtId="166" fontId="2" fillId="0" borderId="18" xfId="7" applyNumberFormat="1" applyFont="1" applyFill="1" applyBorder="1" applyAlignment="1"/>
    <xf numFmtId="166" fontId="2" fillId="16" borderId="34" xfId="8" applyNumberFormat="1" applyFont="1" applyFill="1" applyBorder="1" applyAlignment="1">
      <alignment vertical="center" wrapText="1"/>
    </xf>
    <xf numFmtId="166" fontId="2" fillId="16" borderId="42" xfId="8" applyNumberFormat="1" applyFont="1" applyFill="1" applyBorder="1" applyAlignment="1">
      <alignment vertical="center" wrapText="1"/>
    </xf>
    <xf numFmtId="166" fontId="19" fillId="14" borderId="34" xfId="8" applyNumberFormat="1" applyFont="1" applyFill="1" applyBorder="1" applyAlignment="1"/>
    <xf numFmtId="166" fontId="19" fillId="14" borderId="42" xfId="8" applyNumberFormat="1" applyFont="1" applyFill="1" applyBorder="1" applyAlignment="1"/>
    <xf numFmtId="166" fontId="3" fillId="15" borderId="37" xfId="1" applyNumberFormat="1" applyFont="1" applyFill="1" applyBorder="1" applyAlignment="1">
      <alignment horizontal="right" vertical="center"/>
    </xf>
    <xf numFmtId="166" fontId="0" fillId="0" borderId="5" xfId="0" applyNumberFormat="1" applyBorder="1" applyAlignment="1">
      <alignment horizontal="right" vertical="center"/>
    </xf>
    <xf numFmtId="166" fontId="0" fillId="0" borderId="43" xfId="0" applyNumberFormat="1" applyBorder="1" applyAlignment="1">
      <alignment horizontal="right" vertical="center"/>
    </xf>
    <xf numFmtId="166" fontId="0" fillId="0" borderId="20" xfId="0" applyNumberFormat="1" applyBorder="1" applyAlignment="1">
      <alignment horizontal="right" vertical="center"/>
    </xf>
    <xf numFmtId="166" fontId="0" fillId="0" borderId="21" xfId="0" applyNumberFormat="1" applyBorder="1" applyAlignment="1">
      <alignment horizontal="right" vertical="center"/>
    </xf>
    <xf numFmtId="166" fontId="3" fillId="18" borderId="34" xfId="0" applyNumberFormat="1" applyFont="1" applyFill="1" applyBorder="1" applyAlignment="1">
      <alignment horizontal="right" vertical="center"/>
    </xf>
    <xf numFmtId="166" fontId="16" fillId="14" borderId="34" xfId="0" applyNumberFormat="1" applyFont="1" applyFill="1" applyBorder="1" applyAlignment="1">
      <alignment horizontal="right" vertical="center"/>
    </xf>
    <xf numFmtId="166" fontId="2" fillId="15" borderId="38" xfId="0" applyNumberFormat="1" applyFont="1" applyFill="1" applyBorder="1" applyAlignment="1">
      <alignment horizontal="right" vertical="center" wrapText="1"/>
    </xf>
    <xf numFmtId="166" fontId="2" fillId="3" borderId="5" xfId="7" applyNumberFormat="1" applyFont="1" applyFill="1" applyBorder="1" applyAlignment="1">
      <alignment horizontal="right" vertical="center" wrapText="1"/>
    </xf>
    <xf numFmtId="166" fontId="2" fillId="0" borderId="43" xfId="0" applyNumberFormat="1" applyFont="1" applyBorder="1" applyAlignment="1">
      <alignment horizontal="right" vertical="center"/>
    </xf>
    <xf numFmtId="166" fontId="2" fillId="0" borderId="2" xfId="0" applyNumberFormat="1" applyFont="1" applyBorder="1" applyAlignment="1">
      <alignment horizontal="right" vertical="center"/>
    </xf>
    <xf numFmtId="166" fontId="2" fillId="3" borderId="2" xfId="7" applyNumberFormat="1" applyFont="1" applyFill="1" applyBorder="1" applyAlignment="1">
      <alignment horizontal="right" vertical="center" wrapText="1"/>
    </xf>
    <xf numFmtId="166" fontId="2" fillId="3" borderId="20" xfId="7" applyNumberFormat="1" applyFont="1" applyFill="1" applyBorder="1" applyAlignment="1">
      <alignment horizontal="right" vertical="center" wrapText="1"/>
    </xf>
    <xf numFmtId="166" fontId="2" fillId="0" borderId="20" xfId="0" applyNumberFormat="1" applyFont="1" applyBorder="1" applyAlignment="1">
      <alignment horizontal="right" vertical="center"/>
    </xf>
    <xf numFmtId="166" fontId="2" fillId="0" borderId="21" xfId="0" applyNumberFormat="1" applyFont="1" applyBorder="1" applyAlignment="1">
      <alignment horizontal="right" vertical="center"/>
    </xf>
    <xf numFmtId="166" fontId="2" fillId="0" borderId="20" xfId="7" applyNumberFormat="1" applyFont="1" applyFill="1" applyBorder="1" applyAlignment="1">
      <alignment horizontal="right" vertical="center" wrapText="1"/>
    </xf>
    <xf numFmtId="166" fontId="2" fillId="16" borderId="34" xfId="0" applyNumberFormat="1" applyFont="1" applyFill="1" applyBorder="1" applyAlignment="1">
      <alignment horizontal="right" vertical="center"/>
    </xf>
    <xf numFmtId="166" fontId="2" fillId="16" borderId="42" xfId="0" applyNumberFormat="1" applyFont="1" applyFill="1" applyBorder="1" applyAlignment="1">
      <alignment horizontal="right" vertical="center"/>
    </xf>
    <xf numFmtId="166" fontId="2" fillId="3" borderId="5" xfId="0" applyNumberFormat="1" applyFont="1" applyFill="1" applyBorder="1" applyAlignment="1">
      <alignment horizontal="right" vertical="center" wrapText="1"/>
    </xf>
    <xf numFmtId="166" fontId="2" fillId="3" borderId="20" xfId="0" applyNumberFormat="1" applyFont="1" applyFill="1" applyBorder="1" applyAlignment="1">
      <alignment horizontal="right" vertical="center" wrapText="1"/>
    </xf>
    <xf numFmtId="166" fontId="2" fillId="0" borderId="20" xfId="7" applyNumberFormat="1" applyFont="1" applyBorder="1" applyAlignment="1">
      <alignment horizontal="right" vertical="center" wrapText="1"/>
    </xf>
    <xf numFmtId="166" fontId="2" fillId="0" borderId="20" xfId="7" applyNumberFormat="1" applyFont="1" applyBorder="1" applyAlignment="1">
      <alignment horizontal="right"/>
    </xf>
    <xf numFmtId="166" fontId="2" fillId="0" borderId="20" xfId="0" applyNumberFormat="1" applyFont="1" applyBorder="1" applyAlignment="1">
      <alignment horizontal="right"/>
    </xf>
    <xf numFmtId="166" fontId="4" fillId="14" borderId="42" xfId="6" applyNumberFormat="1" applyFont="1" applyFill="1" applyBorder="1" applyAlignment="1">
      <alignment horizontal="right" vertical="center"/>
    </xf>
    <xf numFmtId="166" fontId="4" fillId="14" borderId="20" xfId="0" applyNumberFormat="1" applyFont="1" applyFill="1" applyBorder="1" applyAlignment="1">
      <alignment horizontal="center" vertical="center"/>
    </xf>
    <xf numFmtId="166" fontId="4" fillId="14" borderId="20" xfId="0" applyNumberFormat="1" applyFont="1" applyFill="1" applyBorder="1" applyAlignment="1">
      <alignment horizontal="right" vertical="center"/>
    </xf>
    <xf numFmtId="166" fontId="4" fillId="14" borderId="21" xfId="0" applyNumberFormat="1" applyFont="1" applyFill="1" applyBorder="1" applyAlignment="1">
      <alignment horizontal="right" vertical="center"/>
    </xf>
    <xf numFmtId="166" fontId="2" fillId="17" borderId="46" xfId="2" applyNumberFormat="1" applyFill="1" applyBorder="1" applyAlignment="1">
      <alignment horizontal="justify" vertical="center"/>
    </xf>
    <xf numFmtId="166" fontId="2" fillId="17" borderId="52" xfId="2" applyNumberFormat="1" applyFill="1" applyBorder="1" applyAlignment="1">
      <alignment horizontal="justify" vertical="center"/>
    </xf>
    <xf numFmtId="166" fontId="2" fillId="17" borderId="52" xfId="2" applyNumberFormat="1" applyFill="1" applyBorder="1" applyAlignment="1">
      <alignment horizontal="center" vertical="center"/>
    </xf>
    <xf numFmtId="166" fontId="2" fillId="17" borderId="52" xfId="2" applyNumberFormat="1" applyFill="1" applyBorder="1" applyAlignment="1">
      <alignment horizontal="right" vertical="center"/>
    </xf>
    <xf numFmtId="166" fontId="2" fillId="17" borderId="40" xfId="2" applyNumberFormat="1" applyFill="1" applyBorder="1" applyAlignment="1">
      <alignment horizontal="right" vertical="center"/>
    </xf>
    <xf numFmtId="166" fontId="2" fillId="16" borderId="46" xfId="0" applyNumberFormat="1" applyFont="1" applyFill="1" applyBorder="1" applyAlignment="1">
      <alignment horizontal="justify" vertical="center" wrapText="1"/>
    </xf>
    <xf numFmtId="166" fontId="2" fillId="16" borderId="52" xfId="0" applyNumberFormat="1" applyFont="1" applyFill="1" applyBorder="1" applyAlignment="1">
      <alignment horizontal="justify" vertical="center" wrapText="1"/>
    </xf>
    <xf numFmtId="166" fontId="2" fillId="16" borderId="52" xfId="0" applyNumberFormat="1" applyFont="1" applyFill="1" applyBorder="1" applyAlignment="1">
      <alignment horizontal="right" vertical="center" wrapText="1"/>
    </xf>
    <xf numFmtId="166" fontId="2" fillId="16" borderId="40" xfId="0" applyNumberFormat="1" applyFont="1" applyFill="1" applyBorder="1" applyAlignment="1">
      <alignment horizontal="right" vertical="center" wrapText="1"/>
    </xf>
    <xf numFmtId="166" fontId="2" fillId="16" borderId="17" xfId="0" applyNumberFormat="1" applyFont="1" applyFill="1" applyBorder="1" applyAlignment="1">
      <alignment horizontal="justify" vertical="center" wrapText="1"/>
    </xf>
    <xf numFmtId="166" fontId="2" fillId="16" borderId="37" xfId="0" applyNumberFormat="1" applyFont="1" applyFill="1" applyBorder="1" applyAlignment="1">
      <alignment horizontal="justify" vertical="center" wrapText="1"/>
    </xf>
    <xf numFmtId="0" fontId="2" fillId="5" borderId="11" xfId="2" applyFill="1" applyBorder="1" applyAlignment="1">
      <alignment horizontal="justify" vertical="center"/>
    </xf>
    <xf numFmtId="0" fontId="2" fillId="5" borderId="17" xfId="2" applyFill="1" applyBorder="1" applyAlignment="1">
      <alignment horizontal="justify" vertical="center"/>
    </xf>
    <xf numFmtId="166" fontId="2" fillId="5" borderId="37" xfId="2" applyNumberFormat="1" applyFill="1" applyBorder="1" applyAlignment="1">
      <alignment horizontal="justify" vertical="center"/>
    </xf>
    <xf numFmtId="166" fontId="2" fillId="5" borderId="37" xfId="2" applyNumberFormat="1" applyFill="1" applyBorder="1" applyAlignment="1">
      <alignment horizontal="center" vertical="center"/>
    </xf>
    <xf numFmtId="166" fontId="2" fillId="5" borderId="37" xfId="2" applyNumberFormat="1" applyFill="1" applyBorder="1" applyAlignment="1">
      <alignment horizontal="right" vertical="center"/>
    </xf>
    <xf numFmtId="166" fontId="2" fillId="5" borderId="38" xfId="2" applyNumberFormat="1" applyFill="1" applyBorder="1" applyAlignment="1">
      <alignment horizontal="right" vertical="center"/>
    </xf>
    <xf numFmtId="0" fontId="2" fillId="0" borderId="17" xfId="2" applyBorder="1" applyAlignment="1">
      <alignment horizontal="justify" vertical="center"/>
    </xf>
    <xf numFmtId="166" fontId="3" fillId="0" borderId="37" xfId="5" applyNumberFormat="1" applyFont="1" applyFill="1" applyBorder="1" applyAlignment="1">
      <alignment horizontal="right" vertical="center" wrapText="1"/>
    </xf>
    <xf numFmtId="166" fontId="3" fillId="0" borderId="38" xfId="5" applyNumberFormat="1" applyFont="1" applyFill="1" applyBorder="1" applyAlignment="1">
      <alignment horizontal="right" vertical="center" wrapText="1"/>
    </xf>
    <xf numFmtId="166" fontId="3" fillId="5" borderId="37" xfId="5" applyNumberFormat="1" applyFont="1" applyFill="1" applyBorder="1" applyAlignment="1">
      <alignment horizontal="right" vertical="center" wrapText="1"/>
    </xf>
    <xf numFmtId="166" fontId="16" fillId="14" borderId="37" xfId="0" applyNumberFormat="1" applyFont="1" applyFill="1" applyBorder="1" applyAlignment="1">
      <alignment horizontal="right"/>
    </xf>
    <xf numFmtId="166" fontId="16" fillId="14" borderId="38" xfId="0" applyNumberFormat="1" applyFont="1" applyFill="1" applyBorder="1" applyAlignment="1">
      <alignment horizontal="right"/>
    </xf>
    <xf numFmtId="0" fontId="2" fillId="0" borderId="17" xfId="0" applyFont="1" applyBorder="1" applyAlignment="1">
      <alignment horizontal="justify" vertical="center" wrapText="1"/>
    </xf>
    <xf numFmtId="166" fontId="2" fillId="15" borderId="37" xfId="8" applyNumberFormat="1" applyFont="1" applyFill="1" applyBorder="1" applyAlignment="1">
      <alignment horizontal="right" vertical="center" wrapText="1"/>
    </xf>
    <xf numFmtId="166" fontId="2" fillId="15" borderId="38" xfId="8" applyNumberFormat="1" applyFont="1" applyFill="1" applyBorder="1" applyAlignment="1">
      <alignment horizontal="right" vertical="center" wrapText="1"/>
    </xf>
    <xf numFmtId="0" fontId="2" fillId="0" borderId="33" xfId="0" applyFont="1" applyBorder="1" applyAlignment="1">
      <alignment horizontal="justify" vertical="center" wrapText="1"/>
    </xf>
    <xf numFmtId="166" fontId="2" fillId="0" borderId="34" xfId="8" applyNumberFormat="1" applyFont="1" applyFill="1" applyBorder="1" applyAlignment="1">
      <alignment horizontal="right" vertical="center" wrapText="1"/>
    </xf>
    <xf numFmtId="166" fontId="2" fillId="0" borderId="42" xfId="8" applyNumberFormat="1" applyFont="1" applyFill="1" applyBorder="1" applyAlignment="1">
      <alignment horizontal="right" vertical="center" wrapText="1"/>
    </xf>
    <xf numFmtId="166" fontId="2" fillId="0" borderId="43" xfId="8" applyNumberFormat="1" applyFont="1" applyFill="1" applyBorder="1" applyAlignment="1">
      <alignment horizontal="right" vertical="center" wrapText="1"/>
    </xf>
    <xf numFmtId="166" fontId="2" fillId="0" borderId="18" xfId="8" applyNumberFormat="1" applyFont="1" applyFill="1" applyBorder="1" applyAlignment="1">
      <alignment horizontal="right" vertical="center" wrapText="1"/>
    </xf>
    <xf numFmtId="164" fontId="2" fillId="0" borderId="2" xfId="1" applyFont="1" applyFill="1" applyBorder="1" applyAlignment="1">
      <alignment horizontal="center" vertical="center"/>
    </xf>
    <xf numFmtId="0" fontId="2" fillId="5" borderId="33" xfId="0" applyFont="1" applyFill="1" applyBorder="1" applyAlignment="1">
      <alignment horizontal="justify" vertical="center" wrapText="1"/>
    </xf>
    <xf numFmtId="0" fontId="2" fillId="5" borderId="34" xfId="0" applyFont="1" applyFill="1" applyBorder="1" applyAlignment="1">
      <alignment horizontal="center" vertical="center"/>
    </xf>
    <xf numFmtId="3" fontId="3" fillId="0" borderId="0" xfId="0" applyNumberFormat="1" applyFont="1"/>
    <xf numFmtId="166" fontId="3" fillId="15" borderId="40" xfId="1" applyNumberFormat="1" applyFont="1" applyFill="1" applyBorder="1" applyAlignment="1">
      <alignment horizontal="right" vertical="center"/>
    </xf>
    <xf numFmtId="166" fontId="2" fillId="0" borderId="25" xfId="0" applyNumberFormat="1" applyFont="1" applyBorder="1" applyAlignment="1">
      <alignment horizontal="right" vertical="center" wrapText="1"/>
    </xf>
    <xf numFmtId="166" fontId="2" fillId="0" borderId="26" xfId="0" applyNumberFormat="1" applyFont="1" applyBorder="1" applyAlignment="1">
      <alignment horizontal="right" vertical="center" wrapText="1"/>
    </xf>
    <xf numFmtId="166" fontId="3" fillId="0" borderId="18" xfId="7" applyNumberFormat="1" applyFont="1" applyFill="1" applyBorder="1" applyAlignment="1">
      <alignment horizontal="right"/>
    </xf>
    <xf numFmtId="166" fontId="16" fillId="14" borderId="20" xfId="7" applyNumberFormat="1" applyFont="1" applyFill="1" applyBorder="1" applyAlignment="1">
      <alignment horizontal="right" vertical="center"/>
    </xf>
    <xf numFmtId="166" fontId="2" fillId="15" borderId="37" xfId="7" applyNumberFormat="1" applyFont="1" applyFill="1" applyBorder="1" applyAlignment="1">
      <alignment horizontal="right" vertical="center" wrapText="1"/>
    </xf>
    <xf numFmtId="166" fontId="2" fillId="15" borderId="38" xfId="7" applyNumberFormat="1" applyFont="1" applyFill="1" applyBorder="1" applyAlignment="1">
      <alignment horizontal="right" vertical="center" wrapText="1"/>
    </xf>
    <xf numFmtId="166" fontId="2" fillId="16" borderId="37" xfId="7" applyNumberFormat="1" applyFont="1" applyFill="1" applyBorder="1" applyAlignment="1">
      <alignment horizontal="right" vertical="center" wrapText="1"/>
    </xf>
    <xf numFmtId="166" fontId="2" fillId="16" borderId="38" xfId="7" applyNumberFormat="1" applyFont="1" applyFill="1" applyBorder="1" applyAlignment="1">
      <alignment horizontal="right" vertical="center" wrapText="1"/>
    </xf>
    <xf numFmtId="166" fontId="2" fillId="5" borderId="37" xfId="7" applyNumberFormat="1" applyFont="1" applyFill="1" applyBorder="1" applyAlignment="1">
      <alignment horizontal="right" vertical="center" wrapText="1"/>
    </xf>
    <xf numFmtId="166" fontId="2" fillId="5" borderId="38" xfId="7" applyNumberFormat="1" applyFont="1" applyFill="1" applyBorder="1" applyAlignment="1">
      <alignment horizontal="right" vertical="center" wrapText="1"/>
    </xf>
    <xf numFmtId="166" fontId="0" fillId="15" borderId="37" xfId="0" applyNumberFormat="1" applyFill="1" applyBorder="1" applyAlignment="1">
      <alignment horizontal="right" vertical="center"/>
    </xf>
    <xf numFmtId="166" fontId="0" fillId="0" borderId="7" xfId="0" applyNumberFormat="1" applyBorder="1" applyAlignment="1">
      <alignment horizontal="right" vertical="center"/>
    </xf>
    <xf numFmtId="166" fontId="0" fillId="5" borderId="37" xfId="0" applyNumberFormat="1" applyFill="1" applyBorder="1" applyAlignment="1">
      <alignment horizontal="right" vertical="center"/>
    </xf>
    <xf numFmtId="166" fontId="16" fillId="14" borderId="76" xfId="0" applyNumberFormat="1" applyFont="1" applyFill="1" applyBorder="1" applyAlignment="1">
      <alignment horizontal="right"/>
    </xf>
    <xf numFmtId="49" fontId="4" fillId="0" borderId="8" xfId="0" applyNumberFormat="1" applyFont="1" applyBorder="1" applyAlignment="1">
      <alignment horizontal="center" vertical="center" wrapText="1"/>
    </xf>
    <xf numFmtId="0" fontId="19" fillId="14" borderId="12" xfId="0" applyFont="1" applyFill="1" applyBorder="1" applyAlignment="1">
      <alignment horizontal="center" vertical="center" wrapText="1"/>
    </xf>
    <xf numFmtId="0" fontId="19" fillId="14" borderId="50" xfId="0" applyFont="1" applyFill="1" applyBorder="1" applyAlignment="1">
      <alignment horizontal="center" vertical="center"/>
    </xf>
    <xf numFmtId="166" fontId="2" fillId="0" borderId="2" xfId="1" applyNumberFormat="1" applyFont="1" applyFill="1" applyBorder="1" applyAlignment="1">
      <alignment horizontal="right" vertical="center"/>
    </xf>
    <xf numFmtId="164" fontId="2" fillId="0" borderId="2" xfId="3" applyNumberFormat="1" applyFont="1" applyFill="1" applyBorder="1" applyAlignment="1">
      <alignment horizontal="center" vertical="center"/>
    </xf>
    <xf numFmtId="166" fontId="2" fillId="0" borderId="18" xfId="1" applyNumberFormat="1" applyFont="1" applyFill="1" applyBorder="1" applyAlignment="1">
      <alignment horizontal="right" vertical="center"/>
    </xf>
    <xf numFmtId="0" fontId="3" fillId="5" borderId="34" xfId="0" applyFont="1" applyFill="1" applyBorder="1" applyAlignment="1">
      <alignment horizontal="center" vertical="center" wrapText="1"/>
    </xf>
    <xf numFmtId="166" fontId="3" fillId="5" borderId="34" xfId="0" applyNumberFormat="1" applyFont="1" applyFill="1" applyBorder="1" applyAlignment="1">
      <alignment horizontal="right" vertical="center" wrapText="1"/>
    </xf>
    <xf numFmtId="166" fontId="3" fillId="5" borderId="42" xfId="0" applyNumberFormat="1" applyFont="1" applyFill="1" applyBorder="1" applyAlignment="1">
      <alignment horizontal="right" vertical="center" wrapText="1"/>
    </xf>
    <xf numFmtId="0" fontId="19" fillId="14" borderId="39" xfId="0" applyFont="1" applyFill="1" applyBorder="1" applyAlignment="1">
      <alignment horizontal="center" vertical="center" wrapText="1"/>
    </xf>
    <xf numFmtId="0" fontId="2" fillId="5" borderId="33" xfId="0" applyFont="1" applyFill="1" applyBorder="1" applyAlignment="1">
      <alignment horizontal="left" vertical="center" wrapText="1"/>
    </xf>
    <xf numFmtId="0" fontId="2" fillId="5" borderId="34" xfId="0" applyFont="1" applyFill="1" applyBorder="1" applyAlignment="1">
      <alignment horizontal="center" vertical="center" wrapText="1"/>
    </xf>
    <xf numFmtId="166" fontId="19" fillId="14" borderId="42" xfId="1" applyNumberFormat="1" applyFont="1" applyFill="1" applyBorder="1" applyAlignment="1">
      <alignment horizontal="right" vertical="center"/>
    </xf>
    <xf numFmtId="167" fontId="2" fillId="0" borderId="0" xfId="6" applyNumberFormat="1" applyFont="1" applyAlignment="1">
      <alignment horizontal="right"/>
    </xf>
    <xf numFmtId="164" fontId="2" fillId="4" borderId="0" xfId="0" applyNumberFormat="1" applyFont="1" applyFill="1" applyAlignment="1">
      <alignment horizontal="center"/>
    </xf>
    <xf numFmtId="166" fontId="0" fillId="0" borderId="25" xfId="0" applyNumberFormat="1" applyBorder="1" applyAlignment="1">
      <alignment horizontal="right" vertical="center"/>
    </xf>
    <xf numFmtId="166" fontId="0" fillId="0" borderId="26" xfId="0" applyNumberFormat="1" applyBorder="1" applyAlignment="1">
      <alignment horizontal="right" vertical="center"/>
    </xf>
    <xf numFmtId="0" fontId="4" fillId="23" borderId="32" xfId="0" applyFont="1" applyFill="1" applyBorder="1" applyAlignment="1">
      <alignment horizontal="center" vertical="center"/>
    </xf>
    <xf numFmtId="0" fontId="4" fillId="23" borderId="3" xfId="0" applyFont="1" applyFill="1" applyBorder="1" applyAlignment="1">
      <alignment horizontal="center" vertical="center"/>
    </xf>
    <xf numFmtId="0" fontId="4" fillId="23" borderId="45" xfId="0" applyFont="1" applyFill="1" applyBorder="1" applyAlignment="1">
      <alignment horizontal="center" vertical="center"/>
    </xf>
    <xf numFmtId="0" fontId="4" fillId="23" borderId="69" xfId="0" applyFont="1" applyFill="1" applyBorder="1" applyAlignment="1">
      <alignment horizontal="center" vertical="center"/>
    </xf>
    <xf numFmtId="0" fontId="7" fillId="17" borderId="25" xfId="0" applyFont="1" applyFill="1" applyBorder="1" applyAlignment="1">
      <alignment horizontal="center" vertical="center" wrapText="1"/>
    </xf>
    <xf numFmtId="166" fontId="3" fillId="17" borderId="25" xfId="1" applyNumberFormat="1" applyFont="1" applyFill="1" applyBorder="1" applyAlignment="1">
      <alignment horizontal="right" vertical="center"/>
    </xf>
    <xf numFmtId="166" fontId="3" fillId="17" borderId="25" xfId="6" applyNumberFormat="1" applyFont="1" applyFill="1" applyBorder="1" applyAlignment="1">
      <alignment horizontal="right" vertical="center"/>
    </xf>
    <xf numFmtId="166" fontId="3" fillId="17" borderId="26" xfId="6" applyNumberFormat="1" applyFont="1" applyFill="1" applyBorder="1" applyAlignment="1">
      <alignment horizontal="right" vertical="center"/>
    </xf>
    <xf numFmtId="166" fontId="2" fillId="17" borderId="2" xfId="1" applyNumberFormat="1" applyFont="1" applyFill="1" applyBorder="1" applyAlignment="1">
      <alignment horizontal="right" vertical="center"/>
    </xf>
    <xf numFmtId="166" fontId="3" fillId="17" borderId="2" xfId="1" applyNumberFormat="1" applyFont="1" applyFill="1" applyBorder="1" applyAlignment="1">
      <alignment horizontal="right" vertical="center"/>
    </xf>
    <xf numFmtId="166" fontId="4" fillId="17" borderId="73" xfId="1" applyNumberFormat="1" applyFont="1" applyFill="1" applyBorder="1" applyAlignment="1">
      <alignment horizontal="right" vertical="center"/>
    </xf>
    <xf numFmtId="41" fontId="3" fillId="17" borderId="65" xfId="1" applyNumberFormat="1" applyFont="1" applyFill="1" applyBorder="1" applyAlignment="1">
      <alignment horizontal="center" vertical="center"/>
    </xf>
    <xf numFmtId="41" fontId="3" fillId="17" borderId="73" xfId="1" applyNumberFormat="1" applyFont="1" applyFill="1" applyBorder="1" applyAlignment="1">
      <alignment horizontal="center" vertical="center"/>
    </xf>
    <xf numFmtId="10" fontId="3" fillId="0" borderId="0" xfId="5" applyNumberFormat="1" applyFont="1"/>
    <xf numFmtId="0" fontId="7" fillId="17" borderId="2" xfId="0" applyFont="1" applyFill="1" applyBorder="1" applyAlignment="1">
      <alignment horizontal="center" vertical="center" wrapText="1"/>
    </xf>
    <xf numFmtId="166" fontId="3" fillId="17" borderId="2" xfId="6" applyNumberFormat="1" applyFont="1" applyFill="1" applyBorder="1" applyAlignment="1">
      <alignment horizontal="right" vertical="center"/>
    </xf>
    <xf numFmtId="166" fontId="3" fillId="17" borderId="18" xfId="6" applyNumberFormat="1" applyFont="1" applyFill="1" applyBorder="1" applyAlignment="1">
      <alignment horizontal="right" vertical="center"/>
    </xf>
    <xf numFmtId="41" fontId="3" fillId="17" borderId="66" xfId="1" applyNumberFormat="1" applyFont="1" applyFill="1" applyBorder="1" applyAlignment="1">
      <alignment horizontal="center" vertical="center"/>
    </xf>
    <xf numFmtId="41" fontId="3" fillId="17" borderId="72" xfId="1" applyNumberFormat="1" applyFont="1" applyFill="1" applyBorder="1" applyAlignment="1">
      <alignment horizontal="center" vertical="center"/>
    </xf>
    <xf numFmtId="166" fontId="2" fillId="16" borderId="2" xfId="1" applyNumberFormat="1" applyFont="1" applyFill="1" applyBorder="1" applyAlignment="1">
      <alignment horizontal="right" vertical="center"/>
    </xf>
    <xf numFmtId="166" fontId="2" fillId="16" borderId="2" xfId="6" applyNumberFormat="1" applyFont="1" applyFill="1" applyBorder="1" applyAlignment="1">
      <alignment horizontal="right" vertical="center"/>
    </xf>
    <xf numFmtId="166" fontId="2" fillId="16" borderId="18" xfId="6" applyNumberFormat="1" applyFont="1" applyFill="1" applyBorder="1" applyAlignment="1">
      <alignment horizontal="right" vertical="center"/>
    </xf>
    <xf numFmtId="166" fontId="4" fillId="16" borderId="73" xfId="1" applyNumberFormat="1" applyFont="1" applyFill="1" applyBorder="1" applyAlignment="1">
      <alignment horizontal="right" vertical="center"/>
    </xf>
    <xf numFmtId="3" fontId="2" fillId="16" borderId="66" xfId="1" applyNumberFormat="1" applyFont="1" applyFill="1" applyBorder="1" applyAlignment="1">
      <alignment horizontal="center" vertical="center"/>
    </xf>
    <xf numFmtId="3" fontId="2" fillId="16" borderId="72" xfId="1" applyNumberFormat="1" applyFont="1" applyFill="1" applyBorder="1" applyAlignment="1">
      <alignment horizontal="center" vertical="center"/>
    </xf>
    <xf numFmtId="10" fontId="2" fillId="0" borderId="0" xfId="5" applyNumberFormat="1" applyFont="1"/>
    <xf numFmtId="0" fontId="7" fillId="16" borderId="2" xfId="0" applyFont="1" applyFill="1" applyBorder="1" applyAlignment="1">
      <alignment horizontal="center" vertical="center" wrapText="1"/>
    </xf>
    <xf numFmtId="166" fontId="3" fillId="16" borderId="2" xfId="1" applyNumberFormat="1" applyFont="1" applyFill="1" applyBorder="1" applyAlignment="1">
      <alignment horizontal="right" vertical="center"/>
    </xf>
    <xf numFmtId="166" fontId="3" fillId="16" borderId="2" xfId="6" applyNumberFormat="1" applyFont="1" applyFill="1" applyBorder="1" applyAlignment="1">
      <alignment horizontal="right" vertical="center"/>
    </xf>
    <xf numFmtId="166" fontId="3" fillId="16" borderId="18" xfId="6" applyNumberFormat="1" applyFont="1" applyFill="1" applyBorder="1" applyAlignment="1">
      <alignment horizontal="right" vertical="center"/>
    </xf>
    <xf numFmtId="3" fontId="3" fillId="16" borderId="66" xfId="1" applyNumberFormat="1" applyFont="1" applyFill="1" applyBorder="1" applyAlignment="1">
      <alignment horizontal="center" vertical="center"/>
    </xf>
    <xf numFmtId="3" fontId="3" fillId="16" borderId="72" xfId="1" applyNumberFormat="1" applyFont="1" applyFill="1" applyBorder="1" applyAlignment="1">
      <alignment horizontal="center" vertical="center"/>
    </xf>
    <xf numFmtId="0" fontId="2" fillId="17" borderId="2" xfId="0" applyFont="1" applyFill="1" applyBorder="1" applyAlignment="1">
      <alignment horizontal="center" vertical="center" wrapText="1"/>
    </xf>
    <xf numFmtId="166" fontId="2" fillId="17" borderId="2" xfId="6" applyNumberFormat="1" applyFont="1" applyFill="1" applyBorder="1" applyAlignment="1">
      <alignment horizontal="right" vertical="center"/>
    </xf>
    <xf numFmtId="166" fontId="2" fillId="17" borderId="18" xfId="6" applyNumberFormat="1" applyFont="1" applyFill="1" applyBorder="1" applyAlignment="1">
      <alignment horizontal="right" vertical="center"/>
    </xf>
    <xf numFmtId="41" fontId="2" fillId="17" borderId="66" xfId="1" applyNumberFormat="1" applyFont="1" applyFill="1" applyBorder="1" applyAlignment="1">
      <alignment horizontal="center" vertical="center"/>
    </xf>
    <xf numFmtId="41" fontId="2" fillId="17" borderId="72" xfId="1" applyNumberFormat="1" applyFont="1" applyFill="1" applyBorder="1" applyAlignment="1">
      <alignment horizontal="center" vertical="center"/>
    </xf>
    <xf numFmtId="0" fontId="7" fillId="16" borderId="1" xfId="0" applyFont="1" applyFill="1" applyBorder="1" applyAlignment="1">
      <alignment horizontal="center" vertical="center" wrapText="1"/>
    </xf>
    <xf numFmtId="41" fontId="3" fillId="16" borderId="2" xfId="1" applyNumberFormat="1" applyFont="1" applyFill="1" applyBorder="1" applyAlignment="1">
      <alignment vertical="center"/>
    </xf>
    <xf numFmtId="41" fontId="3" fillId="17" borderId="72" xfId="1" applyNumberFormat="1" applyFont="1" applyFill="1" applyBorder="1" applyAlignment="1">
      <alignment horizontal="center" vertical="center" wrapText="1"/>
    </xf>
    <xf numFmtId="3" fontId="3" fillId="16" borderId="72" xfId="1"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41" fontId="3" fillId="17" borderId="2" xfId="1" applyNumberFormat="1" applyFont="1" applyFill="1" applyBorder="1" applyAlignment="1">
      <alignment vertical="center"/>
    </xf>
    <xf numFmtId="0" fontId="7" fillId="16" borderId="3" xfId="0" applyFont="1" applyFill="1" applyBorder="1" applyAlignment="1">
      <alignment horizontal="center" vertical="center" wrapText="1"/>
    </xf>
    <xf numFmtId="3" fontId="3" fillId="16" borderId="67" xfId="1" applyNumberFormat="1" applyFont="1" applyFill="1" applyBorder="1" applyAlignment="1">
      <alignment horizontal="center" vertical="center"/>
    </xf>
    <xf numFmtId="3" fontId="3" fillId="16" borderId="77" xfId="1" applyNumberFormat="1" applyFont="1" applyFill="1" applyBorder="1" applyAlignment="1">
      <alignment horizontal="center" vertical="center" wrapText="1"/>
    </xf>
    <xf numFmtId="164" fontId="4" fillId="13" borderId="37" xfId="0" applyNumberFormat="1" applyFont="1" applyFill="1" applyBorder="1" applyAlignment="1">
      <alignment vertical="center"/>
    </xf>
    <xf numFmtId="167" fontId="3" fillId="31" borderId="5" xfId="6" applyNumberFormat="1" applyFont="1" applyFill="1" applyBorder="1"/>
    <xf numFmtId="166" fontId="4" fillId="16" borderId="81" xfId="1" applyNumberFormat="1" applyFont="1" applyFill="1" applyBorder="1" applyAlignment="1">
      <alignment horizontal="right" vertical="center"/>
    </xf>
    <xf numFmtId="3" fontId="3" fillId="16" borderId="75" xfId="1" applyNumberFormat="1" applyFont="1" applyFill="1" applyBorder="1" applyAlignment="1">
      <alignment horizontal="center" vertical="center"/>
    </xf>
    <xf numFmtId="164" fontId="4" fillId="13" borderId="71" xfId="0" applyNumberFormat="1" applyFont="1" applyFill="1" applyBorder="1" applyAlignment="1">
      <alignment vertical="center"/>
    </xf>
    <xf numFmtId="166" fontId="4" fillId="13" borderId="37" xfId="0" applyNumberFormat="1" applyFont="1" applyFill="1" applyBorder="1" applyAlignment="1">
      <alignment horizontal="right" vertical="center"/>
    </xf>
    <xf numFmtId="164" fontId="4" fillId="13" borderId="38" xfId="0" applyNumberFormat="1" applyFont="1" applyFill="1" applyBorder="1" applyAlignment="1">
      <alignment vertical="center"/>
    </xf>
    <xf numFmtId="166" fontId="4" fillId="13" borderId="34" xfId="0" applyNumberFormat="1" applyFont="1" applyFill="1" applyBorder="1" applyAlignment="1">
      <alignment horizontal="right" vertical="center"/>
    </xf>
    <xf numFmtId="0" fontId="7" fillId="17" borderId="39"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 fillId="16" borderId="8"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2" fillId="17" borderId="8" xfId="0" applyFont="1" applyFill="1" applyBorder="1" applyAlignment="1">
      <alignment horizontal="left" vertical="center" wrapText="1"/>
    </xf>
    <xf numFmtId="0" fontId="7" fillId="16" borderId="69" xfId="0" applyFont="1" applyFill="1" applyBorder="1" applyAlignment="1">
      <alignment horizontal="left" vertical="center" wrapText="1"/>
    </xf>
    <xf numFmtId="166" fontId="3" fillId="17" borderId="24" xfId="1" applyNumberFormat="1" applyFont="1" applyFill="1" applyBorder="1" applyAlignment="1">
      <alignment horizontal="right" vertical="center"/>
    </xf>
    <xf numFmtId="166" fontId="3" fillId="17" borderId="26" xfId="1" applyNumberFormat="1" applyFont="1" applyFill="1" applyBorder="1" applyAlignment="1">
      <alignment horizontal="right" vertical="center"/>
    </xf>
    <xf numFmtId="166" fontId="3" fillId="17" borderId="1" xfId="1" applyNumberFormat="1" applyFont="1" applyFill="1" applyBorder="1" applyAlignment="1">
      <alignment horizontal="right" vertical="center"/>
    </xf>
    <xf numFmtId="166" fontId="3" fillId="17" borderId="18" xfId="1" applyNumberFormat="1" applyFont="1" applyFill="1" applyBorder="1" applyAlignment="1">
      <alignment horizontal="right" vertical="center"/>
    </xf>
    <xf numFmtId="166" fontId="2" fillId="16" borderId="1" xfId="1" applyNumberFormat="1" applyFont="1" applyFill="1" applyBorder="1" applyAlignment="1">
      <alignment horizontal="right" vertical="center"/>
    </xf>
    <xf numFmtId="166" fontId="2" fillId="16" borderId="18" xfId="1" applyNumberFormat="1" applyFont="1" applyFill="1" applyBorder="1" applyAlignment="1">
      <alignment horizontal="right" vertical="center"/>
    </xf>
    <xf numFmtId="166" fontId="3" fillId="16" borderId="1" xfId="1" applyNumberFormat="1" applyFont="1" applyFill="1" applyBorder="1" applyAlignment="1">
      <alignment horizontal="right" vertical="center"/>
    </xf>
    <xf numFmtId="166" fontId="3" fillId="16" borderId="18" xfId="1" applyNumberFormat="1" applyFont="1" applyFill="1" applyBorder="1" applyAlignment="1">
      <alignment horizontal="right" vertical="center"/>
    </xf>
    <xf numFmtId="166" fontId="2" fillId="17" borderId="1" xfId="1" applyNumberFormat="1" applyFont="1" applyFill="1" applyBorder="1" applyAlignment="1">
      <alignment horizontal="right" vertical="center"/>
    </xf>
    <xf numFmtId="166" fontId="2" fillId="17" borderId="18" xfId="1" applyNumberFormat="1" applyFont="1" applyFill="1" applyBorder="1" applyAlignment="1">
      <alignment horizontal="right" vertical="center"/>
    </xf>
    <xf numFmtId="166" fontId="3" fillId="16" borderId="19" xfId="1" applyNumberFormat="1" applyFont="1" applyFill="1" applyBorder="1" applyAlignment="1">
      <alignment horizontal="right" vertical="center"/>
    </xf>
    <xf numFmtId="166" fontId="3" fillId="16" borderId="20" xfId="1" applyNumberFormat="1" applyFont="1" applyFill="1" applyBorder="1" applyAlignment="1">
      <alignment horizontal="right" vertical="center"/>
    </xf>
    <xf numFmtId="166" fontId="3" fillId="16" borderId="21" xfId="1" applyNumberFormat="1" applyFont="1" applyFill="1" applyBorder="1" applyAlignment="1">
      <alignment horizontal="right" vertical="center"/>
    </xf>
    <xf numFmtId="166" fontId="3" fillId="17" borderId="24" xfId="6" applyNumberFormat="1" applyFont="1" applyFill="1" applyBorder="1" applyAlignment="1">
      <alignment horizontal="right" vertical="center"/>
    </xf>
    <xf numFmtId="166" fontId="3" fillId="17" borderId="1" xfId="6" applyNumberFormat="1" applyFont="1" applyFill="1" applyBorder="1" applyAlignment="1">
      <alignment horizontal="right" vertical="center"/>
    </xf>
    <xf numFmtId="166" fontId="2" fillId="16" borderId="1" xfId="6" applyNumberFormat="1" applyFont="1" applyFill="1" applyBorder="1" applyAlignment="1">
      <alignment horizontal="right" vertical="center"/>
    </xf>
    <xf numFmtId="166" fontId="3" fillId="16" borderId="1" xfId="6" applyNumberFormat="1" applyFont="1" applyFill="1" applyBorder="1" applyAlignment="1">
      <alignment horizontal="right" vertical="center"/>
    </xf>
    <xf numFmtId="166" fontId="2" fillId="17" borderId="1" xfId="6" applyNumberFormat="1" applyFont="1" applyFill="1" applyBorder="1" applyAlignment="1">
      <alignment horizontal="right" vertical="center"/>
    </xf>
    <xf numFmtId="166" fontId="3" fillId="16" borderId="19" xfId="6" applyNumberFormat="1" applyFont="1" applyFill="1" applyBorder="1" applyAlignment="1">
      <alignment horizontal="right" vertical="center"/>
    </xf>
    <xf numFmtId="166" fontId="3" fillId="16" borderId="20" xfId="6" applyNumberFormat="1" applyFont="1" applyFill="1" applyBorder="1" applyAlignment="1">
      <alignment horizontal="right" vertical="center"/>
    </xf>
    <xf numFmtId="166" fontId="3" fillId="16" borderId="21" xfId="6" applyNumberFormat="1" applyFont="1" applyFill="1" applyBorder="1" applyAlignment="1">
      <alignment horizontal="right" vertical="center"/>
    </xf>
    <xf numFmtId="166" fontId="4" fillId="17" borderId="88" xfId="1" applyNumberFormat="1" applyFont="1" applyFill="1" applyBorder="1" applyAlignment="1">
      <alignment horizontal="right" vertical="center"/>
    </xf>
    <xf numFmtId="166" fontId="4" fillId="17" borderId="9" xfId="1" applyNumberFormat="1" applyFont="1" applyFill="1" applyBorder="1" applyAlignment="1">
      <alignment horizontal="right" vertical="center"/>
    </xf>
    <xf numFmtId="166" fontId="19" fillId="16" borderId="9" xfId="1" applyNumberFormat="1" applyFont="1" applyFill="1" applyBorder="1" applyAlignment="1">
      <alignment horizontal="right" vertical="center"/>
    </xf>
    <xf numFmtId="166" fontId="19" fillId="17" borderId="9" xfId="1" applyNumberFormat="1" applyFont="1" applyFill="1" applyBorder="1" applyAlignment="1">
      <alignment horizontal="right" vertical="center"/>
    </xf>
    <xf numFmtId="166" fontId="4" fillId="16" borderId="9" xfId="1" applyNumberFormat="1" applyFont="1" applyFill="1" applyBorder="1" applyAlignment="1">
      <alignment horizontal="right" vertical="center"/>
    </xf>
    <xf numFmtId="166" fontId="4" fillId="16" borderId="87" xfId="1" applyNumberFormat="1" applyFont="1" applyFill="1" applyBorder="1" applyAlignment="1">
      <alignment horizontal="right" vertical="center"/>
    </xf>
    <xf numFmtId="0" fontId="4" fillId="23" borderId="24" xfId="0" applyFont="1" applyFill="1" applyBorder="1" applyAlignment="1">
      <alignment horizontal="center" vertical="center"/>
    </xf>
    <xf numFmtId="0" fontId="4" fillId="23" borderId="25" xfId="0" applyFont="1" applyFill="1" applyBorder="1" applyAlignment="1">
      <alignment horizontal="center" vertical="center"/>
    </xf>
    <xf numFmtId="0" fontId="4" fillId="23" borderId="26" xfId="0" applyFont="1" applyFill="1" applyBorder="1" applyAlignment="1">
      <alignment horizontal="center" vertical="center"/>
    </xf>
    <xf numFmtId="166" fontId="2" fillId="16" borderId="20" xfId="1" applyNumberFormat="1" applyFont="1" applyFill="1" applyBorder="1" applyAlignment="1">
      <alignment horizontal="right" vertical="center"/>
    </xf>
    <xf numFmtId="0" fontId="2" fillId="4" borderId="2"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46" xfId="0" applyFont="1" applyFill="1" applyBorder="1" applyAlignment="1">
      <alignment horizontal="left" vertical="center" wrapText="1"/>
    </xf>
    <xf numFmtId="0" fontId="2" fillId="16" borderId="52" xfId="0" applyFont="1" applyFill="1" applyBorder="1" applyAlignment="1">
      <alignment horizontal="center" vertical="center" wrapText="1"/>
    </xf>
    <xf numFmtId="166" fontId="2" fillId="16" borderId="52" xfId="8" applyNumberFormat="1" applyFont="1" applyFill="1" applyBorder="1" applyAlignment="1">
      <alignment horizontal="right" vertical="center" wrapText="1"/>
    </xf>
    <xf numFmtId="166" fontId="2" fillId="16" borderId="40" xfId="8" applyNumberFormat="1" applyFont="1" applyFill="1" applyBorder="1" applyAlignment="1">
      <alignment horizontal="right" vertical="center" wrapText="1"/>
    </xf>
    <xf numFmtId="0" fontId="2" fillId="0" borderId="11" xfId="0" applyFont="1" applyBorder="1"/>
    <xf numFmtId="42" fontId="2" fillId="0" borderId="0" xfId="0" applyNumberFormat="1" applyFont="1" applyAlignment="1">
      <alignment horizontal="center" vertical="center"/>
    </xf>
    <xf numFmtId="42" fontId="2" fillId="0" borderId="0" xfId="0" applyNumberFormat="1" applyFont="1" applyAlignment="1">
      <alignment horizontal="center"/>
    </xf>
    <xf numFmtId="170" fontId="2" fillId="0" borderId="0" xfId="7" applyNumberFormat="1" applyFont="1" applyFill="1" applyAlignment="1">
      <alignment horizontal="center" vertical="center"/>
    </xf>
    <xf numFmtId="0" fontId="3" fillId="0" borderId="0" xfId="0" applyFont="1" applyAlignment="1">
      <alignment horizontal="center" vertical="center" wrapText="1"/>
    </xf>
    <xf numFmtId="44" fontId="3" fillId="0" borderId="0" xfId="7"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wrapText="1"/>
    </xf>
    <xf numFmtId="44" fontId="3" fillId="0" borderId="0" xfId="7" applyFont="1" applyAlignment="1">
      <alignment horizontal="center" wrapText="1"/>
    </xf>
    <xf numFmtId="0" fontId="3" fillId="0" borderId="0" xfId="0" applyFont="1" applyAlignment="1">
      <alignment horizontal="center" wrapText="1"/>
    </xf>
    <xf numFmtId="49" fontId="4" fillId="0" borderId="0" xfId="0" applyNumberFormat="1" applyFont="1" applyAlignment="1">
      <alignment horizontal="center" vertical="center" wrapText="1"/>
    </xf>
    <xf numFmtId="166" fontId="2" fillId="15" borderId="38" xfId="7" applyNumberFormat="1" applyFont="1" applyFill="1" applyBorder="1" applyAlignment="1">
      <alignment horizontal="right" vertical="center"/>
    </xf>
    <xf numFmtId="166" fontId="19" fillId="14" borderId="51" xfId="7" applyNumberFormat="1" applyFont="1" applyFill="1" applyBorder="1" applyAlignment="1">
      <alignment horizontal="right" vertical="center" wrapText="1"/>
    </xf>
    <xf numFmtId="166" fontId="2" fillId="5" borderId="34" xfId="7" applyNumberFormat="1" applyFont="1" applyFill="1" applyBorder="1" applyAlignment="1">
      <alignment horizontal="right" vertical="center"/>
    </xf>
    <xf numFmtId="166" fontId="2" fillId="5" borderId="42" xfId="7" applyNumberFormat="1" applyFont="1" applyFill="1" applyBorder="1" applyAlignment="1">
      <alignment horizontal="right" vertical="center"/>
    </xf>
    <xf numFmtId="166" fontId="2" fillId="15" borderId="37" xfId="7" applyNumberFormat="1" applyFont="1" applyFill="1" applyBorder="1" applyAlignment="1">
      <alignment horizontal="right" vertical="center"/>
    </xf>
    <xf numFmtId="44" fontId="2" fillId="0" borderId="0" xfId="7" applyFont="1"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wrapText="1"/>
    </xf>
    <xf numFmtId="44" fontId="2" fillId="0" borderId="0" xfId="7" applyFont="1" applyAlignment="1">
      <alignment horizontal="center" wrapText="1"/>
    </xf>
    <xf numFmtId="0" fontId="2" fillId="0" borderId="0" xfId="0" applyFont="1" applyAlignment="1">
      <alignment horizontal="center" wrapText="1"/>
    </xf>
    <xf numFmtId="167" fontId="3" fillId="0" borderId="0" xfId="0" applyNumberFormat="1" applyFont="1" applyAlignment="1">
      <alignment horizontal="center" vertical="center"/>
    </xf>
    <xf numFmtId="166" fontId="4" fillId="14" borderId="34" xfId="0" applyNumberFormat="1" applyFont="1" applyFill="1" applyBorder="1" applyAlignment="1">
      <alignment horizontal="right"/>
    </xf>
    <xf numFmtId="166" fontId="2" fillId="20" borderId="37" xfId="0" applyNumberFormat="1" applyFont="1" applyFill="1" applyBorder="1" applyAlignment="1">
      <alignment horizontal="right" vertical="center" wrapText="1"/>
    </xf>
    <xf numFmtId="0" fontId="2" fillId="20" borderId="33" xfId="0" applyFont="1" applyFill="1" applyBorder="1" applyAlignment="1">
      <alignment horizontal="justify" vertical="center" wrapText="1"/>
    </xf>
    <xf numFmtId="166" fontId="2" fillId="20" borderId="34" xfId="0" applyNumberFormat="1" applyFont="1" applyFill="1" applyBorder="1" applyAlignment="1">
      <alignment horizontal="center" vertical="center" wrapText="1"/>
    </xf>
    <xf numFmtId="166" fontId="2" fillId="20" borderId="34" xfId="0" applyNumberFormat="1" applyFont="1" applyFill="1" applyBorder="1" applyAlignment="1">
      <alignment horizontal="right" vertical="center" wrapText="1"/>
    </xf>
    <xf numFmtId="166" fontId="2" fillId="20" borderId="42" xfId="0" applyNumberFormat="1" applyFont="1" applyFill="1" applyBorder="1" applyAlignment="1">
      <alignment horizontal="right" vertical="center" wrapText="1"/>
    </xf>
    <xf numFmtId="0" fontId="2" fillId="0" borderId="1" xfId="0" applyFont="1" applyBorder="1" applyAlignment="1">
      <alignment horizontal="justify" vertical="top" wrapText="1"/>
    </xf>
    <xf numFmtId="0" fontId="2" fillId="0" borderId="35" xfId="0" applyFont="1" applyBorder="1" applyAlignment="1">
      <alignment horizontal="justify" vertical="top" wrapText="1"/>
    </xf>
    <xf numFmtId="166" fontId="3" fillId="0" borderId="44" xfId="0" applyNumberFormat="1" applyFont="1" applyBorder="1" applyAlignment="1">
      <alignment horizontal="right" vertical="center" wrapText="1"/>
    </xf>
    <xf numFmtId="166" fontId="2" fillId="16" borderId="2" xfId="6" applyNumberFormat="1" applyFont="1" applyFill="1" applyBorder="1" applyAlignment="1">
      <alignment horizontal="right" vertical="center" wrapText="1"/>
    </xf>
    <xf numFmtId="166" fontId="2" fillId="16" borderId="18" xfId="6" applyNumberFormat="1" applyFont="1" applyFill="1" applyBorder="1" applyAlignment="1">
      <alignment horizontal="right" vertical="center" wrapText="1"/>
    </xf>
    <xf numFmtId="166" fontId="2" fillId="0" borderId="18" xfId="7" applyNumberFormat="1" applyFont="1" applyFill="1" applyBorder="1" applyAlignment="1">
      <alignment horizontal="right" vertical="center" wrapText="1"/>
    </xf>
    <xf numFmtId="166" fontId="2" fillId="16" borderId="25" xfId="6" applyNumberFormat="1" applyFont="1" applyFill="1" applyBorder="1" applyAlignment="1">
      <alignment horizontal="right" vertical="center" wrapText="1"/>
    </xf>
    <xf numFmtId="166" fontId="2" fillId="16" borderId="26" xfId="6" applyNumberFormat="1" applyFont="1" applyFill="1" applyBorder="1" applyAlignment="1">
      <alignment horizontal="right" vertical="center" wrapText="1"/>
    </xf>
    <xf numFmtId="166" fontId="2" fillId="0" borderId="3" xfId="6" applyNumberFormat="1" applyFont="1" applyFill="1" applyBorder="1" applyAlignment="1">
      <alignment horizontal="right" vertical="center" wrapText="1"/>
    </xf>
    <xf numFmtId="166" fontId="2" fillId="0" borderId="45" xfId="6" applyNumberFormat="1" applyFont="1" applyFill="1" applyBorder="1" applyAlignment="1">
      <alignment horizontal="right" vertical="center" wrapText="1"/>
    </xf>
    <xf numFmtId="166" fontId="2" fillId="0" borderId="3" xfId="0" applyNumberFormat="1" applyFont="1" applyBorder="1" applyAlignment="1">
      <alignment horizontal="right" vertical="center"/>
    </xf>
    <xf numFmtId="0" fontId="2" fillId="18" borderId="52" xfId="0" applyFont="1" applyFill="1" applyBorder="1" applyAlignment="1">
      <alignment horizontal="center" vertical="center" wrapText="1"/>
    </xf>
    <xf numFmtId="0" fontId="2" fillId="18" borderId="46" xfId="2" applyFill="1" applyBorder="1" applyAlignment="1">
      <alignment horizontal="justify" vertical="center"/>
    </xf>
    <xf numFmtId="0" fontId="2" fillId="18" borderId="52" xfId="0" applyFont="1" applyFill="1" applyBorder="1"/>
    <xf numFmtId="0" fontId="2" fillId="18" borderId="52" xfId="0" applyFont="1" applyFill="1" applyBorder="1" applyAlignment="1">
      <alignment horizontal="center"/>
    </xf>
    <xf numFmtId="166" fontId="2" fillId="18" borderId="52" xfId="6" applyNumberFormat="1" applyFont="1" applyFill="1" applyBorder="1" applyAlignment="1">
      <alignment horizontal="right" vertical="center" wrapText="1"/>
    </xf>
    <xf numFmtId="166" fontId="2" fillId="18" borderId="40" xfId="6" applyNumberFormat="1" applyFont="1" applyFill="1" applyBorder="1" applyAlignment="1">
      <alignment horizontal="right" vertical="center" wrapText="1"/>
    </xf>
    <xf numFmtId="49" fontId="2" fillId="0" borderId="8" xfId="0" applyNumberFormat="1" applyFont="1" applyBorder="1"/>
    <xf numFmtId="49" fontId="2" fillId="0" borderId="8" xfId="0" applyNumberFormat="1" applyFont="1" applyBorder="1" applyAlignment="1">
      <alignment horizontal="justify" vertical="center" wrapText="1"/>
    </xf>
    <xf numFmtId="167" fontId="3" fillId="0" borderId="0" xfId="6" applyNumberFormat="1" applyFont="1" applyFill="1"/>
    <xf numFmtId="167" fontId="3" fillId="0" borderId="18" xfId="6" applyNumberFormat="1" applyFont="1" applyFill="1" applyBorder="1" applyAlignment="1">
      <alignment horizontal="center" vertical="center" wrapText="1"/>
    </xf>
    <xf numFmtId="167" fontId="3" fillId="0" borderId="4" xfId="6" applyNumberFormat="1" applyFont="1" applyFill="1" applyBorder="1" applyAlignment="1">
      <alignment horizontal="center" vertical="center" wrapText="1"/>
    </xf>
    <xf numFmtId="166" fontId="2" fillId="0" borderId="0" xfId="0" applyNumberFormat="1" applyFont="1" applyAlignment="1">
      <alignment horizontal="center"/>
    </xf>
    <xf numFmtId="0" fontId="19" fillId="14" borderId="13" xfId="0" applyFont="1" applyFill="1" applyBorder="1" applyAlignment="1">
      <alignment horizontal="center" vertical="center" wrapText="1"/>
    </xf>
    <xf numFmtId="0" fontId="19" fillId="14" borderId="70" xfId="0" applyFont="1" applyFill="1" applyBorder="1" applyAlignment="1">
      <alignment horizontal="center" vertical="center" wrapText="1"/>
    </xf>
    <xf numFmtId="0" fontId="19" fillId="14" borderId="48" xfId="0" applyFont="1" applyFill="1" applyBorder="1" applyAlignment="1">
      <alignment horizontal="center" vertical="center" wrapText="1"/>
    </xf>
    <xf numFmtId="166" fontId="3" fillId="0" borderId="18" xfId="6" applyNumberFormat="1" applyFont="1" applyFill="1" applyBorder="1" applyAlignment="1">
      <alignment horizontal="right"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5" borderId="2" xfId="0" applyFont="1" applyFill="1" applyBorder="1" applyAlignment="1">
      <alignment horizontal="center" vertical="center" wrapText="1"/>
    </xf>
    <xf numFmtId="1" fontId="26" fillId="0" borderId="2" xfId="0" applyNumberFormat="1" applyFont="1" applyBorder="1" applyAlignment="1">
      <alignment horizontal="center" vertical="center"/>
    </xf>
    <xf numFmtId="3" fontId="26" fillId="0" borderId="2" xfId="0" applyNumberFormat="1" applyFont="1" applyBorder="1" applyAlignment="1">
      <alignment horizontal="center" vertical="center" wrapText="1"/>
    </xf>
    <xf numFmtId="0" fontId="0" fillId="14" borderId="14" xfId="0" applyFill="1" applyBorder="1" applyAlignment="1">
      <alignment horizontal="center"/>
    </xf>
    <xf numFmtId="0" fontId="0" fillId="14" borderId="0" xfId="0" applyFill="1" applyAlignment="1">
      <alignment horizontal="center"/>
    </xf>
    <xf numFmtId="0" fontId="0" fillId="14" borderId="48" xfId="0" applyFill="1" applyBorder="1" applyAlignment="1">
      <alignment horizontal="center"/>
    </xf>
    <xf numFmtId="0" fontId="22" fillId="26" borderId="24" xfId="0" applyFont="1" applyFill="1" applyBorder="1" applyAlignment="1">
      <alignment horizontal="justify" vertical="center" wrapText="1"/>
    </xf>
    <xf numFmtId="166" fontId="0" fillId="26" borderId="25" xfId="0" applyNumberFormat="1" applyFill="1" applyBorder="1" applyAlignment="1">
      <alignment horizontal="right" wrapText="1"/>
    </xf>
    <xf numFmtId="0" fontId="20" fillId="19" borderId="46" xfId="0" applyFont="1" applyFill="1" applyBorder="1" applyAlignment="1">
      <alignment horizontal="justify" vertical="center" wrapText="1"/>
    </xf>
    <xf numFmtId="0" fontId="20" fillId="19" borderId="52" xfId="0" applyFont="1" applyFill="1" applyBorder="1" applyAlignment="1">
      <alignment horizontal="center" vertical="center" wrapText="1"/>
    </xf>
    <xf numFmtId="167" fontId="20" fillId="19" borderId="50" xfId="6" applyNumberFormat="1" applyFont="1" applyFill="1" applyBorder="1" applyAlignment="1">
      <alignment horizontal="center" vertical="center" wrapText="1"/>
    </xf>
    <xf numFmtId="166" fontId="20" fillId="19" borderId="50" xfId="6" applyNumberFormat="1" applyFont="1" applyFill="1" applyBorder="1" applyAlignment="1">
      <alignment horizontal="right" vertical="center" wrapText="1"/>
    </xf>
    <xf numFmtId="166" fontId="2" fillId="16" borderId="25" xfId="0" applyNumberFormat="1" applyFont="1" applyFill="1" applyBorder="1" applyAlignment="1">
      <alignment horizontal="center" vertical="center" wrapText="1"/>
    </xf>
    <xf numFmtId="0" fontId="4" fillId="14" borderId="84" xfId="0" applyFont="1" applyFill="1" applyBorder="1" applyAlignment="1">
      <alignment horizontal="center" vertical="center" wrapText="1"/>
    </xf>
    <xf numFmtId="166" fontId="4" fillId="14" borderId="51" xfId="7" applyNumberFormat="1" applyFont="1" applyFill="1" applyBorder="1" applyAlignment="1">
      <alignment horizontal="right" vertical="center" wrapText="1"/>
    </xf>
    <xf numFmtId="166" fontId="0" fillId="5" borderId="38" xfId="0" applyNumberFormat="1" applyFill="1" applyBorder="1" applyAlignment="1">
      <alignment horizontal="right" vertical="center"/>
    </xf>
    <xf numFmtId="0" fontId="26" fillId="18" borderId="2" xfId="0" applyFont="1" applyFill="1" applyBorder="1" applyAlignment="1">
      <alignment horizontal="center" vertical="center" wrapText="1"/>
    </xf>
    <xf numFmtId="0" fontId="4" fillId="14" borderId="74" xfId="0" applyFont="1" applyFill="1" applyBorder="1" applyAlignment="1">
      <alignment horizontal="center" vertical="center"/>
    </xf>
    <xf numFmtId="0" fontId="2" fillId="18" borderId="17" xfId="0" applyFont="1" applyFill="1" applyBorder="1" applyAlignment="1">
      <alignment horizontal="justify" vertical="center"/>
    </xf>
    <xf numFmtId="166" fontId="2" fillId="0" borderId="34" xfId="6" applyNumberFormat="1" applyFont="1" applyFill="1" applyBorder="1" applyAlignment="1">
      <alignment horizontal="right" vertical="center" wrapText="1"/>
    </xf>
    <xf numFmtId="166" fontId="2" fillId="0" borderId="42" xfId="6" applyNumberFormat="1" applyFont="1" applyFill="1" applyBorder="1" applyAlignment="1">
      <alignment horizontal="right" vertical="center" wrapText="1"/>
    </xf>
    <xf numFmtId="166" fontId="2" fillId="17" borderId="37" xfId="6" applyNumberFormat="1" applyFont="1" applyFill="1" applyBorder="1" applyAlignment="1">
      <alignment horizontal="right" vertical="center"/>
    </xf>
    <xf numFmtId="166" fontId="2" fillId="17" borderId="38" xfId="6" applyNumberFormat="1" applyFont="1" applyFill="1" applyBorder="1" applyAlignment="1">
      <alignment horizontal="right" vertical="center"/>
    </xf>
    <xf numFmtId="0" fontId="3" fillId="17" borderId="33" xfId="0" applyFont="1" applyFill="1" applyBorder="1" applyAlignment="1">
      <alignment horizontal="justify" vertical="center"/>
    </xf>
    <xf numFmtId="166" fontId="2" fillId="17" borderId="34" xfId="6" applyNumberFormat="1" applyFont="1" applyFill="1" applyBorder="1" applyAlignment="1">
      <alignment horizontal="right" vertical="center"/>
    </xf>
    <xf numFmtId="166" fontId="2" fillId="17" borderId="42" xfId="6" applyNumberFormat="1" applyFont="1" applyFill="1" applyBorder="1" applyAlignment="1">
      <alignment horizontal="right" vertical="center"/>
    </xf>
    <xf numFmtId="166" fontId="2" fillId="18" borderId="37" xfId="6" applyNumberFormat="1" applyFont="1" applyFill="1" applyBorder="1" applyAlignment="1">
      <alignment horizontal="right" vertical="center" wrapText="1"/>
    </xf>
    <xf numFmtId="166" fontId="2" fillId="18" borderId="38" xfId="6" applyNumberFormat="1" applyFont="1" applyFill="1" applyBorder="1" applyAlignment="1">
      <alignment horizontal="right" vertical="center" wrapText="1"/>
    </xf>
    <xf numFmtId="166" fontId="2" fillId="18" borderId="34" xfId="6" applyNumberFormat="1" applyFont="1" applyFill="1" applyBorder="1" applyAlignment="1">
      <alignment horizontal="right" vertical="center" wrapText="1"/>
    </xf>
    <xf numFmtId="166" fontId="2" fillId="18" borderId="42" xfId="6" applyNumberFormat="1" applyFont="1" applyFill="1" applyBorder="1" applyAlignment="1">
      <alignment horizontal="right" vertical="center" wrapText="1"/>
    </xf>
    <xf numFmtId="0" fontId="2" fillId="17" borderId="17" xfId="0" applyFont="1" applyFill="1" applyBorder="1" applyAlignment="1">
      <alignment horizontal="justify" vertical="center"/>
    </xf>
    <xf numFmtId="0" fontId="2" fillId="17" borderId="33" xfId="0" applyFont="1" applyFill="1" applyBorder="1" applyAlignment="1">
      <alignment horizontal="justify" vertical="center"/>
    </xf>
    <xf numFmtId="166" fontId="2" fillId="0" borderId="21" xfId="6" applyNumberFormat="1" applyFont="1" applyFill="1" applyBorder="1" applyAlignment="1">
      <alignment horizontal="right" vertical="center" wrapText="1"/>
    </xf>
    <xf numFmtId="166" fontId="2" fillId="0" borderId="43" xfId="6" applyNumberFormat="1" applyFont="1" applyFill="1" applyBorder="1" applyAlignment="1">
      <alignment horizontal="right" vertical="center" wrapText="1"/>
    </xf>
    <xf numFmtId="166" fontId="2" fillId="0" borderId="43" xfId="0" applyNumberFormat="1" applyFont="1" applyBorder="1" applyAlignment="1">
      <alignment horizontal="right" vertical="center" wrapText="1"/>
    </xf>
    <xf numFmtId="166" fontId="2" fillId="18" borderId="37" xfId="0" applyNumberFormat="1" applyFont="1" applyFill="1" applyBorder="1" applyAlignment="1">
      <alignment horizontal="right" vertical="center"/>
    </xf>
    <xf numFmtId="166" fontId="2" fillId="18" borderId="38" xfId="0" applyNumberFormat="1" applyFont="1" applyFill="1" applyBorder="1" applyAlignment="1">
      <alignment horizontal="right" vertical="center"/>
    </xf>
    <xf numFmtId="166" fontId="2" fillId="18" borderId="34" xfId="0" applyNumberFormat="1" applyFont="1" applyFill="1" applyBorder="1" applyAlignment="1">
      <alignment horizontal="right" vertical="center"/>
    </xf>
    <xf numFmtId="166" fontId="2" fillId="18" borderId="42" xfId="0" applyNumberFormat="1" applyFont="1" applyFill="1" applyBorder="1" applyAlignment="1">
      <alignment horizontal="right" vertical="center"/>
    </xf>
    <xf numFmtId="166" fontId="2" fillId="17" borderId="37" xfId="6" applyNumberFormat="1" applyFont="1" applyFill="1" applyBorder="1" applyAlignment="1">
      <alignment horizontal="right" vertical="center" wrapText="1"/>
    </xf>
    <xf numFmtId="166" fontId="2" fillId="17" borderId="38" xfId="6" applyNumberFormat="1" applyFont="1" applyFill="1" applyBorder="1" applyAlignment="1">
      <alignment horizontal="right" vertical="center" wrapText="1"/>
    </xf>
    <xf numFmtId="166" fontId="2" fillId="17" borderId="34" xfId="6" applyNumberFormat="1" applyFont="1" applyFill="1" applyBorder="1" applyAlignment="1">
      <alignment horizontal="right" vertical="center" wrapText="1"/>
    </xf>
    <xf numFmtId="166" fontId="2" fillId="17" borderId="42" xfId="6" applyNumberFormat="1" applyFont="1" applyFill="1" applyBorder="1" applyAlignment="1">
      <alignment horizontal="right" vertical="center" wrapText="1"/>
    </xf>
    <xf numFmtId="166" fontId="3" fillId="0" borderId="2" xfId="0" applyNumberFormat="1" applyFont="1" applyBorder="1" applyAlignment="1">
      <alignment horizontal="right" wrapText="1"/>
    </xf>
    <xf numFmtId="0" fontId="2" fillId="18" borderId="37" xfId="0" applyFont="1" applyFill="1" applyBorder="1"/>
    <xf numFmtId="0" fontId="2" fillId="18" borderId="37" xfId="0" applyFont="1" applyFill="1" applyBorder="1" applyAlignment="1">
      <alignment horizontal="center"/>
    </xf>
    <xf numFmtId="0" fontId="2" fillId="18" borderId="37" xfId="0" applyFont="1" applyFill="1" applyBorder="1" applyAlignment="1">
      <alignment horizontal="center" vertical="center" wrapText="1"/>
    </xf>
    <xf numFmtId="166" fontId="3" fillId="0" borderId="2" xfId="6" applyNumberFormat="1" applyFont="1" applyFill="1" applyBorder="1" applyAlignment="1">
      <alignment horizontal="right" vertical="center" wrapText="1"/>
    </xf>
    <xf numFmtId="0" fontId="3" fillId="0" borderId="2" xfId="0" applyFont="1" applyBorder="1"/>
    <xf numFmtId="0" fontId="3" fillId="16" borderId="35" xfId="0" applyFont="1" applyFill="1" applyBorder="1" applyAlignment="1">
      <alignment horizontal="justify" vertical="center" wrapText="1"/>
    </xf>
    <xf numFmtId="0" fontId="3" fillId="16" borderId="5" xfId="0" applyFont="1" applyFill="1" applyBorder="1" applyAlignment="1">
      <alignment horizontal="justify" vertical="center" wrapText="1"/>
    </xf>
    <xf numFmtId="0" fontId="3" fillId="16" borderId="5" xfId="0" applyFont="1" applyFill="1" applyBorder="1" applyAlignment="1">
      <alignment horizontal="center" vertical="center" wrapText="1"/>
    </xf>
    <xf numFmtId="166" fontId="2" fillId="16" borderId="5" xfId="6" applyNumberFormat="1" applyFont="1" applyFill="1" applyBorder="1" applyAlignment="1">
      <alignment horizontal="right" vertical="center" wrapText="1"/>
    </xf>
    <xf numFmtId="166" fontId="2" fillId="16" borderId="43" xfId="6" applyNumberFormat="1" applyFont="1" applyFill="1" applyBorder="1" applyAlignment="1">
      <alignment horizontal="right" vertical="center" wrapText="1"/>
    </xf>
    <xf numFmtId="0" fontId="3" fillId="17" borderId="34" xfId="2" applyFont="1" applyFill="1" applyBorder="1" applyAlignment="1">
      <alignment horizontal="justify" vertical="center"/>
    </xf>
    <xf numFmtId="0" fontId="3" fillId="17" borderId="34" xfId="2" applyFont="1" applyFill="1" applyBorder="1" applyAlignment="1">
      <alignment horizontal="center" vertical="center"/>
    </xf>
    <xf numFmtId="0" fontId="2" fillId="17" borderId="34" xfId="0" applyFont="1" applyFill="1" applyBorder="1" applyAlignment="1">
      <alignment horizontal="center" vertical="center"/>
    </xf>
    <xf numFmtId="0" fontId="2" fillId="17" borderId="37" xfId="0" applyFont="1" applyFill="1" applyBorder="1"/>
    <xf numFmtId="0" fontId="2" fillId="17" borderId="37" xfId="0" applyFont="1" applyFill="1" applyBorder="1" applyAlignment="1">
      <alignment horizontal="center"/>
    </xf>
    <xf numFmtId="0" fontId="2" fillId="17" borderId="37" xfId="0" applyFont="1" applyFill="1" applyBorder="1" applyAlignment="1">
      <alignment horizontal="center" vertical="center" wrapText="1"/>
    </xf>
    <xf numFmtId="0" fontId="2" fillId="18" borderId="37" xfId="0" applyFont="1" applyFill="1" applyBorder="1" applyAlignment="1">
      <alignment horizontal="justify" vertical="center"/>
    </xf>
    <xf numFmtId="0" fontId="2" fillId="17" borderId="37" xfId="0" applyFont="1" applyFill="1" applyBorder="1" applyAlignment="1">
      <alignment horizontal="justify" vertical="center"/>
    </xf>
    <xf numFmtId="0" fontId="2" fillId="17" borderId="37" xfId="0" applyFont="1" applyFill="1" applyBorder="1" applyAlignment="1">
      <alignment horizontal="center" vertical="center"/>
    </xf>
    <xf numFmtId="0" fontId="2" fillId="16" borderId="5" xfId="0" applyFont="1" applyFill="1" applyBorder="1" applyAlignment="1">
      <alignment horizontal="left" vertical="center" wrapText="1"/>
    </xf>
    <xf numFmtId="167" fontId="2" fillId="16" borderId="5" xfId="6" applyNumberFormat="1" applyFont="1" applyFill="1" applyBorder="1" applyAlignment="1">
      <alignment horizontal="center" vertical="center" wrapText="1"/>
    </xf>
    <xf numFmtId="167" fontId="2" fillId="16" borderId="5" xfId="6" applyNumberFormat="1" applyFont="1" applyFill="1" applyBorder="1" applyAlignment="1">
      <alignment horizontal="right" vertical="center" wrapText="1"/>
    </xf>
    <xf numFmtId="166" fontId="19" fillId="14" borderId="42" xfId="0" applyNumberFormat="1" applyFont="1" applyFill="1" applyBorder="1" applyAlignment="1">
      <alignment horizontal="right" vertical="center" wrapText="1"/>
    </xf>
    <xf numFmtId="0" fontId="26" fillId="15" borderId="2" xfId="0" applyFont="1" applyFill="1" applyBorder="1" applyAlignment="1">
      <alignment horizontal="center" vertical="center" wrapText="1"/>
    </xf>
    <xf numFmtId="0" fontId="2" fillId="15" borderId="11" xfId="2" applyFill="1" applyBorder="1" applyAlignment="1">
      <alignment horizontal="justify" vertical="center"/>
    </xf>
    <xf numFmtId="0" fontId="2" fillId="15" borderId="17" xfId="2" applyFill="1" applyBorder="1" applyAlignment="1">
      <alignment horizontal="justify" vertical="center"/>
    </xf>
    <xf numFmtId="166" fontId="3" fillId="15" borderId="37" xfId="0" applyNumberFormat="1" applyFont="1" applyFill="1" applyBorder="1" applyAlignment="1">
      <alignment horizontal="right" vertical="center" wrapText="1"/>
    </xf>
    <xf numFmtId="0" fontId="20" fillId="18" borderId="12" xfId="0" applyFont="1" applyFill="1" applyBorder="1" applyAlignment="1">
      <alignment horizontal="justify" vertical="center" wrapText="1"/>
    </xf>
    <xf numFmtId="0" fontId="20" fillId="18" borderId="17" xfId="0" applyFont="1" applyFill="1" applyBorder="1" applyAlignment="1">
      <alignment horizontal="justify" vertical="center" wrapText="1"/>
    </xf>
    <xf numFmtId="0" fontId="2" fillId="34" borderId="17" xfId="0" applyFont="1" applyFill="1" applyBorder="1" applyAlignment="1">
      <alignment horizontal="justify" vertical="center" wrapText="1"/>
    </xf>
    <xf numFmtId="49" fontId="4" fillId="5" borderId="8" xfId="0" applyNumberFormat="1" applyFont="1" applyFill="1" applyBorder="1" applyAlignment="1">
      <alignment horizontal="center" vertical="center" wrapText="1"/>
    </xf>
    <xf numFmtId="166" fontId="42" fillId="0" borderId="0" xfId="0" applyNumberFormat="1" applyFont="1"/>
    <xf numFmtId="166" fontId="32" fillId="0" borderId="0" xfId="0" applyNumberFormat="1" applyFont="1"/>
    <xf numFmtId="0" fontId="3" fillId="34" borderId="17" xfId="0" applyFont="1" applyFill="1" applyBorder="1" applyAlignment="1">
      <alignment horizontal="justify" vertical="center"/>
    </xf>
    <xf numFmtId="166" fontId="3" fillId="15" borderId="36" xfId="2" applyNumberFormat="1" applyFont="1" applyFill="1" applyBorder="1" applyAlignment="1">
      <alignment horizontal="right" vertical="center"/>
    </xf>
    <xf numFmtId="49" fontId="3" fillId="0" borderId="2"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0" fontId="3" fillId="34" borderId="33" xfId="0" applyFont="1" applyFill="1" applyBorder="1" applyAlignment="1">
      <alignment horizontal="justify" vertical="center"/>
    </xf>
    <xf numFmtId="166" fontId="3" fillId="15" borderId="74" xfId="2" applyNumberFormat="1" applyFont="1" applyFill="1" applyBorder="1" applyAlignment="1">
      <alignment horizontal="right" vertical="center"/>
    </xf>
    <xf numFmtId="166" fontId="3" fillId="0" borderId="74" xfId="0" applyNumberFormat="1" applyFont="1" applyBorder="1" applyAlignment="1">
      <alignment horizontal="right" vertical="center" wrapText="1"/>
    </xf>
    <xf numFmtId="166" fontId="3" fillId="0" borderId="82" xfId="0" applyNumberFormat="1" applyFont="1" applyBorder="1" applyAlignment="1">
      <alignment horizontal="right" vertical="center" wrapText="1"/>
    </xf>
    <xf numFmtId="166" fontId="3" fillId="18" borderId="74" xfId="0" applyNumberFormat="1" applyFont="1" applyFill="1" applyBorder="1" applyAlignment="1">
      <alignment horizontal="right" vertical="center"/>
    </xf>
    <xf numFmtId="166" fontId="3" fillId="18" borderId="82" xfId="0" applyNumberFormat="1" applyFont="1" applyFill="1" applyBorder="1" applyAlignment="1">
      <alignment horizontal="right" vertical="center"/>
    </xf>
    <xf numFmtId="0" fontId="3" fillId="18" borderId="33" xfId="0" applyFont="1" applyFill="1" applyBorder="1" applyAlignment="1">
      <alignment horizontal="justify" vertical="center"/>
    </xf>
    <xf numFmtId="166" fontId="3" fillId="0" borderId="73" xfId="0" applyNumberFormat="1" applyFont="1" applyBorder="1" applyAlignment="1">
      <alignment horizontal="right" vertical="center" wrapText="1"/>
    </xf>
    <xf numFmtId="166" fontId="3" fillId="0" borderId="27" xfId="0" applyNumberFormat="1" applyFont="1" applyBorder="1" applyAlignment="1">
      <alignment horizontal="right" vertical="center" wrapText="1"/>
    </xf>
    <xf numFmtId="166" fontId="2" fillId="16" borderId="2" xfId="0" applyNumberFormat="1" applyFont="1" applyFill="1" applyBorder="1" applyAlignment="1">
      <alignment horizontal="right" vertical="center"/>
    </xf>
    <xf numFmtId="166" fontId="2" fillId="16" borderId="18" xfId="0" applyNumberFormat="1" applyFont="1" applyFill="1" applyBorder="1" applyAlignment="1">
      <alignment horizontal="right" vertical="center"/>
    </xf>
    <xf numFmtId="0" fontId="2" fillId="17" borderId="52" xfId="2" applyFill="1" applyBorder="1" applyAlignment="1">
      <alignment horizontal="center" vertical="center"/>
    </xf>
    <xf numFmtId="0" fontId="2" fillId="5" borderId="52" xfId="0" applyFont="1" applyFill="1" applyBorder="1" applyAlignment="1">
      <alignment horizontal="center" vertical="center" wrapText="1"/>
    </xf>
    <xf numFmtId="166" fontId="2" fillId="0" borderId="3" xfId="8" applyNumberFormat="1" applyFont="1" applyFill="1" applyBorder="1" applyAlignment="1">
      <alignment horizontal="right" vertical="center" wrapText="1"/>
    </xf>
    <xf numFmtId="166" fontId="2" fillId="0" borderId="45" xfId="8" applyNumberFormat="1" applyFont="1" applyFill="1" applyBorder="1" applyAlignment="1">
      <alignment horizontal="right" vertical="center" wrapText="1"/>
    </xf>
    <xf numFmtId="49" fontId="19" fillId="0" borderId="0" xfId="0" applyNumberFormat="1" applyFont="1" applyAlignment="1">
      <alignment horizontal="center" vertical="center" wrapText="1"/>
    </xf>
    <xf numFmtId="0" fontId="2" fillId="0" borderId="35" xfId="0" applyFont="1" applyBorder="1" applyAlignment="1">
      <alignment horizontal="left" vertical="center" wrapText="1"/>
    </xf>
    <xf numFmtId="0" fontId="2" fillId="0" borderId="33" xfId="0" applyFont="1" applyBorder="1" applyAlignment="1">
      <alignment horizontal="left" vertical="center" wrapText="1"/>
    </xf>
    <xf numFmtId="49" fontId="19" fillId="0" borderId="8" xfId="0" applyNumberFormat="1" applyFont="1" applyBorder="1" applyAlignment="1">
      <alignment horizontal="center" vertical="center" wrapText="1"/>
    </xf>
    <xf numFmtId="166" fontId="2" fillId="0" borderId="42" xfId="7" applyNumberFormat="1" applyFont="1" applyFill="1" applyBorder="1" applyAlignment="1">
      <alignment horizontal="right" vertical="center" wrapText="1"/>
    </xf>
    <xf numFmtId="164" fontId="2" fillId="16" borderId="2" xfId="0" applyNumberFormat="1" applyFont="1" applyFill="1" applyBorder="1" applyAlignment="1">
      <alignment horizontal="center" vertical="center" wrapText="1"/>
    </xf>
    <xf numFmtId="0" fontId="2" fillId="16" borderId="2" xfId="0" applyFont="1" applyFill="1" applyBorder="1" applyAlignment="1">
      <alignment horizontal="center" vertical="center"/>
    </xf>
    <xf numFmtId="166" fontId="2" fillId="16" borderId="18" xfId="1" applyNumberFormat="1" applyFont="1" applyFill="1" applyBorder="1" applyAlignment="1">
      <alignment horizontal="right" vertical="center" wrapText="1"/>
    </xf>
    <xf numFmtId="166" fontId="4" fillId="14" borderId="11" xfId="0" applyNumberFormat="1" applyFont="1" applyFill="1" applyBorder="1" applyAlignment="1">
      <alignment horizontal="center" vertical="center" wrapText="1"/>
    </xf>
    <xf numFmtId="0" fontId="4" fillId="14" borderId="11" xfId="0" applyFont="1" applyFill="1" applyBorder="1" applyAlignment="1">
      <alignment horizontal="center" vertical="center"/>
    </xf>
    <xf numFmtId="0" fontId="44" fillId="14" borderId="2" xfId="0" applyFont="1" applyFill="1" applyBorder="1" applyAlignment="1">
      <alignment horizontal="justify" vertical="center"/>
    </xf>
    <xf numFmtId="0" fontId="44" fillId="14" borderId="2" xfId="0" applyFont="1" applyFill="1" applyBorder="1" applyAlignment="1">
      <alignment horizontal="center" vertical="center"/>
    </xf>
    <xf numFmtId="0" fontId="44" fillId="14" borderId="2" xfId="0" applyFont="1" applyFill="1" applyBorder="1" applyAlignment="1">
      <alignment horizontal="center" vertical="center" wrapText="1"/>
    </xf>
    <xf numFmtId="0" fontId="26" fillId="15" borderId="2" xfId="0" applyFont="1" applyFill="1" applyBorder="1" applyAlignment="1">
      <alignment horizontal="justify" vertical="center" wrapText="1"/>
    </xf>
    <xf numFmtId="0" fontId="26" fillId="15" borderId="2" xfId="0" applyFont="1" applyFill="1" applyBorder="1" applyAlignment="1">
      <alignment horizontal="center" vertical="center"/>
    </xf>
    <xf numFmtId="0" fontId="26" fillId="0" borderId="2" xfId="0" applyFont="1" applyBorder="1" applyAlignment="1">
      <alignment horizontal="justify" vertical="top" wrapText="1"/>
    </xf>
    <xf numFmtId="0" fontId="45" fillId="0" borderId="2" xfId="0" applyFont="1" applyBorder="1" applyAlignment="1">
      <alignment horizontal="justify" vertical="top" wrapText="1"/>
    </xf>
    <xf numFmtId="0" fontId="26" fillId="5" borderId="2" xfId="0" applyFont="1" applyFill="1" applyBorder="1" applyAlignment="1">
      <alignment horizontal="justify" vertical="center" wrapText="1"/>
    </xf>
    <xf numFmtId="0" fontId="26" fillId="5" borderId="2" xfId="0" applyFont="1" applyFill="1" applyBorder="1" applyAlignment="1">
      <alignment horizontal="center" vertical="center"/>
    </xf>
    <xf numFmtId="0" fontId="26" fillId="0" borderId="2" xfId="0" applyFont="1" applyBorder="1" applyAlignment="1">
      <alignment horizontal="justify" vertical="center" wrapText="1"/>
    </xf>
    <xf numFmtId="0" fontId="44" fillId="14" borderId="2" xfId="0" applyFont="1" applyFill="1" applyBorder="1" applyAlignment="1">
      <alignment horizontal="center" vertical="top"/>
    </xf>
    <xf numFmtId="1" fontId="26" fillId="0" borderId="2" xfId="0" applyNumberFormat="1" applyFont="1" applyBorder="1" applyAlignment="1">
      <alignment horizontal="justify" vertical="top" wrapText="1"/>
    </xf>
    <xf numFmtId="0" fontId="26" fillId="0" borderId="2" xfId="2" applyFont="1" applyBorder="1" applyAlignment="1">
      <alignment horizontal="justify" vertical="center"/>
    </xf>
    <xf numFmtId="0" fontId="26" fillId="0" borderId="2" xfId="0" applyFont="1" applyBorder="1" applyAlignment="1">
      <alignment horizontal="justify" vertical="center"/>
    </xf>
    <xf numFmtId="166" fontId="26" fillId="0" borderId="2" xfId="0" applyNumberFormat="1" applyFont="1" applyBorder="1" applyAlignment="1">
      <alignment horizontal="justify" vertical="top" wrapText="1"/>
    </xf>
    <xf numFmtId="3" fontId="45" fillId="0" borderId="2" xfId="0" applyNumberFormat="1" applyFont="1" applyBorder="1" applyAlignment="1">
      <alignment horizontal="justify" vertical="top" wrapText="1"/>
    </xf>
    <xf numFmtId="0" fontId="45" fillId="0" borderId="2" xfId="0" applyFont="1" applyBorder="1" applyAlignment="1">
      <alignment horizontal="center" vertical="center"/>
    </xf>
    <xf numFmtId="0" fontId="26" fillId="0" borderId="2" xfId="2" applyFont="1" applyBorder="1" applyAlignment="1">
      <alignment horizontal="justify" vertical="center" wrapText="1"/>
    </xf>
    <xf numFmtId="1" fontId="26" fillId="0" borderId="2" xfId="3" applyNumberFormat="1" applyFont="1" applyFill="1" applyBorder="1" applyAlignment="1">
      <alignment horizontal="center" vertical="center"/>
    </xf>
    <xf numFmtId="0" fontId="47" fillId="0" borderId="0" xfId="0" applyFont="1" applyAlignment="1">
      <alignment horizontal="justify" vertical="center" wrapText="1"/>
    </xf>
    <xf numFmtId="0" fontId="47"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horizontal="center" vertical="center"/>
    </xf>
    <xf numFmtId="0" fontId="44" fillId="14" borderId="4" xfId="0" applyFont="1" applyFill="1" applyBorder="1" applyAlignment="1">
      <alignment horizontal="center" vertical="center"/>
    </xf>
    <xf numFmtId="3" fontId="44" fillId="14" borderId="2" xfId="0" applyNumberFormat="1" applyFont="1" applyFill="1" applyBorder="1" applyAlignment="1">
      <alignment horizontal="center" vertical="center"/>
    </xf>
    <xf numFmtId="166" fontId="26" fillId="15" borderId="2" xfId="0" applyNumberFormat="1" applyFont="1" applyFill="1" applyBorder="1" applyAlignment="1">
      <alignment vertical="center"/>
    </xf>
    <xf numFmtId="166" fontId="26" fillId="0" borderId="2" xfId="7" applyNumberFormat="1" applyFont="1" applyBorder="1" applyAlignment="1">
      <alignment horizontal="right" vertical="center"/>
    </xf>
    <xf numFmtId="166" fontId="26" fillId="0" borderId="2" xfId="7" applyNumberFormat="1" applyFont="1" applyFill="1" applyBorder="1" applyAlignment="1">
      <alignment horizontal="right" vertical="center"/>
    </xf>
    <xf numFmtId="166" fontId="26" fillId="0" borderId="2" xfId="7" applyNumberFormat="1" applyFont="1" applyFill="1" applyBorder="1" applyAlignment="1">
      <alignment horizontal="right"/>
    </xf>
    <xf numFmtId="166" fontId="26" fillId="0" borderId="2" xfId="0" applyNumberFormat="1" applyFont="1" applyBorder="1" applyAlignment="1">
      <alignment horizontal="right" vertical="center"/>
    </xf>
    <xf numFmtId="166" fontId="26" fillId="5" borderId="2" xfId="0" applyNumberFormat="1" applyFont="1" applyFill="1" applyBorder="1" applyAlignment="1">
      <alignment vertical="center"/>
    </xf>
    <xf numFmtId="166" fontId="26" fillId="0" borderId="2" xfId="0" applyNumberFormat="1" applyFont="1" applyBorder="1" applyAlignment="1">
      <alignment vertical="center"/>
    </xf>
    <xf numFmtId="166" fontId="44" fillId="14" borderId="2" xfId="0" applyNumberFormat="1" applyFont="1" applyFill="1" applyBorder="1" applyAlignment="1">
      <alignment vertical="center"/>
    </xf>
    <xf numFmtId="166" fontId="26" fillId="0" borderId="2" xfId="8" applyNumberFormat="1" applyFont="1" applyBorder="1" applyAlignment="1">
      <alignment vertical="center"/>
    </xf>
    <xf numFmtId="166" fontId="26" fillId="0" borderId="2" xfId="8" applyNumberFormat="1" applyFont="1" applyFill="1" applyBorder="1" applyAlignment="1">
      <alignment vertical="center" wrapText="1"/>
    </xf>
    <xf numFmtId="166" fontId="26" fillId="0" borderId="2" xfId="8" applyNumberFormat="1" applyFont="1" applyFill="1" applyBorder="1" applyAlignment="1">
      <alignment vertical="center"/>
    </xf>
    <xf numFmtId="166" fontId="26" fillId="3" borderId="2" xfId="0" applyNumberFormat="1" applyFont="1" applyFill="1" applyBorder="1" applyAlignment="1">
      <alignment horizontal="right" vertical="center"/>
    </xf>
    <xf numFmtId="166" fontId="26" fillId="0" borderId="2" xfId="0" applyNumberFormat="1" applyFont="1" applyBorder="1" applyAlignment="1">
      <alignment horizontal="right" vertical="center" wrapText="1"/>
    </xf>
    <xf numFmtId="166" fontId="26" fillId="0" borderId="2" xfId="0" applyNumberFormat="1" applyFont="1" applyBorder="1" applyAlignment="1">
      <alignment vertical="center" wrapText="1"/>
    </xf>
    <xf numFmtId="166" fontId="45" fillId="0" borderId="2" xfId="0" applyNumberFormat="1" applyFont="1" applyBorder="1" applyAlignment="1">
      <alignment vertical="center"/>
    </xf>
    <xf numFmtId="166" fontId="44" fillId="13" borderId="2" xfId="0" applyNumberFormat="1" applyFont="1" applyFill="1" applyBorder="1" applyAlignment="1">
      <alignment vertical="center"/>
    </xf>
    <xf numFmtId="166" fontId="44" fillId="0" borderId="0" xfId="0" applyNumberFormat="1" applyFont="1" applyAlignment="1">
      <alignment vertical="center"/>
    </xf>
    <xf numFmtId="166" fontId="26" fillId="0" borderId="0" xfId="5" applyNumberFormat="1" applyFont="1" applyAlignment="1">
      <alignment vertical="center"/>
    </xf>
    <xf numFmtId="166" fontId="26" fillId="0" borderId="0" xfId="0" applyNumberFormat="1" applyFont="1" applyAlignment="1">
      <alignment vertical="center"/>
    </xf>
    <xf numFmtId="166" fontId="26" fillId="4" borderId="0" xfId="0" applyNumberFormat="1" applyFont="1" applyFill="1" applyAlignment="1">
      <alignment vertical="center"/>
    </xf>
    <xf numFmtId="166" fontId="26" fillId="0" borderId="2" xfId="7" applyNumberFormat="1" applyFont="1" applyFill="1" applyBorder="1" applyAlignment="1">
      <alignment horizontal="right" vertical="center" wrapText="1"/>
    </xf>
    <xf numFmtId="3" fontId="44" fillId="14" borderId="2" xfId="0" applyNumberFormat="1" applyFont="1" applyFill="1" applyBorder="1" applyAlignment="1">
      <alignment horizontal="center" vertical="top"/>
    </xf>
    <xf numFmtId="0" fontId="44" fillId="15" borderId="2" xfId="0" applyFont="1" applyFill="1" applyBorder="1" applyAlignment="1">
      <alignment horizontal="center" vertical="center" wrapText="1"/>
    </xf>
    <xf numFmtId="0" fontId="26" fillId="0" borderId="2" xfId="0" applyFont="1" applyBorder="1" applyAlignment="1">
      <alignment vertical="top" wrapText="1"/>
    </xf>
    <xf numFmtId="0" fontId="44" fillId="5" borderId="2" xfId="0" applyFont="1" applyFill="1" applyBorder="1" applyAlignment="1">
      <alignment horizontal="center" vertical="center" wrapText="1"/>
    </xf>
    <xf numFmtId="0" fontId="44" fillId="14" borderId="2" xfId="0" applyFont="1" applyFill="1" applyBorder="1" applyAlignment="1">
      <alignment vertical="top"/>
    </xf>
    <xf numFmtId="166" fontId="26" fillId="0" borderId="2" xfId="0" applyNumberFormat="1" applyFont="1" applyBorder="1" applyAlignment="1">
      <alignment horizontal="justify" vertical="top"/>
    </xf>
    <xf numFmtId="0" fontId="26" fillId="5" borderId="2" xfId="0" applyFont="1" applyFill="1" applyBorder="1" applyAlignment="1">
      <alignment vertical="top"/>
    </xf>
    <xf numFmtId="0" fontId="26" fillId="15" borderId="2" xfId="0" applyFont="1" applyFill="1" applyBorder="1" applyAlignment="1">
      <alignment vertical="top"/>
    </xf>
    <xf numFmtId="0" fontId="44" fillId="15" borderId="2" xfId="0" applyFont="1" applyFill="1" applyBorder="1" applyAlignment="1">
      <alignment horizontal="center" vertical="center"/>
    </xf>
    <xf numFmtId="166" fontId="45" fillId="0" borderId="2" xfId="0" applyNumberFormat="1" applyFont="1" applyBorder="1" applyAlignment="1">
      <alignment horizontal="justify" vertical="center"/>
    </xf>
    <xf numFmtId="166" fontId="26" fillId="0" borderId="2" xfId="0" applyNumberFormat="1" applyFont="1" applyBorder="1" applyAlignment="1">
      <alignment horizontal="justify" vertical="center"/>
    </xf>
    <xf numFmtId="166" fontId="26" fillId="0" borderId="2" xfId="0" applyNumberFormat="1" applyFont="1" applyBorder="1" applyAlignment="1">
      <alignment horizontal="justify" vertical="center" wrapText="1"/>
    </xf>
    <xf numFmtId="0" fontId="26" fillId="0" borderId="2" xfId="0" applyFont="1" applyBorder="1" applyAlignment="1">
      <alignment vertical="top"/>
    </xf>
    <xf numFmtId="166" fontId="26" fillId="0" borderId="2" xfId="0" applyNumberFormat="1" applyFont="1" applyBorder="1" applyAlignment="1">
      <alignment vertical="top" wrapText="1"/>
    </xf>
    <xf numFmtId="166" fontId="26" fillId="5" borderId="2" xfId="0" applyNumberFormat="1" applyFont="1" applyFill="1" applyBorder="1" applyAlignment="1">
      <alignment horizontal="justify" vertical="top" wrapText="1"/>
    </xf>
    <xf numFmtId="0" fontId="44" fillId="5" borderId="2" xfId="0" applyFont="1" applyFill="1" applyBorder="1" applyAlignment="1">
      <alignment horizontal="center" vertical="center"/>
    </xf>
    <xf numFmtId="49" fontId="26" fillId="0" borderId="2" xfId="0" applyNumberFormat="1" applyFont="1" applyBorder="1" applyAlignment="1">
      <alignment horizontal="justify" vertical="top" wrapText="1"/>
    </xf>
    <xf numFmtId="0" fontId="26" fillId="15" borderId="2" xfId="0" applyFont="1" applyFill="1" applyBorder="1" applyAlignment="1">
      <alignment vertical="top" wrapText="1"/>
    </xf>
    <xf numFmtId="0" fontId="45" fillId="0" borderId="2" xfId="0" applyFont="1" applyBorder="1" applyAlignment="1">
      <alignment vertical="top" wrapText="1"/>
    </xf>
    <xf numFmtId="0" fontId="26" fillId="0" borderId="0" xfId="0" applyFont="1" applyAlignment="1">
      <alignment vertical="top"/>
    </xf>
    <xf numFmtId="166" fontId="2" fillId="16" borderId="5" xfId="0" applyNumberFormat="1" applyFont="1" applyFill="1" applyBorder="1" applyAlignment="1">
      <alignment vertical="center" wrapText="1"/>
    </xf>
    <xf numFmtId="166" fontId="2" fillId="16" borderId="43" xfId="0" applyNumberFormat="1" applyFont="1" applyFill="1" applyBorder="1" applyAlignment="1">
      <alignment vertical="center" wrapText="1"/>
    </xf>
    <xf numFmtId="166" fontId="3" fillId="18" borderId="34" xfId="1" applyNumberFormat="1" applyFont="1" applyFill="1" applyBorder="1" applyAlignment="1">
      <alignment horizontal="right" vertical="center"/>
    </xf>
    <xf numFmtId="0" fontId="2" fillId="0" borderId="24" xfId="0" applyFont="1" applyBorder="1" applyAlignment="1">
      <alignment horizontal="justify" vertical="center"/>
    </xf>
    <xf numFmtId="0" fontId="2" fillId="15" borderId="17" xfId="0" applyFont="1" applyFill="1" applyBorder="1" applyAlignment="1">
      <alignment horizontal="justify" vertical="center"/>
    </xf>
    <xf numFmtId="166" fontId="0" fillId="15" borderId="38" xfId="0" applyNumberFormat="1" applyFill="1" applyBorder="1" applyAlignment="1">
      <alignment horizontal="right" vertical="center"/>
    </xf>
    <xf numFmtId="166" fontId="43" fillId="0" borderId="0" xfId="0" applyNumberFormat="1" applyFont="1" applyAlignment="1">
      <alignment horizontal="right"/>
    </xf>
    <xf numFmtId="166" fontId="49" fillId="14" borderId="4" xfId="0" applyNumberFormat="1" applyFont="1" applyFill="1" applyBorder="1" applyAlignment="1">
      <alignment horizontal="right" vertical="center"/>
    </xf>
    <xf numFmtId="166" fontId="49" fillId="14" borderId="2" xfId="0" applyNumberFormat="1" applyFont="1" applyFill="1" applyBorder="1" applyAlignment="1">
      <alignment horizontal="center" vertical="center" wrapText="1"/>
    </xf>
    <xf numFmtId="166" fontId="45" fillId="15" borderId="2" xfId="0" applyNumberFormat="1" applyFont="1" applyFill="1" applyBorder="1" applyAlignment="1">
      <alignment horizontal="right" vertical="center"/>
    </xf>
    <xf numFmtId="166" fontId="45" fillId="0" borderId="2" xfId="0" applyNumberFormat="1" applyFont="1" applyBorder="1" applyAlignment="1">
      <alignment horizontal="right" vertical="center"/>
    </xf>
    <xf numFmtId="166" fontId="45" fillId="5" borderId="2" xfId="0" applyNumberFormat="1" applyFont="1" applyFill="1" applyBorder="1" applyAlignment="1">
      <alignment horizontal="right" vertical="center"/>
    </xf>
    <xf numFmtId="166" fontId="49" fillId="14" borderId="2" xfId="0" applyNumberFormat="1" applyFont="1" applyFill="1" applyBorder="1" applyAlignment="1">
      <alignment horizontal="right" vertical="center"/>
    </xf>
    <xf numFmtId="166" fontId="49" fillId="14" borderId="2" xfId="0" applyNumberFormat="1" applyFont="1" applyFill="1" applyBorder="1" applyAlignment="1">
      <alignment horizontal="right" vertical="center" wrapText="1"/>
    </xf>
    <xf numFmtId="166" fontId="45" fillId="0" borderId="2" xfId="0" applyNumberFormat="1" applyFont="1" applyBorder="1" applyAlignment="1">
      <alignment horizontal="right" vertical="center" wrapText="1"/>
    </xf>
    <xf numFmtId="166" fontId="45" fillId="15" borderId="2" xfId="0" applyNumberFormat="1" applyFont="1" applyFill="1" applyBorder="1" applyAlignment="1">
      <alignment vertical="center"/>
    </xf>
    <xf numFmtId="166" fontId="45" fillId="5" borderId="2" xfId="0" applyNumberFormat="1" applyFont="1" applyFill="1" applyBorder="1" applyAlignment="1">
      <alignment vertical="center"/>
    </xf>
    <xf numFmtId="166" fontId="45" fillId="5" borderId="2" xfId="0" applyNumberFormat="1" applyFont="1" applyFill="1" applyBorder="1" applyAlignment="1">
      <alignment horizontal="right" vertical="center" wrapText="1"/>
    </xf>
    <xf numFmtId="166" fontId="49" fillId="14" borderId="2" xfId="0" applyNumberFormat="1" applyFont="1" applyFill="1" applyBorder="1" applyAlignment="1">
      <alignment vertical="center"/>
    </xf>
    <xf numFmtId="166" fontId="45" fillId="0" borderId="2" xfId="3" applyNumberFormat="1" applyFont="1" applyFill="1" applyBorder="1" applyAlignment="1">
      <alignment horizontal="right" vertical="center"/>
    </xf>
    <xf numFmtId="166" fontId="49" fillId="13" borderId="2" xfId="0" applyNumberFormat="1" applyFont="1" applyFill="1" applyBorder="1" applyAlignment="1">
      <alignment vertical="center"/>
    </xf>
    <xf numFmtId="166" fontId="46" fillId="0" borderId="0" xfId="0" applyNumberFormat="1" applyFont="1" applyAlignment="1">
      <alignment horizontal="right" vertical="center" wrapText="1"/>
    </xf>
    <xf numFmtId="166" fontId="45" fillId="0" borderId="0" xfId="0" applyNumberFormat="1" applyFont="1" applyAlignment="1">
      <alignment horizontal="right" vertical="center"/>
    </xf>
    <xf numFmtId="166" fontId="19" fillId="4" borderId="12" xfId="7" applyNumberFormat="1" applyFont="1" applyFill="1" applyBorder="1" applyAlignment="1">
      <alignment horizontal="right" vertical="center" wrapText="1"/>
    </xf>
    <xf numFmtId="166" fontId="19" fillId="4" borderId="13" xfId="7" applyNumberFormat="1" applyFont="1" applyFill="1" applyBorder="1" applyAlignment="1">
      <alignment horizontal="right" vertical="center" wrapText="1"/>
    </xf>
    <xf numFmtId="166" fontId="19" fillId="4" borderId="38" xfId="7" applyNumberFormat="1" applyFont="1" applyFill="1" applyBorder="1" applyAlignment="1">
      <alignment horizontal="right" vertical="center" wrapText="1"/>
    </xf>
    <xf numFmtId="166" fontId="19" fillId="4" borderId="12" xfId="0" applyNumberFormat="1" applyFont="1" applyFill="1" applyBorder="1" applyAlignment="1">
      <alignment horizontal="right" vertical="center" wrapText="1"/>
    </xf>
    <xf numFmtId="166" fontId="19" fillId="4" borderId="38" xfId="0" applyNumberFormat="1" applyFont="1" applyFill="1" applyBorder="1" applyAlignment="1">
      <alignment horizontal="right" vertical="center" wrapText="1"/>
    </xf>
    <xf numFmtId="166" fontId="16" fillId="4" borderId="17" xfId="6" applyNumberFormat="1" applyFont="1" applyFill="1" applyBorder="1"/>
    <xf numFmtId="166" fontId="16" fillId="4" borderId="38" xfId="6" applyNumberFormat="1" applyFont="1" applyFill="1" applyBorder="1"/>
    <xf numFmtId="166" fontId="16" fillId="4" borderId="71" xfId="6" applyNumberFormat="1" applyFont="1" applyFill="1" applyBorder="1"/>
    <xf numFmtId="166" fontId="16" fillId="4" borderId="37" xfId="6" applyNumberFormat="1" applyFont="1" applyFill="1" applyBorder="1"/>
    <xf numFmtId="0" fontId="0" fillId="0" borderId="0" xfId="0" applyAlignment="1">
      <alignment horizontal="right" wrapText="1"/>
    </xf>
    <xf numFmtId="166" fontId="19" fillId="4" borderId="71" xfId="0" applyNumberFormat="1" applyFont="1" applyFill="1" applyBorder="1" applyAlignment="1">
      <alignment horizontal="right" vertical="center" wrapText="1"/>
    </xf>
    <xf numFmtId="166" fontId="0" fillId="0" borderId="0" xfId="0" applyNumberFormat="1" applyAlignment="1">
      <alignment horizontal="right" vertical="center"/>
    </xf>
    <xf numFmtId="166" fontId="0" fillId="18" borderId="37" xfId="0" applyNumberFormat="1" applyFill="1" applyBorder="1" applyAlignment="1">
      <alignment horizontal="right" vertical="center"/>
    </xf>
    <xf numFmtId="166" fontId="0" fillId="0" borderId="37" xfId="0" applyNumberFormat="1" applyBorder="1" applyAlignment="1">
      <alignment horizontal="right" vertical="center"/>
    </xf>
    <xf numFmtId="166" fontId="0" fillId="0" borderId="38" xfId="0" applyNumberFormat="1" applyBorder="1" applyAlignment="1">
      <alignment horizontal="right" vertical="center"/>
    </xf>
    <xf numFmtId="0" fontId="0" fillId="14" borderId="0" xfId="0" applyFill="1"/>
    <xf numFmtId="166" fontId="45" fillId="4" borderId="2" xfId="0" applyNumberFormat="1" applyFont="1" applyFill="1" applyBorder="1" applyAlignment="1">
      <alignment vertical="center"/>
    </xf>
    <xf numFmtId="166" fontId="4" fillId="4" borderId="13" xfId="6" applyNumberFormat="1" applyFont="1" applyFill="1" applyBorder="1" applyAlignment="1">
      <alignment horizontal="right"/>
    </xf>
    <xf numFmtId="166" fontId="16" fillId="4" borderId="13" xfId="6" applyNumberFormat="1" applyFont="1" applyFill="1" applyBorder="1"/>
    <xf numFmtId="0" fontId="2" fillId="4" borderId="2" xfId="0" applyFont="1" applyFill="1" applyBorder="1" applyAlignment="1">
      <alignment horizontal="center" vertical="center"/>
    </xf>
    <xf numFmtId="41" fontId="2" fillId="4" borderId="2" xfId="3" applyFont="1" applyFill="1" applyBorder="1" applyAlignment="1">
      <alignment horizontal="center" vertical="center"/>
    </xf>
    <xf numFmtId="166" fontId="2" fillId="4" borderId="2" xfId="0" applyNumberFormat="1" applyFont="1" applyFill="1" applyBorder="1" applyAlignment="1">
      <alignment horizontal="right" vertical="center"/>
    </xf>
    <xf numFmtId="166" fontId="2" fillId="4" borderId="2" xfId="1" applyNumberFormat="1" applyFont="1" applyFill="1" applyBorder="1" applyAlignment="1">
      <alignment horizontal="right" vertical="center"/>
    </xf>
    <xf numFmtId="166" fontId="2" fillId="4" borderId="18" xfId="3" applyNumberFormat="1" applyFont="1" applyFill="1" applyBorder="1" applyAlignment="1">
      <alignment horizontal="right" vertical="center"/>
    </xf>
    <xf numFmtId="166" fontId="2" fillId="4" borderId="0" xfId="0" applyNumberFormat="1" applyFont="1" applyFill="1"/>
    <xf numFmtId="166" fontId="4" fillId="13" borderId="52" xfId="0" applyNumberFormat="1" applyFont="1" applyFill="1" applyBorder="1" applyAlignment="1">
      <alignment horizontal="right" vertical="center"/>
    </xf>
    <xf numFmtId="3" fontId="19" fillId="25" borderId="74" xfId="0" applyNumberFormat="1" applyFont="1" applyFill="1" applyBorder="1" applyAlignment="1">
      <alignment horizontal="center" vertical="center"/>
    </xf>
    <xf numFmtId="3" fontId="19" fillId="25" borderId="42" xfId="0" applyNumberFormat="1" applyFont="1" applyFill="1" applyBorder="1" applyAlignment="1">
      <alignment horizontal="center" vertical="center"/>
    </xf>
    <xf numFmtId="164" fontId="2" fillId="25" borderId="74" xfId="0" applyNumberFormat="1" applyFont="1" applyFill="1" applyBorder="1" applyAlignment="1">
      <alignment horizontal="center" vertical="center"/>
    </xf>
    <xf numFmtId="164" fontId="2" fillId="25" borderId="34" xfId="0" applyNumberFormat="1" applyFont="1" applyFill="1" applyBorder="1" applyAlignment="1">
      <alignment horizontal="center" vertical="center"/>
    </xf>
    <xf numFmtId="164" fontId="19" fillId="25" borderId="51" xfId="0" applyNumberFormat="1" applyFont="1" applyFill="1" applyBorder="1" applyAlignment="1">
      <alignment horizontal="center" vertical="center"/>
    </xf>
    <xf numFmtId="164" fontId="2" fillId="25" borderId="33" xfId="0" applyNumberFormat="1" applyFont="1" applyFill="1" applyBorder="1" applyAlignment="1">
      <alignment horizontal="center" vertical="center"/>
    </xf>
    <xf numFmtId="164" fontId="2" fillId="25" borderId="41" xfId="0" applyNumberFormat="1" applyFont="1" applyFill="1" applyBorder="1" applyAlignment="1">
      <alignment horizontal="center" vertical="center"/>
    </xf>
    <xf numFmtId="164" fontId="19" fillId="25" borderId="2" xfId="0" applyNumberFormat="1" applyFont="1" applyFill="1" applyBorder="1" applyAlignment="1">
      <alignment horizontal="center" vertical="center"/>
    </xf>
    <xf numFmtId="164" fontId="19" fillId="25" borderId="74" xfId="0" applyNumberFormat="1" applyFont="1" applyFill="1" applyBorder="1" applyAlignment="1">
      <alignment horizontal="center" vertical="center"/>
    </xf>
    <xf numFmtId="164" fontId="19" fillId="25" borderId="42" xfId="0" applyNumberFormat="1" applyFont="1" applyFill="1" applyBorder="1" applyAlignment="1">
      <alignment horizontal="center" vertical="center"/>
    </xf>
    <xf numFmtId="164" fontId="19" fillId="25" borderId="82" xfId="0" applyNumberFormat="1" applyFont="1" applyFill="1" applyBorder="1" applyAlignment="1">
      <alignment horizontal="center" vertical="center"/>
    </xf>
    <xf numFmtId="42" fontId="19" fillId="4" borderId="11" xfId="8" applyFont="1" applyFill="1" applyBorder="1" applyAlignment="1">
      <alignment horizontal="right" vertical="center"/>
    </xf>
    <xf numFmtId="166" fontId="19" fillId="4" borderId="11" xfId="8" applyNumberFormat="1" applyFont="1" applyFill="1" applyBorder="1" applyAlignment="1">
      <alignment horizontal="right" vertical="center"/>
    </xf>
    <xf numFmtId="166" fontId="2" fillId="16" borderId="7" xfId="0" applyNumberFormat="1" applyFont="1" applyFill="1" applyBorder="1" applyAlignment="1">
      <alignment horizontal="justify" vertical="center" wrapText="1"/>
    </xf>
    <xf numFmtId="166" fontId="2" fillId="16" borderId="7" xfId="0" applyNumberFormat="1" applyFont="1" applyFill="1" applyBorder="1" applyAlignment="1">
      <alignment horizontal="center" vertical="center" wrapText="1"/>
    </xf>
    <xf numFmtId="166" fontId="2" fillId="16" borderId="7" xfId="7" applyNumberFormat="1" applyFont="1" applyFill="1" applyBorder="1" applyAlignment="1">
      <alignment horizontal="right" vertical="center" wrapText="1"/>
    </xf>
    <xf numFmtId="166" fontId="2" fillId="16" borderId="7" xfId="7" applyNumberFormat="1" applyFont="1" applyFill="1" applyBorder="1" applyAlignment="1">
      <alignment vertical="center" wrapText="1"/>
    </xf>
    <xf numFmtId="166" fontId="2" fillId="16" borderId="23" xfId="7" applyNumberFormat="1" applyFont="1" applyFill="1" applyBorder="1" applyAlignment="1">
      <alignment vertical="center" wrapText="1"/>
    </xf>
    <xf numFmtId="42" fontId="19" fillId="0" borderId="0" xfId="0" applyNumberFormat="1" applyFont="1" applyAlignment="1">
      <alignment horizontal="center" vertical="center" wrapText="1"/>
    </xf>
    <xf numFmtId="166" fontId="2" fillId="0" borderId="0" xfId="0" applyNumberFormat="1" applyFont="1"/>
    <xf numFmtId="0" fontId="19" fillId="0" borderId="0" xfId="0" applyFont="1" applyAlignment="1">
      <alignment horizontal="center" vertical="center"/>
    </xf>
    <xf numFmtId="166" fontId="2" fillId="4" borderId="0" xfId="7" applyNumberFormat="1" applyFont="1" applyFill="1"/>
    <xf numFmtId="166" fontId="19" fillId="0" borderId="0" xfId="0" applyNumberFormat="1" applyFont="1"/>
    <xf numFmtId="0" fontId="19" fillId="0" borderId="0" xfId="0" applyFont="1" applyAlignment="1">
      <alignment horizontal="center" wrapText="1"/>
    </xf>
    <xf numFmtId="0" fontId="19" fillId="0" borderId="0" xfId="0" applyFont="1" applyAlignment="1">
      <alignment horizontal="center"/>
    </xf>
    <xf numFmtId="166" fontId="19" fillId="4" borderId="0" xfId="0" applyNumberFormat="1" applyFont="1" applyFill="1"/>
    <xf numFmtId="0" fontId="4" fillId="0" borderId="0" xfId="0" applyFont="1" applyAlignment="1">
      <alignment horizontal="center" vertical="center"/>
    </xf>
    <xf numFmtId="166" fontId="3" fillId="4" borderId="0" xfId="0" applyNumberFormat="1" applyFont="1" applyFill="1"/>
    <xf numFmtId="170" fontId="3" fillId="4" borderId="0" xfId="0" applyNumberFormat="1" applyFont="1" applyFill="1"/>
    <xf numFmtId="166" fontId="34" fillId="0" borderId="0" xfId="0" applyNumberFormat="1" applyFont="1"/>
    <xf numFmtId="166" fontId="2" fillId="0" borderId="0" xfId="0" applyNumberFormat="1" applyFont="1" applyAlignment="1">
      <alignment horizontal="right"/>
    </xf>
    <xf numFmtId="166" fontId="3" fillId="0" borderId="0" xfId="0" applyNumberFormat="1" applyFont="1" applyAlignment="1">
      <alignment vertical="center"/>
    </xf>
    <xf numFmtId="0" fontId="16" fillId="0" borderId="0" xfId="0" applyFont="1" applyAlignment="1">
      <alignment horizontal="center"/>
    </xf>
    <xf numFmtId="170" fontId="0" fillId="0" borderId="0" xfId="7" applyNumberFormat="1" applyFont="1" applyFill="1" applyAlignment="1">
      <alignment horizontal="right"/>
    </xf>
    <xf numFmtId="170" fontId="0" fillId="4" borderId="0" xfId="7" applyNumberFormat="1" applyFont="1" applyFill="1" applyAlignment="1">
      <alignment horizontal="right"/>
    </xf>
    <xf numFmtId="170" fontId="0" fillId="35" borderId="0" xfId="7" applyNumberFormat="1" applyFont="1" applyFill="1" applyAlignment="1">
      <alignment horizontal="right"/>
    </xf>
    <xf numFmtId="0" fontId="3" fillId="35" borderId="0" xfId="0" applyFont="1" applyFill="1"/>
    <xf numFmtId="0" fontId="3" fillId="35" borderId="2" xfId="0" applyFont="1" applyFill="1" applyBorder="1" applyAlignment="1">
      <alignment horizontal="center" vertical="center" wrapText="1"/>
    </xf>
    <xf numFmtId="0" fontId="3" fillId="35" borderId="2" xfId="0" applyFont="1" applyFill="1" applyBorder="1" applyAlignment="1">
      <alignment horizontal="center" vertical="center"/>
    </xf>
    <xf numFmtId="167" fontId="3" fillId="35" borderId="2" xfId="6" applyNumberFormat="1" applyFont="1" applyFill="1" applyBorder="1" applyAlignment="1">
      <alignment horizontal="center" vertical="center" wrapText="1"/>
    </xf>
    <xf numFmtId="167" fontId="3" fillId="35" borderId="18" xfId="6" applyNumberFormat="1" applyFont="1" applyFill="1" applyBorder="1" applyAlignment="1">
      <alignment horizontal="center" vertical="center" wrapText="1"/>
    </xf>
    <xf numFmtId="167" fontId="3" fillId="35" borderId="4" xfId="6" applyNumberFormat="1" applyFont="1" applyFill="1" applyBorder="1" applyAlignment="1">
      <alignment horizontal="center" vertical="center" wrapText="1"/>
    </xf>
    <xf numFmtId="166" fontId="3" fillId="35" borderId="3" xfId="7" applyNumberFormat="1" applyFont="1" applyFill="1" applyBorder="1" applyAlignment="1">
      <alignment horizontal="right" vertical="center" wrapText="1"/>
    </xf>
    <xf numFmtId="166" fontId="3" fillId="35" borderId="45" xfId="7" applyNumberFormat="1" applyFont="1" applyFill="1" applyBorder="1" applyAlignment="1">
      <alignment horizontal="right"/>
    </xf>
    <xf numFmtId="0" fontId="0" fillId="35" borderId="0" xfId="0" applyFill="1"/>
    <xf numFmtId="0" fontId="16" fillId="0" borderId="0" xfId="0" applyFont="1" applyAlignment="1">
      <alignment vertical="center"/>
    </xf>
    <xf numFmtId="166" fontId="0" fillId="0" borderId="0" xfId="7" applyNumberFormat="1" applyFont="1" applyAlignment="1">
      <alignment vertical="center"/>
    </xf>
    <xf numFmtId="166" fontId="0" fillId="4" borderId="0" xfId="7" applyNumberFormat="1" applyFont="1" applyFill="1" applyAlignment="1">
      <alignment vertical="center"/>
    </xf>
    <xf numFmtId="166" fontId="0" fillId="0" borderId="0" xfId="7" applyNumberFormat="1" applyFont="1"/>
    <xf numFmtId="0" fontId="16" fillId="0" borderId="0" xfId="0" applyFont="1" applyAlignment="1">
      <alignment horizontal="center" vertical="center"/>
    </xf>
    <xf numFmtId="0" fontId="4" fillId="0" borderId="0" xfId="0" applyFont="1" applyAlignment="1">
      <alignment horizontal="center" wrapText="1"/>
    </xf>
    <xf numFmtId="166" fontId="2" fillId="0" borderId="0" xfId="0" applyNumberFormat="1" applyFont="1" applyAlignment="1">
      <alignment vertical="center"/>
    </xf>
    <xf numFmtId="166" fontId="3" fillId="4" borderId="18" xfId="6" applyNumberFormat="1" applyFont="1" applyFill="1" applyBorder="1" applyAlignment="1">
      <alignment horizontal="right" vertical="center" wrapText="1"/>
    </xf>
    <xf numFmtId="166" fontId="2" fillId="4" borderId="18" xfId="6" applyNumberFormat="1" applyFont="1" applyFill="1" applyBorder="1" applyAlignment="1">
      <alignment horizontal="right" vertical="center" wrapText="1"/>
    </xf>
    <xf numFmtId="166" fontId="32" fillId="0" borderId="0" xfId="0" applyNumberFormat="1" applyFont="1" applyAlignment="1">
      <alignment vertical="center"/>
    </xf>
    <xf numFmtId="9" fontId="2" fillId="0" borderId="0" xfId="5" applyFont="1"/>
    <xf numFmtId="0" fontId="2" fillId="16" borderId="22" xfId="0" applyFont="1" applyFill="1" applyBorder="1" applyAlignment="1">
      <alignment horizontal="justify" vertical="center" wrapText="1"/>
    </xf>
    <xf numFmtId="0" fontId="2" fillId="20" borderId="46" xfId="0" applyFont="1" applyFill="1" applyBorder="1" applyAlignment="1">
      <alignment horizontal="justify" vertical="center" wrapText="1"/>
    </xf>
    <xf numFmtId="0" fontId="2" fillId="20" borderId="52" xfId="0" applyFont="1" applyFill="1" applyBorder="1" applyAlignment="1">
      <alignment horizontal="center" vertical="center" wrapText="1"/>
    </xf>
    <xf numFmtId="166" fontId="2" fillId="20" borderId="52" xfId="0" applyNumberFormat="1" applyFont="1" applyFill="1" applyBorder="1" applyAlignment="1">
      <alignment horizontal="right" vertical="center" wrapText="1"/>
    </xf>
    <xf numFmtId="0" fontId="2" fillId="20" borderId="34" xfId="0" applyFont="1" applyFill="1" applyBorder="1" applyAlignment="1">
      <alignment horizontal="center" vertical="center" wrapText="1"/>
    </xf>
    <xf numFmtId="166" fontId="2" fillId="16" borderId="7" xfId="0" applyNumberFormat="1" applyFont="1" applyFill="1" applyBorder="1" applyAlignment="1">
      <alignment horizontal="right" vertical="center" wrapText="1"/>
    </xf>
    <xf numFmtId="0" fontId="2" fillId="16" borderId="25" xfId="0" applyFont="1" applyFill="1" applyBorder="1" applyAlignment="1">
      <alignment horizontal="left" vertical="center" wrapText="1"/>
    </xf>
    <xf numFmtId="167" fontId="2" fillId="16" borderId="25" xfId="6" applyNumberFormat="1" applyFont="1" applyFill="1" applyBorder="1" applyAlignment="1">
      <alignment horizontal="right" vertical="center" wrapText="1"/>
    </xf>
    <xf numFmtId="167" fontId="2" fillId="18" borderId="10" xfId="6" applyNumberFormat="1" applyFont="1" applyFill="1" applyBorder="1" applyAlignment="1">
      <alignment horizontal="center" vertical="center"/>
    </xf>
    <xf numFmtId="167" fontId="2" fillId="18" borderId="23" xfId="6" applyNumberFormat="1" applyFont="1" applyFill="1" applyBorder="1" applyAlignment="1">
      <alignment horizontal="right" vertical="center"/>
    </xf>
    <xf numFmtId="166" fontId="2" fillId="18" borderId="28" xfId="6" applyNumberFormat="1" applyFont="1" applyFill="1" applyBorder="1" applyAlignment="1">
      <alignment horizontal="right" vertical="center"/>
    </xf>
    <xf numFmtId="166" fontId="2" fillId="18" borderId="81" xfId="6" applyNumberFormat="1" applyFont="1" applyFill="1" applyBorder="1" applyAlignment="1">
      <alignment horizontal="right" vertical="center"/>
    </xf>
    <xf numFmtId="0" fontId="2" fillId="16" borderId="25" xfId="0" applyFont="1" applyFill="1" applyBorder="1" applyAlignment="1">
      <alignment horizontal="right" vertical="center" wrapText="1"/>
    </xf>
    <xf numFmtId="167" fontId="2" fillId="16" borderId="25" xfId="6" applyNumberFormat="1" applyFont="1" applyFill="1" applyBorder="1" applyAlignment="1">
      <alignment horizontal="center" vertical="center" wrapText="1"/>
    </xf>
    <xf numFmtId="167" fontId="2" fillId="18" borderId="52" xfId="6" applyNumberFormat="1" applyFont="1" applyFill="1" applyBorder="1" applyAlignment="1">
      <alignment horizontal="center" vertical="center"/>
    </xf>
    <xf numFmtId="166" fontId="2" fillId="18" borderId="52" xfId="6" applyNumberFormat="1" applyFont="1" applyFill="1" applyBorder="1" applyAlignment="1">
      <alignment horizontal="right" vertical="center"/>
    </xf>
    <xf numFmtId="166" fontId="2" fillId="18" borderId="40" xfId="6" applyNumberFormat="1" applyFont="1" applyFill="1" applyBorder="1" applyAlignment="1">
      <alignment horizontal="right" vertical="center"/>
    </xf>
    <xf numFmtId="0" fontId="2" fillId="16" borderId="24" xfId="0" applyFont="1" applyFill="1" applyBorder="1" applyAlignment="1">
      <alignment wrapText="1"/>
    </xf>
    <xf numFmtId="0" fontId="2" fillId="13" borderId="0" xfId="0" applyFont="1" applyFill="1"/>
    <xf numFmtId="0" fontId="2" fillId="13" borderId="33" xfId="0" applyFont="1" applyFill="1" applyBorder="1" applyAlignment="1">
      <alignment horizontal="justify" vertical="center" wrapText="1"/>
    </xf>
    <xf numFmtId="0" fontId="2" fillId="13" borderId="34" xfId="0" applyFont="1" applyFill="1" applyBorder="1" applyAlignment="1">
      <alignment horizontal="center" vertical="center" wrapText="1"/>
    </xf>
    <xf numFmtId="166" fontId="2" fillId="13" borderId="0" xfId="0" applyNumberFormat="1" applyFont="1" applyFill="1"/>
    <xf numFmtId="0" fontId="2" fillId="36" borderId="0" xfId="0" applyFont="1" applyFill="1"/>
    <xf numFmtId="166" fontId="2" fillId="36" borderId="0" xfId="0" applyNumberFormat="1" applyFont="1" applyFill="1"/>
    <xf numFmtId="166" fontId="34" fillId="36" borderId="0" xfId="0" applyNumberFormat="1" applyFont="1" applyFill="1"/>
    <xf numFmtId="0" fontId="2" fillId="36" borderId="24" xfId="0" applyFont="1" applyFill="1" applyBorder="1" applyAlignment="1">
      <alignment horizontal="justify" vertical="center" wrapText="1"/>
    </xf>
    <xf numFmtId="0" fontId="2" fillId="36" borderId="1" xfId="0" applyFont="1" applyFill="1" applyBorder="1" applyAlignment="1">
      <alignment horizontal="justify" vertical="center" wrapText="1"/>
    </xf>
    <xf numFmtId="0" fontId="2" fillId="36" borderId="2" xfId="0" applyFont="1" applyFill="1" applyBorder="1" applyAlignment="1">
      <alignment horizontal="center" vertical="center" wrapText="1"/>
    </xf>
    <xf numFmtId="0" fontId="2" fillId="36" borderId="2" xfId="0" applyFont="1" applyFill="1" applyBorder="1" applyAlignment="1">
      <alignment horizontal="center" vertical="center"/>
    </xf>
    <xf numFmtId="44" fontId="2" fillId="36" borderId="2" xfId="7" applyFont="1" applyFill="1" applyBorder="1" applyAlignment="1">
      <alignment horizontal="center" vertical="center"/>
    </xf>
    <xf numFmtId="166" fontId="2" fillId="36" borderId="2" xfId="8" applyNumberFormat="1" applyFont="1" applyFill="1" applyBorder="1" applyAlignment="1">
      <alignment horizontal="right" vertical="center" wrapText="1"/>
    </xf>
    <xf numFmtId="166" fontId="2" fillId="13" borderId="7" xfId="8" applyNumberFormat="1" applyFont="1" applyFill="1" applyBorder="1" applyAlignment="1">
      <alignment horizontal="right" vertical="center"/>
    </xf>
    <xf numFmtId="0" fontId="2" fillId="13" borderId="1" xfId="0" applyFont="1" applyFill="1" applyBorder="1" applyAlignment="1">
      <alignment horizontal="justify" vertical="center" wrapText="1"/>
    </xf>
    <xf numFmtId="0" fontId="2" fillId="13" borderId="2" xfId="0" applyFont="1" applyFill="1" applyBorder="1" applyAlignment="1">
      <alignment horizontal="center" vertical="center" wrapText="1"/>
    </xf>
    <xf numFmtId="0" fontId="2" fillId="13" borderId="2" xfId="0" applyFont="1" applyFill="1" applyBorder="1" applyAlignment="1">
      <alignment horizontal="center" vertical="center"/>
    </xf>
    <xf numFmtId="166" fontId="2" fillId="13" borderId="2" xfId="8" applyNumberFormat="1" applyFont="1" applyFill="1" applyBorder="1" applyAlignment="1">
      <alignment horizontal="right" vertical="center" wrapText="1"/>
    </xf>
    <xf numFmtId="0" fontId="2" fillId="13" borderId="3" xfId="0" applyFont="1" applyFill="1" applyBorder="1" applyAlignment="1">
      <alignment horizontal="center" vertical="center" wrapText="1"/>
    </xf>
    <xf numFmtId="0" fontId="2" fillId="13" borderId="19" xfId="0" applyFont="1" applyFill="1" applyBorder="1" applyAlignment="1">
      <alignment horizontal="justify" vertical="center" wrapText="1"/>
    </xf>
    <xf numFmtId="0" fontId="2" fillId="13" borderId="20" xfId="0" applyFont="1" applyFill="1" applyBorder="1" applyAlignment="1">
      <alignment horizontal="center" vertical="center" wrapText="1"/>
    </xf>
    <xf numFmtId="0" fontId="2" fillId="36" borderId="19" xfId="0" applyFont="1" applyFill="1" applyBorder="1" applyAlignment="1">
      <alignment horizontal="justify" vertical="center" wrapText="1"/>
    </xf>
    <xf numFmtId="0" fontId="2" fillId="36" borderId="20" xfId="0" applyFont="1" applyFill="1" applyBorder="1" applyAlignment="1">
      <alignment horizontal="center" vertical="center" wrapText="1"/>
    </xf>
    <xf numFmtId="0" fontId="2" fillId="36" borderId="20" xfId="0" applyFont="1" applyFill="1" applyBorder="1" applyAlignment="1">
      <alignment horizontal="center" vertical="center"/>
    </xf>
    <xf numFmtId="166" fontId="2" fillId="36" borderId="20" xfId="7" applyNumberFormat="1" applyFont="1" applyFill="1" applyBorder="1" applyAlignment="1">
      <alignment horizontal="right" vertical="center"/>
    </xf>
    <xf numFmtId="166" fontId="2" fillId="36" borderId="20" xfId="7" applyNumberFormat="1" applyFont="1" applyFill="1" applyBorder="1" applyAlignment="1">
      <alignment horizontal="right" vertical="center" wrapText="1"/>
    </xf>
    <xf numFmtId="0" fontId="2" fillId="36" borderId="2" xfId="0" applyFont="1" applyFill="1" applyBorder="1" applyAlignment="1">
      <alignment horizontal="justify" vertical="center" wrapText="1"/>
    </xf>
    <xf numFmtId="0" fontId="2" fillId="36" borderId="2" xfId="0" applyFont="1" applyFill="1" applyBorder="1" applyAlignment="1">
      <alignment horizontal="left" vertical="center" wrapText="1"/>
    </xf>
    <xf numFmtId="0" fontId="2" fillId="13" borderId="2" xfId="0" applyFont="1" applyFill="1" applyBorder="1" applyAlignment="1">
      <alignment horizontal="justify" vertical="center" wrapText="1"/>
    </xf>
    <xf numFmtId="166" fontId="2" fillId="13" borderId="2" xfId="7" applyNumberFormat="1" applyFont="1" applyFill="1" applyBorder="1" applyAlignment="1">
      <alignment horizontal="right" vertical="center"/>
    </xf>
    <xf numFmtId="166" fontId="2" fillId="13" borderId="2" xfId="7" applyNumberFormat="1" applyFont="1" applyFill="1" applyBorder="1" applyAlignment="1">
      <alignment horizontal="right" vertical="center" wrapText="1"/>
    </xf>
    <xf numFmtId="41" fontId="2" fillId="36" borderId="2" xfId="3" applyFont="1" applyFill="1" applyBorder="1" applyAlignment="1">
      <alignment horizontal="center" vertical="center"/>
    </xf>
    <xf numFmtId="166" fontId="2" fillId="36" borderId="2" xfId="0" applyNumberFormat="1" applyFont="1" applyFill="1" applyBorder="1" applyAlignment="1">
      <alignment horizontal="right" vertical="center"/>
    </xf>
    <xf numFmtId="166" fontId="2" fillId="36" borderId="2" xfId="3" applyNumberFormat="1" applyFont="1" applyFill="1" applyBorder="1" applyAlignment="1">
      <alignment horizontal="right" vertical="center"/>
    </xf>
    <xf numFmtId="166" fontId="2" fillId="36" borderId="18" xfId="3" applyNumberFormat="1" applyFont="1" applyFill="1" applyBorder="1" applyAlignment="1">
      <alignment horizontal="right" vertical="center"/>
    </xf>
    <xf numFmtId="0" fontId="2" fillId="13" borderId="2" xfId="0" applyFont="1" applyFill="1" applyBorder="1" applyAlignment="1">
      <alignment horizontal="left" vertical="center" wrapText="1"/>
    </xf>
    <xf numFmtId="41" fontId="2" fillId="13" borderId="2" xfId="3" applyFont="1" applyFill="1" applyBorder="1" applyAlignment="1">
      <alignment horizontal="center" vertical="center"/>
    </xf>
    <xf numFmtId="166" fontId="2" fillId="13" borderId="2" xfId="0" applyNumberFormat="1" applyFont="1" applyFill="1" applyBorder="1" applyAlignment="1">
      <alignment horizontal="right" vertical="center"/>
    </xf>
    <xf numFmtId="166" fontId="2" fillId="13" borderId="2" xfId="3" applyNumberFormat="1" applyFont="1" applyFill="1" applyBorder="1" applyAlignment="1">
      <alignment horizontal="right" vertical="center"/>
    </xf>
    <xf numFmtId="166" fontId="2" fillId="13" borderId="18" xfId="3" applyNumberFormat="1" applyFont="1" applyFill="1" applyBorder="1" applyAlignment="1">
      <alignment horizontal="right" vertical="center"/>
    </xf>
    <xf numFmtId="0" fontId="2" fillId="36" borderId="3" xfId="0" applyFont="1" applyFill="1" applyBorder="1" applyAlignment="1">
      <alignment horizontal="justify" vertical="center" wrapText="1"/>
    </xf>
    <xf numFmtId="0" fontId="2" fillId="13" borderId="3" xfId="0" applyFont="1" applyFill="1" applyBorder="1" applyAlignment="1">
      <alignment horizontal="justify" vertical="center" wrapText="1"/>
    </xf>
    <xf numFmtId="166" fontId="2" fillId="13" borderId="2" xfId="1" applyNumberFormat="1" applyFont="1" applyFill="1" applyBorder="1" applyAlignment="1">
      <alignment horizontal="right" vertical="center"/>
    </xf>
    <xf numFmtId="166" fontId="2" fillId="36" borderId="2" xfId="1" applyNumberFormat="1" applyFont="1" applyFill="1" applyBorder="1" applyAlignment="1">
      <alignment horizontal="right" vertical="center"/>
    </xf>
    <xf numFmtId="166" fontId="2" fillId="13" borderId="2" xfId="1" applyNumberFormat="1" applyFont="1" applyFill="1" applyBorder="1" applyAlignment="1">
      <alignment horizontal="right" vertical="center" wrapText="1"/>
    </xf>
    <xf numFmtId="166" fontId="3" fillId="13" borderId="0" xfId="0" applyNumberFormat="1" applyFont="1" applyFill="1"/>
    <xf numFmtId="0" fontId="2" fillId="36" borderId="20" xfId="0" applyFont="1" applyFill="1" applyBorder="1" applyAlignment="1">
      <alignment horizontal="justify" vertical="center" wrapText="1"/>
    </xf>
    <xf numFmtId="166" fontId="2" fillId="36" borderId="20" xfId="0" applyNumberFormat="1" applyFont="1" applyFill="1" applyBorder="1" applyAlignment="1">
      <alignment horizontal="right" vertical="center" wrapText="1"/>
    </xf>
    <xf numFmtId="0" fontId="2" fillId="13" borderId="20" xfId="0" applyFont="1" applyFill="1" applyBorder="1" applyAlignment="1">
      <alignment horizontal="justify" vertical="center" wrapText="1"/>
    </xf>
    <xf numFmtId="166" fontId="2" fillId="13" borderId="20" xfId="0" applyNumberFormat="1" applyFont="1" applyFill="1" applyBorder="1" applyAlignment="1">
      <alignment horizontal="right" vertical="center" wrapText="1"/>
    </xf>
    <xf numFmtId="166" fontId="3" fillId="13" borderId="1" xfId="0" applyNumberFormat="1" applyFont="1" applyFill="1" applyBorder="1" applyAlignment="1">
      <alignment horizontal="justify" vertical="center" wrapText="1"/>
    </xf>
    <xf numFmtId="166" fontId="3" fillId="13" borderId="2" xfId="0" applyNumberFormat="1" applyFont="1" applyFill="1" applyBorder="1" applyAlignment="1">
      <alignment horizontal="center" vertical="center" wrapText="1"/>
    </xf>
    <xf numFmtId="166" fontId="2" fillId="13" borderId="2" xfId="0" applyNumberFormat="1" applyFont="1" applyFill="1" applyBorder="1" applyAlignment="1">
      <alignment horizontal="center" vertical="center" wrapText="1"/>
    </xf>
    <xf numFmtId="166" fontId="3" fillId="13" borderId="2" xfId="0" applyNumberFormat="1" applyFont="1" applyFill="1" applyBorder="1" applyAlignment="1">
      <alignment horizontal="right" vertical="center" wrapText="1"/>
    </xf>
    <xf numFmtId="166" fontId="3" fillId="13" borderId="2" xfId="0" applyNumberFormat="1" applyFont="1" applyFill="1" applyBorder="1" applyAlignment="1">
      <alignment horizontal="right" vertical="center"/>
    </xf>
    <xf numFmtId="166" fontId="3" fillId="13" borderId="18" xfId="0" applyNumberFormat="1" applyFont="1" applyFill="1" applyBorder="1" applyAlignment="1">
      <alignment horizontal="right" vertical="center"/>
    </xf>
    <xf numFmtId="166" fontId="0" fillId="13" borderId="0" xfId="7" applyNumberFormat="1" applyFont="1" applyFill="1" applyAlignment="1">
      <alignment vertical="center"/>
    </xf>
    <xf numFmtId="0" fontId="0" fillId="13" borderId="0" xfId="0" applyFill="1" applyAlignment="1">
      <alignment vertical="center"/>
    </xf>
    <xf numFmtId="166" fontId="2" fillId="13" borderId="1" xfId="0" applyNumberFormat="1" applyFont="1" applyFill="1" applyBorder="1" applyAlignment="1">
      <alignment horizontal="justify" vertical="center" wrapText="1"/>
    </xf>
    <xf numFmtId="166" fontId="2" fillId="13" borderId="2" xfId="0" applyNumberFormat="1" applyFont="1" applyFill="1" applyBorder="1" applyAlignment="1">
      <alignment horizontal="right" vertical="center" wrapText="1"/>
    </xf>
    <xf numFmtId="166" fontId="34" fillId="13" borderId="2" xfId="0" applyNumberFormat="1" applyFont="1" applyFill="1" applyBorder="1" applyAlignment="1">
      <alignment horizontal="center" vertical="center" wrapText="1"/>
    </xf>
    <xf numFmtId="0" fontId="43" fillId="13" borderId="0" xfId="0" applyFont="1" applyFill="1" applyAlignment="1">
      <alignment vertical="center"/>
    </xf>
    <xf numFmtId="166" fontId="2" fillId="13" borderId="18" xfId="0" applyNumberFormat="1" applyFont="1" applyFill="1" applyBorder="1" applyAlignment="1">
      <alignment horizontal="right" vertical="center"/>
    </xf>
    <xf numFmtId="166" fontId="32" fillId="13" borderId="0" xfId="7" applyNumberFormat="1" applyFont="1" applyFill="1" applyAlignment="1">
      <alignment vertical="center"/>
    </xf>
    <xf numFmtId="0" fontId="32" fillId="13" borderId="0" xfId="0" applyFont="1" applyFill="1" applyAlignment="1">
      <alignment vertical="center"/>
    </xf>
    <xf numFmtId="166" fontId="3" fillId="13" borderId="2" xfId="7" applyNumberFormat="1" applyFont="1" applyFill="1" applyBorder="1" applyAlignment="1">
      <alignment horizontal="center" vertical="center" wrapText="1"/>
    </xf>
    <xf numFmtId="166" fontId="3" fillId="13" borderId="35" xfId="0" applyNumberFormat="1" applyFont="1" applyFill="1" applyBorder="1" applyAlignment="1">
      <alignment horizontal="justify" vertical="center" wrapText="1"/>
    </xf>
    <xf numFmtId="166" fontId="3" fillId="13" borderId="5" xfId="0" applyNumberFormat="1" applyFont="1" applyFill="1" applyBorder="1" applyAlignment="1">
      <alignment horizontal="center" vertical="center" wrapText="1"/>
    </xf>
    <xf numFmtId="166" fontId="2" fillId="13" borderId="5" xfId="0" applyNumberFormat="1" applyFont="1" applyFill="1" applyBorder="1" applyAlignment="1">
      <alignment horizontal="center" vertical="center" wrapText="1"/>
    </xf>
    <xf numFmtId="166" fontId="3" fillId="13" borderId="5" xfId="0" applyNumberFormat="1" applyFont="1" applyFill="1" applyBorder="1" applyAlignment="1">
      <alignment horizontal="right" vertical="center" wrapText="1"/>
    </xf>
    <xf numFmtId="166" fontId="3" fillId="13" borderId="5" xfId="0" applyNumberFormat="1" applyFont="1" applyFill="1" applyBorder="1" applyAlignment="1">
      <alignment horizontal="right" vertical="center"/>
    </xf>
    <xf numFmtId="166" fontId="3" fillId="13" borderId="43" xfId="0" applyNumberFormat="1" applyFont="1" applyFill="1" applyBorder="1" applyAlignment="1">
      <alignment horizontal="right" vertical="center"/>
    </xf>
    <xf numFmtId="166" fontId="3" fillId="13" borderId="24" xfId="0" applyNumberFormat="1" applyFont="1" applyFill="1" applyBorder="1" applyAlignment="1">
      <alignment horizontal="justify" vertical="center" wrapText="1"/>
    </xf>
    <xf numFmtId="166" fontId="3" fillId="13" borderId="25" xfId="0" applyNumberFormat="1" applyFont="1" applyFill="1" applyBorder="1" applyAlignment="1">
      <alignment horizontal="center" vertical="center" wrapText="1"/>
    </xf>
    <xf numFmtId="166" fontId="2" fillId="13" borderId="25" xfId="0" applyNumberFormat="1" applyFont="1" applyFill="1" applyBorder="1" applyAlignment="1">
      <alignment horizontal="center" vertical="center" wrapText="1"/>
    </xf>
    <xf numFmtId="166" fontId="3" fillId="13" borderId="25" xfId="0" applyNumberFormat="1" applyFont="1" applyFill="1" applyBorder="1" applyAlignment="1">
      <alignment horizontal="right" vertical="center" wrapText="1"/>
    </xf>
    <xf numFmtId="166" fontId="3" fillId="13" borderId="25" xfId="0" applyNumberFormat="1" applyFont="1" applyFill="1" applyBorder="1" applyAlignment="1">
      <alignment horizontal="right" vertical="center"/>
    </xf>
    <xf numFmtId="166" fontId="3" fillId="13" borderId="26" xfId="0" applyNumberFormat="1" applyFont="1" applyFill="1" applyBorder="1" applyAlignment="1">
      <alignment horizontal="right" vertical="center"/>
    </xf>
    <xf numFmtId="0" fontId="3" fillId="13" borderId="0" xfId="0" applyFont="1" applyFill="1"/>
    <xf numFmtId="0" fontId="3" fillId="13" borderId="24" xfId="0" applyFont="1" applyFill="1" applyBorder="1" applyAlignment="1">
      <alignment horizontal="justify" vertical="center" wrapText="1"/>
    </xf>
    <xf numFmtId="0" fontId="2" fillId="13" borderId="25" xfId="0" applyFont="1" applyFill="1" applyBorder="1" applyAlignment="1">
      <alignment horizontal="justify" vertical="center" wrapText="1"/>
    </xf>
    <xf numFmtId="0" fontId="2" fillId="13" borderId="25"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0" xfId="0" applyFont="1" applyFill="1" applyAlignment="1">
      <alignment vertical="center"/>
    </xf>
    <xf numFmtId="0" fontId="3" fillId="13" borderId="2" xfId="0" applyFont="1" applyFill="1" applyBorder="1" applyAlignment="1">
      <alignment horizontal="justify" vertical="center" wrapText="1"/>
    </xf>
    <xf numFmtId="0" fontId="3" fillId="13" borderId="2" xfId="0" applyFont="1" applyFill="1" applyBorder="1" applyAlignment="1">
      <alignment horizontal="center" vertical="center" wrapText="1"/>
    </xf>
    <xf numFmtId="0" fontId="2" fillId="13" borderId="2" xfId="0" applyFont="1" applyFill="1" applyBorder="1" applyAlignment="1">
      <alignment vertical="center" wrapText="1"/>
    </xf>
    <xf numFmtId="0" fontId="3" fillId="13" borderId="2" xfId="0" applyFont="1" applyFill="1" applyBorder="1" applyAlignment="1">
      <alignment vertical="center" wrapText="1"/>
    </xf>
    <xf numFmtId="166" fontId="3" fillId="13" borderId="0" xfId="0" applyNumberFormat="1" applyFont="1" applyFill="1" applyAlignment="1">
      <alignment vertical="center"/>
    </xf>
    <xf numFmtId="0" fontId="3" fillId="36" borderId="0" xfId="0" applyFont="1" applyFill="1"/>
    <xf numFmtId="0" fontId="3" fillId="36" borderId="2" xfId="0" applyFont="1" applyFill="1" applyBorder="1" applyAlignment="1">
      <alignment horizontal="justify" vertical="center" wrapText="1"/>
    </xf>
    <xf numFmtId="0" fontId="3" fillId="36" borderId="2" xfId="0" applyFont="1" applyFill="1" applyBorder="1" applyAlignment="1">
      <alignment horizontal="center" vertical="center" wrapText="1"/>
    </xf>
    <xf numFmtId="166" fontId="3" fillId="36" borderId="2" xfId="0" applyNumberFormat="1" applyFont="1" applyFill="1" applyBorder="1" applyAlignment="1">
      <alignment horizontal="right" vertical="center" wrapText="1"/>
    </xf>
    <xf numFmtId="166" fontId="3" fillId="36" borderId="2" xfId="0" applyNumberFormat="1" applyFont="1" applyFill="1" applyBorder="1" applyAlignment="1">
      <alignment horizontal="right" vertical="center"/>
    </xf>
    <xf numFmtId="166" fontId="3" fillId="36" borderId="0" xfId="0" applyNumberFormat="1" applyFont="1" applyFill="1"/>
    <xf numFmtId="0" fontId="3" fillId="36" borderId="0" xfId="0" applyFont="1" applyFill="1" applyAlignment="1">
      <alignment vertical="center"/>
    </xf>
    <xf numFmtId="0" fontId="0" fillId="13" borderId="0" xfId="0" applyFill="1"/>
    <xf numFmtId="0" fontId="3" fillId="13" borderId="3" xfId="0" applyFont="1" applyFill="1" applyBorder="1" applyAlignment="1">
      <alignment horizontal="left" vertical="center" wrapText="1"/>
    </xf>
    <xf numFmtId="0" fontId="3" fillId="13" borderId="3" xfId="0" applyFont="1" applyFill="1" applyBorder="1" applyAlignment="1">
      <alignment horizontal="center" vertical="center" wrapText="1"/>
    </xf>
    <xf numFmtId="166" fontId="3" fillId="13" borderId="3" xfId="0" applyNumberFormat="1" applyFont="1" applyFill="1" applyBorder="1" applyAlignment="1">
      <alignment horizontal="right" vertical="center" wrapText="1"/>
    </xf>
    <xf numFmtId="166" fontId="3" fillId="13" borderId="3" xfId="0" applyNumberFormat="1" applyFont="1" applyFill="1" applyBorder="1" applyAlignment="1">
      <alignment horizontal="right" vertical="center"/>
    </xf>
    <xf numFmtId="166" fontId="3" fillId="13" borderId="3" xfId="0" applyNumberFormat="1" applyFont="1" applyFill="1" applyBorder="1" applyAlignment="1">
      <alignment horizontal="right"/>
    </xf>
    <xf numFmtId="0" fontId="2" fillId="13" borderId="1" xfId="0" applyFont="1" applyFill="1" applyBorder="1" applyAlignment="1">
      <alignment horizontal="justify" vertical="center"/>
    </xf>
    <xf numFmtId="166" fontId="2" fillId="13" borderId="2" xfId="6" applyNumberFormat="1" applyFont="1" applyFill="1" applyBorder="1" applyAlignment="1">
      <alignment horizontal="right" vertical="center" wrapText="1"/>
    </xf>
    <xf numFmtId="1" fontId="16" fillId="14" borderId="53" xfId="0" applyNumberFormat="1" applyFont="1" applyFill="1" applyBorder="1" applyAlignment="1">
      <alignment horizontal="center" vertical="center" wrapText="1"/>
    </xf>
    <xf numFmtId="0" fontId="3" fillId="13" borderId="20" xfId="0" applyFont="1" applyFill="1" applyBorder="1" applyAlignment="1">
      <alignment horizontal="center" vertical="center"/>
    </xf>
    <xf numFmtId="166" fontId="2" fillId="13" borderId="21" xfId="0" applyNumberFormat="1" applyFont="1" applyFill="1" applyBorder="1" applyAlignment="1">
      <alignment horizontal="right" vertical="center" wrapText="1"/>
    </xf>
    <xf numFmtId="0" fontId="3" fillId="36" borderId="20" xfId="0" applyFont="1" applyFill="1" applyBorder="1" applyAlignment="1">
      <alignment horizontal="center" vertical="center"/>
    </xf>
    <xf numFmtId="166" fontId="2" fillId="36" borderId="21" xfId="0" applyNumberFormat="1" applyFont="1" applyFill="1" applyBorder="1" applyAlignment="1">
      <alignment horizontal="right" vertical="center" wrapText="1"/>
    </xf>
    <xf numFmtId="0" fontId="3" fillId="13" borderId="34" xfId="0" applyFont="1" applyFill="1" applyBorder="1" applyAlignment="1">
      <alignment horizontal="center" vertical="center"/>
    </xf>
    <xf numFmtId="0" fontId="2" fillId="37" borderId="34" xfId="0" applyFont="1" applyFill="1" applyBorder="1" applyAlignment="1">
      <alignment horizontal="center" vertical="center"/>
    </xf>
    <xf numFmtId="0" fontId="3" fillId="13" borderId="34" xfId="0" applyFont="1" applyFill="1" applyBorder="1" applyAlignment="1">
      <alignment horizontal="center" vertical="center" wrapText="1"/>
    </xf>
    <xf numFmtId="166" fontId="3" fillId="13" borderId="34" xfId="0" applyNumberFormat="1" applyFont="1" applyFill="1" applyBorder="1" applyAlignment="1">
      <alignment horizontal="right" vertical="center"/>
    </xf>
    <xf numFmtId="166" fontId="3" fillId="13" borderId="42" xfId="0" applyNumberFormat="1" applyFont="1" applyFill="1" applyBorder="1" applyAlignment="1">
      <alignment horizontal="right" vertical="center"/>
    </xf>
    <xf numFmtId="0" fontId="3" fillId="13" borderId="2" xfId="0" applyFont="1" applyFill="1" applyBorder="1" applyAlignment="1">
      <alignment horizontal="center" vertical="center"/>
    </xf>
    <xf numFmtId="0" fontId="2" fillId="37" borderId="2" xfId="0" applyFont="1" applyFill="1" applyBorder="1" applyAlignment="1">
      <alignment horizontal="center" vertical="center"/>
    </xf>
    <xf numFmtId="0" fontId="3" fillId="36" borderId="2" xfId="0" applyFont="1" applyFill="1" applyBorder="1" applyAlignment="1">
      <alignment horizontal="center" vertical="center"/>
    </xf>
    <xf numFmtId="0" fontId="2" fillId="38" borderId="2" xfId="0" applyFont="1" applyFill="1" applyBorder="1" applyAlignment="1">
      <alignment horizontal="center" vertical="center"/>
    </xf>
    <xf numFmtId="166" fontId="3" fillId="36" borderId="18" xfId="0" applyNumberFormat="1" applyFont="1" applyFill="1" applyBorder="1" applyAlignment="1">
      <alignment horizontal="right" vertical="center"/>
    </xf>
    <xf numFmtId="166" fontId="2" fillId="13" borderId="0" xfId="0" applyNumberFormat="1" applyFont="1" applyFill="1" applyAlignment="1">
      <alignment horizontal="right"/>
    </xf>
    <xf numFmtId="166" fontId="34" fillId="13" borderId="1" xfId="0" applyNumberFormat="1" applyFont="1" applyFill="1" applyBorder="1" applyAlignment="1">
      <alignment horizontal="justify" vertical="center" wrapText="1"/>
    </xf>
    <xf numFmtId="166" fontId="34" fillId="13" borderId="2" xfId="0" applyNumberFormat="1" applyFont="1" applyFill="1" applyBorder="1" applyAlignment="1">
      <alignment horizontal="right" vertical="center" wrapText="1"/>
    </xf>
    <xf numFmtId="166" fontId="34" fillId="13" borderId="2" xfId="0" applyNumberFormat="1" applyFont="1" applyFill="1" applyBorder="1" applyAlignment="1">
      <alignment horizontal="right" vertical="center"/>
    </xf>
    <xf numFmtId="166" fontId="34" fillId="13" borderId="18" xfId="0" applyNumberFormat="1" applyFont="1" applyFill="1" applyBorder="1" applyAlignment="1">
      <alignment horizontal="right" vertical="center"/>
    </xf>
    <xf numFmtId="166" fontId="43" fillId="13" borderId="0" xfId="7" applyNumberFormat="1" applyFont="1" applyFill="1" applyAlignment="1">
      <alignment vertical="center"/>
    </xf>
    <xf numFmtId="166" fontId="2" fillId="13" borderId="2" xfId="0" applyNumberFormat="1" applyFont="1" applyFill="1" applyBorder="1" applyAlignment="1">
      <alignment horizontal="center" vertical="center"/>
    </xf>
    <xf numFmtId="166" fontId="2" fillId="13" borderId="2" xfId="7" applyNumberFormat="1" applyFont="1" applyFill="1" applyBorder="1" applyAlignment="1">
      <alignment vertical="center" wrapText="1"/>
    </xf>
    <xf numFmtId="166" fontId="2" fillId="13" borderId="2" xfId="7" applyNumberFormat="1" applyFont="1" applyFill="1" applyBorder="1" applyAlignment="1"/>
    <xf numFmtId="166" fontId="2" fillId="13" borderId="18" xfId="7" applyNumberFormat="1" applyFont="1" applyFill="1" applyBorder="1" applyAlignment="1"/>
    <xf numFmtId="166" fontId="2" fillId="13" borderId="34" xfId="0" applyNumberFormat="1" applyFont="1" applyFill="1" applyBorder="1" applyAlignment="1">
      <alignment horizontal="right" vertical="center" wrapText="1"/>
    </xf>
    <xf numFmtId="166" fontId="2" fillId="13" borderId="42" xfId="0" applyNumberFormat="1" applyFont="1" applyFill="1" applyBorder="1" applyAlignment="1">
      <alignment horizontal="right" vertical="center" wrapText="1"/>
    </xf>
    <xf numFmtId="166" fontId="3" fillId="13" borderId="0" xfId="7" applyNumberFormat="1" applyFont="1" applyFill="1"/>
    <xf numFmtId="166" fontId="2" fillId="36" borderId="1" xfId="0" applyNumberFormat="1" applyFont="1" applyFill="1" applyBorder="1" applyAlignment="1">
      <alignment horizontal="justify" vertical="center" wrapText="1"/>
    </xf>
    <xf numFmtId="166" fontId="2" fillId="36" borderId="2" xfId="0" applyNumberFormat="1" applyFont="1" applyFill="1" applyBorder="1" applyAlignment="1">
      <alignment horizontal="center" vertical="center"/>
    </xf>
    <xf numFmtId="166" fontId="2" fillId="36" borderId="2" xfId="0" applyNumberFormat="1" applyFont="1" applyFill="1" applyBorder="1" applyAlignment="1">
      <alignment horizontal="center" vertical="center" wrapText="1"/>
    </xf>
    <xf numFmtId="166" fontId="2" fillId="36" borderId="2" xfId="7" applyNumberFormat="1" applyFont="1" applyFill="1" applyBorder="1" applyAlignment="1">
      <alignment horizontal="right" vertical="center" wrapText="1"/>
    </xf>
    <xf numFmtId="166" fontId="2" fillId="36" borderId="2" xfId="7" applyNumberFormat="1" applyFont="1" applyFill="1" applyBorder="1" applyAlignment="1">
      <alignment vertical="center" wrapText="1"/>
    </xf>
    <xf numFmtId="166" fontId="2" fillId="36" borderId="2" xfId="7" applyNumberFormat="1" applyFont="1" applyFill="1" applyBorder="1" applyAlignment="1"/>
    <xf numFmtId="166" fontId="2" fillId="36" borderId="18" xfId="7" applyNumberFormat="1" applyFont="1" applyFill="1" applyBorder="1" applyAlignment="1"/>
    <xf numFmtId="166" fontId="2" fillId="36" borderId="25" xfId="0" applyNumberFormat="1" applyFont="1" applyFill="1" applyBorder="1" applyAlignment="1">
      <alignment horizontal="center" vertical="center"/>
    </xf>
    <xf numFmtId="166" fontId="2" fillId="36" borderId="25" xfId="0" applyNumberFormat="1" applyFont="1" applyFill="1" applyBorder="1" applyAlignment="1">
      <alignment horizontal="center" vertical="center" wrapText="1"/>
    </xf>
    <xf numFmtId="166" fontId="2" fillId="36" borderId="25" xfId="0" applyNumberFormat="1" applyFont="1" applyFill="1" applyBorder="1" applyAlignment="1">
      <alignment horizontal="right" vertical="center" wrapText="1"/>
    </xf>
    <xf numFmtId="166" fontId="2" fillId="36" borderId="25" xfId="7" applyNumberFormat="1" applyFont="1" applyFill="1" applyBorder="1" applyAlignment="1">
      <alignment vertical="center" wrapText="1"/>
    </xf>
    <xf numFmtId="166" fontId="2" fillId="36" borderId="25" xfId="7" applyNumberFormat="1" applyFont="1" applyFill="1" applyBorder="1" applyAlignment="1"/>
    <xf numFmtId="166" fontId="2" fillId="36" borderId="26" xfId="7" applyNumberFormat="1" applyFont="1" applyFill="1" applyBorder="1" applyAlignment="1"/>
    <xf numFmtId="166" fontId="2" fillId="36" borderId="5" xfId="0" applyNumberFormat="1" applyFont="1" applyFill="1" applyBorder="1" applyAlignment="1">
      <alignment horizontal="center" vertical="center"/>
    </xf>
    <xf numFmtId="166" fontId="2" fillId="36" borderId="5" xfId="0" applyNumberFormat="1" applyFont="1" applyFill="1" applyBorder="1" applyAlignment="1">
      <alignment horizontal="center" vertical="center" wrapText="1"/>
    </xf>
    <xf numFmtId="166" fontId="2" fillId="36" borderId="5" xfId="0" applyNumberFormat="1" applyFont="1" applyFill="1" applyBorder="1" applyAlignment="1">
      <alignment horizontal="right" vertical="center" wrapText="1"/>
    </xf>
    <xf numFmtId="166" fontId="2" fillId="36" borderId="5" xfId="7" applyNumberFormat="1" applyFont="1" applyFill="1" applyBorder="1" applyAlignment="1">
      <alignment vertical="center" wrapText="1"/>
    </xf>
    <xf numFmtId="166" fontId="2" fillId="36" borderId="5" xfId="7" applyNumberFormat="1" applyFont="1" applyFill="1" applyBorder="1" applyAlignment="1"/>
    <xf numFmtId="166" fontId="2" fillId="36" borderId="43" xfId="7" applyNumberFormat="1" applyFont="1" applyFill="1" applyBorder="1" applyAlignment="1"/>
    <xf numFmtId="166" fontId="2" fillId="36" borderId="2" xfId="0" applyNumberFormat="1" applyFont="1" applyFill="1" applyBorder="1" applyAlignment="1">
      <alignment horizontal="right" vertical="center" wrapText="1"/>
    </xf>
    <xf numFmtId="166" fontId="2" fillId="36" borderId="19" xfId="0" applyNumberFormat="1" applyFont="1" applyFill="1" applyBorder="1" applyAlignment="1">
      <alignment horizontal="justify" vertical="center" wrapText="1"/>
    </xf>
    <xf numFmtId="166" fontId="2" fillId="36" borderId="20" xfId="0" applyNumberFormat="1" applyFont="1" applyFill="1" applyBorder="1" applyAlignment="1">
      <alignment horizontal="center" vertical="center"/>
    </xf>
    <xf numFmtId="166" fontId="2" fillId="36" borderId="20" xfId="0" applyNumberFormat="1" applyFont="1" applyFill="1" applyBorder="1" applyAlignment="1">
      <alignment horizontal="center" vertical="center" wrapText="1"/>
    </xf>
    <xf numFmtId="166" fontId="2" fillId="36" borderId="20" xfId="7" applyNumberFormat="1" applyFont="1" applyFill="1" applyBorder="1" applyAlignment="1"/>
    <xf numFmtId="166" fontId="2" fillId="36" borderId="21" xfId="7" applyNumberFormat="1" applyFont="1" applyFill="1" applyBorder="1" applyAlignment="1"/>
    <xf numFmtId="0" fontId="3" fillId="36" borderId="25" xfId="0" applyFont="1" applyFill="1" applyBorder="1" applyAlignment="1">
      <alignment horizontal="center" vertical="center"/>
    </xf>
    <xf numFmtId="0" fontId="2" fillId="38" borderId="25" xfId="0" applyFont="1" applyFill="1" applyBorder="1" applyAlignment="1">
      <alignment horizontal="center" vertical="center"/>
    </xf>
    <xf numFmtId="0" fontId="3" fillId="36" borderId="25" xfId="0" applyFont="1" applyFill="1" applyBorder="1" applyAlignment="1">
      <alignment horizontal="center" vertical="center" wrapText="1"/>
    </xf>
    <xf numFmtId="166" fontId="3" fillId="36" borderId="25" xfId="0" applyNumberFormat="1" applyFont="1" applyFill="1" applyBorder="1" applyAlignment="1">
      <alignment horizontal="right" vertical="center"/>
    </xf>
    <xf numFmtId="166" fontId="3" fillId="36" borderId="26" xfId="0" applyNumberFormat="1" applyFont="1" applyFill="1" applyBorder="1" applyAlignment="1">
      <alignment horizontal="right" vertical="center"/>
    </xf>
    <xf numFmtId="0" fontId="3" fillId="36" borderId="35" xfId="0" applyFont="1" applyFill="1" applyBorder="1" applyAlignment="1">
      <alignment horizontal="justify" vertical="center" wrapText="1"/>
    </xf>
    <xf numFmtId="0" fontId="2" fillId="36" borderId="5" xfId="0" applyFont="1" applyFill="1" applyBorder="1" applyAlignment="1">
      <alignment horizontal="justify" vertical="center" wrapText="1"/>
    </xf>
    <xf numFmtId="0" fontId="2" fillId="36" borderId="5" xfId="0" applyFont="1" applyFill="1" applyBorder="1" applyAlignment="1">
      <alignment horizontal="center" vertical="center" wrapText="1"/>
    </xf>
    <xf numFmtId="0" fontId="3" fillId="36" borderId="5" xfId="0" applyFont="1" applyFill="1" applyBorder="1" applyAlignment="1">
      <alignment horizontal="center" vertical="center" wrapText="1"/>
    </xf>
    <xf numFmtId="166" fontId="3" fillId="36" borderId="5" xfId="0" applyNumberFormat="1" applyFont="1" applyFill="1" applyBorder="1" applyAlignment="1">
      <alignment horizontal="right" vertical="center" wrapText="1"/>
    </xf>
    <xf numFmtId="166" fontId="3" fillId="36" borderId="5" xfId="0" applyNumberFormat="1" applyFont="1" applyFill="1" applyBorder="1" applyAlignment="1">
      <alignment horizontal="right" vertical="center"/>
    </xf>
    <xf numFmtId="166" fontId="3" fillId="36" borderId="43" xfId="0" applyNumberFormat="1" applyFont="1" applyFill="1" applyBorder="1" applyAlignment="1">
      <alignment horizontal="right" vertical="center"/>
    </xf>
    <xf numFmtId="0" fontId="3" fillId="36" borderId="19" xfId="0" applyFont="1" applyFill="1" applyBorder="1" applyAlignment="1">
      <alignment horizontal="justify" vertical="center" wrapText="1"/>
    </xf>
    <xf numFmtId="0" fontId="3" fillId="36" borderId="20" xfId="0" applyFont="1" applyFill="1" applyBorder="1" applyAlignment="1">
      <alignment horizontal="center" vertical="center" wrapText="1"/>
    </xf>
    <xf numFmtId="166" fontId="3" fillId="36" borderId="20" xfId="0" applyNumberFormat="1" applyFont="1" applyFill="1" applyBorder="1" applyAlignment="1">
      <alignment horizontal="right" vertical="center" wrapText="1"/>
    </xf>
    <xf numFmtId="166" fontId="3" fillId="36" borderId="20" xfId="0" applyNumberFormat="1" applyFont="1" applyFill="1" applyBorder="1" applyAlignment="1">
      <alignment horizontal="right" vertical="center"/>
    </xf>
    <xf numFmtId="166" fontId="3" fillId="36" borderId="21" xfId="0" applyNumberFormat="1" applyFont="1" applyFill="1" applyBorder="1" applyAlignment="1">
      <alignment horizontal="right" vertical="center"/>
    </xf>
    <xf numFmtId="0" fontId="3" fillId="36" borderId="17" xfId="0" applyFont="1" applyFill="1" applyBorder="1" applyAlignment="1">
      <alignment horizontal="justify" vertical="center" wrapText="1"/>
    </xf>
    <xf numFmtId="0" fontId="2" fillId="36" borderId="37" xfId="0" applyFont="1" applyFill="1" applyBorder="1" applyAlignment="1">
      <alignment horizontal="justify" vertical="center" wrapText="1"/>
    </xf>
    <xf numFmtId="0" fontId="2" fillId="36" borderId="37" xfId="0" applyFont="1" applyFill="1" applyBorder="1" applyAlignment="1">
      <alignment horizontal="center" vertical="center" wrapText="1"/>
    </xf>
    <xf numFmtId="0" fontId="3" fillId="36" borderId="37" xfId="0" applyFont="1" applyFill="1" applyBorder="1" applyAlignment="1">
      <alignment horizontal="center" vertical="center" wrapText="1"/>
    </xf>
    <xf numFmtId="166" fontId="3" fillId="36" borderId="37" xfId="0" applyNumberFormat="1" applyFont="1" applyFill="1" applyBorder="1" applyAlignment="1">
      <alignment horizontal="right" vertical="center" wrapText="1"/>
    </xf>
    <xf numFmtId="166" fontId="3" fillId="36" borderId="37" xfId="0" applyNumberFormat="1" applyFont="1" applyFill="1" applyBorder="1" applyAlignment="1">
      <alignment horizontal="right" vertical="center"/>
    </xf>
    <xf numFmtId="166" fontId="3" fillId="36" borderId="38" xfId="0" applyNumberFormat="1" applyFont="1" applyFill="1" applyBorder="1" applyAlignment="1">
      <alignment horizontal="right" vertical="center"/>
    </xf>
    <xf numFmtId="0" fontId="0" fillId="36" borderId="0" xfId="0" applyFill="1" applyAlignment="1">
      <alignment vertical="center"/>
    </xf>
    <xf numFmtId="166" fontId="3" fillId="36" borderId="2" xfId="0" applyNumberFormat="1" applyFont="1" applyFill="1" applyBorder="1" applyAlignment="1">
      <alignment horizontal="center" vertical="center" wrapText="1"/>
    </xf>
    <xf numFmtId="166" fontId="0" fillId="36" borderId="0" xfId="7" applyNumberFormat="1" applyFont="1" applyFill="1" applyAlignment="1">
      <alignment vertical="center"/>
    </xf>
    <xf numFmtId="166" fontId="3" fillId="36" borderId="1" xfId="0" applyNumberFormat="1" applyFont="1" applyFill="1" applyBorder="1" applyAlignment="1">
      <alignment horizontal="justify" vertical="center" wrapText="1"/>
    </xf>
    <xf numFmtId="0" fontId="2" fillId="13" borderId="19" xfId="0" applyFont="1" applyFill="1" applyBorder="1" applyAlignment="1">
      <alignment horizontal="left" vertical="center" wrapText="1"/>
    </xf>
    <xf numFmtId="166" fontId="2" fillId="13" borderId="20" xfId="7" applyNumberFormat="1" applyFont="1" applyFill="1" applyBorder="1" applyAlignment="1">
      <alignment horizontal="right" vertical="center" wrapText="1"/>
    </xf>
    <xf numFmtId="166" fontId="2" fillId="13" borderId="21" xfId="7" applyNumberFormat="1" applyFont="1" applyFill="1" applyBorder="1" applyAlignment="1">
      <alignment horizontal="right" vertical="center" wrapText="1"/>
    </xf>
    <xf numFmtId="0" fontId="2" fillId="36" borderId="19" xfId="0" applyFont="1" applyFill="1" applyBorder="1" applyAlignment="1">
      <alignment horizontal="left" vertical="center" wrapText="1"/>
    </xf>
    <xf numFmtId="166" fontId="2" fillId="36" borderId="21" xfId="7" applyNumberFormat="1" applyFont="1" applyFill="1" applyBorder="1" applyAlignment="1">
      <alignment horizontal="right" vertical="center" wrapText="1"/>
    </xf>
    <xf numFmtId="166" fontId="2" fillId="36" borderId="0" xfId="7" applyNumberFormat="1" applyFont="1" applyFill="1" applyBorder="1" applyAlignment="1">
      <alignment horizontal="right" vertical="center"/>
    </xf>
    <xf numFmtId="166" fontId="2" fillId="13" borderId="0" xfId="7" applyNumberFormat="1" applyFont="1" applyFill="1" applyBorder="1" applyAlignment="1">
      <alignment horizontal="right" vertical="center"/>
    </xf>
    <xf numFmtId="166" fontId="3" fillId="36" borderId="0" xfId="7" applyNumberFormat="1" applyFont="1" applyFill="1"/>
    <xf numFmtId="0" fontId="2" fillId="13" borderId="6" xfId="0" applyFont="1" applyFill="1" applyBorder="1" applyAlignment="1">
      <alignment horizontal="justify" vertical="center" wrapText="1"/>
    </xf>
    <xf numFmtId="166" fontId="2" fillId="13" borderId="3" xfId="0" applyNumberFormat="1" applyFont="1" applyFill="1" applyBorder="1" applyAlignment="1">
      <alignment horizontal="right" vertical="center" wrapText="1"/>
    </xf>
    <xf numFmtId="166" fontId="0" fillId="13" borderId="0" xfId="0" applyNumberFormat="1" applyFill="1"/>
    <xf numFmtId="166" fontId="0" fillId="13" borderId="0" xfId="7" applyNumberFormat="1" applyFont="1" applyFill="1"/>
    <xf numFmtId="0" fontId="0" fillId="36" borderId="0" xfId="0" applyFill="1"/>
    <xf numFmtId="0" fontId="2" fillId="36" borderId="6" xfId="0" applyFont="1" applyFill="1" applyBorder="1" applyAlignment="1">
      <alignment horizontal="justify" vertical="center" wrapText="1"/>
    </xf>
    <xf numFmtId="0" fontId="2" fillId="36" borderId="3" xfId="0" applyFont="1" applyFill="1" applyBorder="1" applyAlignment="1">
      <alignment horizontal="center" vertical="center" wrapText="1"/>
    </xf>
    <xf numFmtId="166" fontId="2" fillId="36" borderId="3" xfId="0" applyNumberFormat="1" applyFont="1" applyFill="1" applyBorder="1" applyAlignment="1">
      <alignment horizontal="right" vertical="center" wrapText="1"/>
    </xf>
    <xf numFmtId="166" fontId="3" fillId="36" borderId="3" xfId="0" applyNumberFormat="1" applyFont="1" applyFill="1" applyBorder="1" applyAlignment="1">
      <alignment horizontal="right" vertical="center"/>
    </xf>
    <xf numFmtId="166" fontId="0" fillId="36" borderId="0" xfId="0" applyNumberFormat="1" applyFill="1"/>
    <xf numFmtId="166" fontId="0" fillId="36" borderId="0" xfId="7" applyNumberFormat="1" applyFont="1" applyFill="1"/>
    <xf numFmtId="166" fontId="3" fillId="13" borderId="18" xfId="7" applyNumberFormat="1" applyFont="1" applyFill="1" applyBorder="1" applyAlignment="1">
      <alignment horizontal="right"/>
    </xf>
    <xf numFmtId="170" fontId="0" fillId="13" borderId="0" xfId="7" applyNumberFormat="1" applyFont="1" applyFill="1" applyAlignment="1">
      <alignment horizontal="right"/>
    </xf>
    <xf numFmtId="0" fontId="0" fillId="13" borderId="0" xfId="0" applyFill="1" applyAlignment="1">
      <alignment horizontal="center" vertical="center"/>
    </xf>
    <xf numFmtId="166" fontId="3" fillId="36" borderId="18" xfId="7" applyNumberFormat="1" applyFont="1" applyFill="1" applyBorder="1" applyAlignment="1">
      <alignment horizontal="right"/>
    </xf>
    <xf numFmtId="170" fontId="0" fillId="36" borderId="0" xfId="7" applyNumberFormat="1" applyFont="1" applyFill="1" applyAlignment="1">
      <alignment horizontal="right"/>
    </xf>
    <xf numFmtId="0" fontId="0" fillId="36" borderId="0" xfId="0" applyFill="1" applyAlignment="1">
      <alignment horizontal="center" vertical="center"/>
    </xf>
    <xf numFmtId="0" fontId="2" fillId="2" borderId="20"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0" xfId="0" applyFont="1" applyFill="1" applyBorder="1"/>
    <xf numFmtId="0" fontId="2" fillId="2" borderId="20" xfId="0" applyFont="1" applyFill="1" applyBorder="1" applyAlignment="1">
      <alignment horizontal="center" vertical="center" wrapText="1"/>
    </xf>
    <xf numFmtId="167" fontId="2" fillId="2" borderId="20" xfId="6" applyNumberFormat="1" applyFont="1" applyFill="1" applyBorder="1" applyAlignment="1">
      <alignment horizontal="center" vertical="center" wrapText="1"/>
    </xf>
    <xf numFmtId="166" fontId="2" fillId="2" borderId="20" xfId="6" applyNumberFormat="1" applyFont="1" applyFill="1" applyBorder="1" applyAlignment="1">
      <alignment horizontal="right" vertical="center" wrapText="1"/>
    </xf>
    <xf numFmtId="0" fontId="2" fillId="36" borderId="20" xfId="0" applyFont="1" applyFill="1" applyBorder="1" applyAlignment="1">
      <alignment horizontal="left" vertical="center"/>
    </xf>
    <xf numFmtId="0" fontId="2" fillId="36" borderId="20" xfId="0" applyFont="1" applyFill="1" applyBorder="1"/>
    <xf numFmtId="167" fontId="2" fillId="36" borderId="20" xfId="6" applyNumberFormat="1" applyFont="1" applyFill="1" applyBorder="1" applyAlignment="1">
      <alignment horizontal="center" vertical="center" wrapText="1"/>
    </xf>
    <xf numFmtId="166" fontId="2" fillId="36" borderId="20" xfId="6" applyNumberFormat="1" applyFont="1" applyFill="1" applyBorder="1" applyAlignment="1">
      <alignment horizontal="right" vertical="center" wrapText="1"/>
    </xf>
    <xf numFmtId="166" fontId="2" fillId="36" borderId="20" xfId="6" applyNumberFormat="1" applyFont="1" applyFill="1" applyBorder="1" applyAlignment="1">
      <alignment horizontal="right" vertical="center"/>
    </xf>
    <xf numFmtId="166" fontId="2" fillId="36" borderId="20" xfId="6" applyNumberFormat="1" applyFont="1" applyFill="1" applyBorder="1" applyAlignment="1">
      <alignment horizontal="right"/>
    </xf>
    <xf numFmtId="166" fontId="2" fillId="36" borderId="21" xfId="6" applyNumberFormat="1" applyFont="1" applyFill="1" applyBorder="1" applyAlignment="1">
      <alignment horizontal="right"/>
    </xf>
    <xf numFmtId="0" fontId="2" fillId="36" borderId="2" xfId="0" applyFont="1" applyFill="1" applyBorder="1" applyAlignment="1">
      <alignment horizontal="left" vertical="center"/>
    </xf>
    <xf numFmtId="0" fontId="2" fillId="36" borderId="2" xfId="0" applyFont="1" applyFill="1" applyBorder="1"/>
    <xf numFmtId="167" fontId="2" fillId="36" borderId="2" xfId="6" applyNumberFormat="1" applyFont="1" applyFill="1" applyBorder="1" applyAlignment="1">
      <alignment horizontal="center" vertical="center" wrapText="1"/>
    </xf>
    <xf numFmtId="166" fontId="2" fillId="36" borderId="2" xfId="6" applyNumberFormat="1" applyFont="1" applyFill="1" applyBorder="1" applyAlignment="1">
      <alignment horizontal="right" vertical="center" wrapText="1"/>
    </xf>
    <xf numFmtId="166" fontId="2" fillId="36" borderId="2" xfId="6" applyNumberFormat="1" applyFont="1" applyFill="1" applyBorder="1" applyAlignment="1">
      <alignment horizontal="right" vertical="center"/>
    </xf>
    <xf numFmtId="166" fontId="2" fillId="36" borderId="2" xfId="6" applyNumberFormat="1" applyFont="1" applyFill="1" applyBorder="1" applyAlignment="1">
      <alignment horizontal="right"/>
    </xf>
    <xf numFmtId="166" fontId="2" fillId="36" borderId="18" xfId="6" applyNumberFormat="1" applyFont="1" applyFill="1" applyBorder="1" applyAlignment="1">
      <alignment horizontal="right"/>
    </xf>
    <xf numFmtId="0" fontId="2" fillId="13" borderId="2" xfId="0" applyFont="1" applyFill="1" applyBorder="1" applyAlignment="1">
      <alignment horizontal="left" vertical="center"/>
    </xf>
    <xf numFmtId="0" fontId="2" fillId="13" borderId="2" xfId="0" applyFont="1" applyFill="1" applyBorder="1"/>
    <xf numFmtId="167" fontId="2" fillId="13" borderId="2" xfId="6" applyNumberFormat="1" applyFont="1" applyFill="1" applyBorder="1" applyAlignment="1">
      <alignment horizontal="center" vertical="center" wrapText="1"/>
    </xf>
    <xf numFmtId="166" fontId="2" fillId="13" borderId="2" xfId="6" applyNumberFormat="1" applyFont="1" applyFill="1" applyBorder="1" applyAlignment="1">
      <alignment horizontal="right" vertical="center"/>
    </xf>
    <xf numFmtId="166" fontId="2" fillId="13" borderId="2" xfId="6" applyNumberFormat="1" applyFont="1" applyFill="1" applyBorder="1" applyAlignment="1">
      <alignment horizontal="right"/>
    </xf>
    <xf numFmtId="166" fontId="2" fillId="13" borderId="18" xfId="6" applyNumberFormat="1" applyFont="1" applyFill="1" applyBorder="1" applyAlignment="1">
      <alignment horizontal="right"/>
    </xf>
    <xf numFmtId="0" fontId="2" fillId="13" borderId="20" xfId="0" applyFont="1" applyFill="1" applyBorder="1" applyAlignment="1">
      <alignment horizontal="center" vertical="center"/>
    </xf>
    <xf numFmtId="0" fontId="2" fillId="13" borderId="20" xfId="0" applyFont="1" applyFill="1" applyBorder="1" applyAlignment="1">
      <alignment horizontal="left" vertical="center"/>
    </xf>
    <xf numFmtId="0" fontId="2" fillId="13" borderId="20" xfId="0" applyFont="1" applyFill="1" applyBorder="1"/>
    <xf numFmtId="167" fontId="2" fillId="13" borderId="20" xfId="6" applyNumberFormat="1" applyFont="1" applyFill="1" applyBorder="1" applyAlignment="1">
      <alignment horizontal="center" vertical="center" wrapText="1"/>
    </xf>
    <xf numFmtId="166" fontId="2" fillId="13" borderId="20" xfId="6" applyNumberFormat="1" applyFont="1" applyFill="1" applyBorder="1" applyAlignment="1">
      <alignment horizontal="right" vertical="center" wrapText="1"/>
    </xf>
    <xf numFmtId="166" fontId="2" fillId="13" borderId="20" xfId="6" applyNumberFormat="1" applyFont="1" applyFill="1" applyBorder="1" applyAlignment="1">
      <alignment horizontal="right" vertical="center"/>
    </xf>
    <xf numFmtId="166" fontId="2" fillId="13" borderId="20" xfId="6" applyNumberFormat="1" applyFont="1" applyFill="1" applyBorder="1" applyAlignment="1">
      <alignment horizontal="right"/>
    </xf>
    <xf numFmtId="166" fontId="2" fillId="13" borderId="21" xfId="6" applyNumberFormat="1" applyFont="1" applyFill="1" applyBorder="1" applyAlignment="1">
      <alignment horizontal="right"/>
    </xf>
    <xf numFmtId="166" fontId="2" fillId="13" borderId="21" xfId="0" applyNumberFormat="1" applyFont="1" applyFill="1" applyBorder="1" applyAlignment="1">
      <alignment horizontal="right" vertical="center"/>
    </xf>
    <xf numFmtId="166" fontId="2" fillId="13" borderId="80" xfId="0" applyNumberFormat="1" applyFont="1" applyFill="1" applyBorder="1" applyAlignment="1">
      <alignment horizontal="right" vertical="center"/>
    </xf>
    <xf numFmtId="170" fontId="3" fillId="13" borderId="0" xfId="7" applyNumberFormat="1" applyFont="1" applyFill="1"/>
    <xf numFmtId="166" fontId="2" fillId="36" borderId="21" xfId="0" applyNumberFormat="1" applyFont="1" applyFill="1" applyBorder="1" applyAlignment="1">
      <alignment horizontal="right" vertical="center"/>
    </xf>
    <xf numFmtId="166" fontId="2" fillId="36" borderId="80" xfId="0" applyNumberFormat="1" applyFont="1" applyFill="1" applyBorder="1" applyAlignment="1">
      <alignment horizontal="right" vertical="center"/>
    </xf>
    <xf numFmtId="170" fontId="3" fillId="36" borderId="0" xfId="7" applyNumberFormat="1" applyFont="1" applyFill="1"/>
    <xf numFmtId="166" fontId="2" fillId="13" borderId="45" xfId="0" applyNumberFormat="1" applyFont="1" applyFill="1" applyBorder="1" applyAlignment="1">
      <alignment horizontal="right" vertical="center"/>
    </xf>
    <xf numFmtId="166" fontId="32" fillId="13" borderId="0" xfId="0" applyNumberFormat="1" applyFont="1" applyFill="1" applyAlignment="1">
      <alignment vertical="center"/>
    </xf>
    <xf numFmtId="166" fontId="32" fillId="13" borderId="0" xfId="0" applyNumberFormat="1" applyFont="1" applyFill="1"/>
    <xf numFmtId="0" fontId="32" fillId="13" borderId="0" xfId="0" applyFont="1" applyFill="1"/>
    <xf numFmtId="166" fontId="32" fillId="36" borderId="0" xfId="0" applyNumberFormat="1" applyFont="1" applyFill="1" applyAlignment="1">
      <alignment vertical="center"/>
    </xf>
    <xf numFmtId="166" fontId="32" fillId="36" borderId="0" xfId="0" applyNumberFormat="1" applyFont="1" applyFill="1"/>
    <xf numFmtId="0" fontId="32" fillId="36" borderId="0" xfId="0" applyFont="1" applyFill="1"/>
    <xf numFmtId="0" fontId="3" fillId="36" borderId="3" xfId="0" applyFont="1" applyFill="1" applyBorder="1" applyAlignment="1">
      <alignment horizontal="left" vertical="center" wrapText="1"/>
    </xf>
    <xf numFmtId="0" fontId="3" fillId="36" borderId="3" xfId="0" applyFont="1" applyFill="1" applyBorder="1" applyAlignment="1">
      <alignment horizontal="center" vertical="center" wrapText="1"/>
    </xf>
    <xf numFmtId="166" fontId="3" fillId="36" borderId="3" xfId="0" applyNumberFormat="1" applyFont="1" applyFill="1" applyBorder="1" applyAlignment="1">
      <alignment horizontal="right" vertical="center" wrapText="1"/>
    </xf>
    <xf numFmtId="166" fontId="3" fillId="36" borderId="3" xfId="0" applyNumberFormat="1" applyFont="1" applyFill="1" applyBorder="1" applyAlignment="1">
      <alignment horizontal="right"/>
    </xf>
    <xf numFmtId="166" fontId="2" fillId="13" borderId="3" xfId="6" applyNumberFormat="1" applyFont="1" applyFill="1" applyBorder="1" applyAlignment="1">
      <alignment horizontal="right" vertical="center" wrapText="1"/>
    </xf>
    <xf numFmtId="166" fontId="2" fillId="13" borderId="45" xfId="6" applyNumberFormat="1" applyFont="1" applyFill="1" applyBorder="1" applyAlignment="1">
      <alignment horizontal="right" vertical="center" wrapText="1"/>
    </xf>
    <xf numFmtId="166" fontId="2" fillId="36" borderId="3" xfId="6" applyNumberFormat="1" applyFont="1" applyFill="1" applyBorder="1" applyAlignment="1">
      <alignment horizontal="right" vertical="center" wrapText="1"/>
    </xf>
    <xf numFmtId="166" fontId="2" fillId="36" borderId="45" xfId="6" applyNumberFormat="1" applyFont="1" applyFill="1" applyBorder="1" applyAlignment="1">
      <alignment horizontal="right" vertical="center" wrapText="1"/>
    </xf>
    <xf numFmtId="166" fontId="4" fillId="13" borderId="2" xfId="0" applyNumberFormat="1" applyFont="1" applyFill="1" applyBorder="1" applyAlignment="1">
      <alignment horizontal="right" vertical="center" wrapText="1"/>
    </xf>
    <xf numFmtId="166" fontId="3" fillId="13" borderId="2" xfId="0" applyNumberFormat="1" applyFont="1" applyFill="1" applyBorder="1" applyAlignment="1">
      <alignment vertical="center" wrapText="1"/>
    </xf>
    <xf numFmtId="166" fontId="2" fillId="13" borderId="18" xfId="7" applyNumberFormat="1" applyFont="1" applyFill="1" applyBorder="1" applyAlignment="1">
      <alignment horizontal="right" vertical="center" wrapText="1"/>
    </xf>
    <xf numFmtId="166" fontId="4" fillId="36" borderId="2" xfId="0" applyNumberFormat="1" applyFont="1" applyFill="1" applyBorder="1" applyAlignment="1">
      <alignment horizontal="right" vertical="center" wrapText="1"/>
    </xf>
    <xf numFmtId="166" fontId="3" fillId="36" borderId="2" xfId="0" applyNumberFormat="1" applyFont="1" applyFill="1" applyBorder="1" applyAlignment="1">
      <alignment vertical="center" wrapText="1"/>
    </xf>
    <xf numFmtId="166" fontId="2" fillId="36" borderId="18" xfId="7" applyNumberFormat="1" applyFont="1" applyFill="1" applyBorder="1" applyAlignment="1">
      <alignment horizontal="right" vertical="center" wrapText="1"/>
    </xf>
    <xf numFmtId="0" fontId="2" fillId="13" borderId="0" xfId="0" applyFont="1" applyFill="1" applyAlignment="1">
      <alignment vertical="center"/>
    </xf>
    <xf numFmtId="166" fontId="2" fillId="13" borderId="18" xfId="0" applyNumberFormat="1" applyFont="1" applyFill="1" applyBorder="1" applyAlignment="1">
      <alignment horizontal="right" vertical="center" wrapText="1"/>
    </xf>
    <xf numFmtId="166" fontId="2" fillId="13" borderId="0" xfId="0" applyNumberFormat="1" applyFont="1" applyFill="1" applyAlignment="1">
      <alignment vertical="center"/>
    </xf>
    <xf numFmtId="0" fontId="2" fillId="36" borderId="0" xfId="0" applyFont="1" applyFill="1" applyAlignment="1">
      <alignment vertical="center"/>
    </xf>
    <xf numFmtId="166" fontId="2" fillId="36" borderId="18" xfId="0" applyNumberFormat="1" applyFont="1" applyFill="1" applyBorder="1" applyAlignment="1">
      <alignment horizontal="right" vertical="center" wrapText="1"/>
    </xf>
    <xf numFmtId="166" fontId="2" fillId="36" borderId="0" xfId="0" applyNumberFormat="1" applyFont="1" applyFill="1" applyAlignment="1">
      <alignment vertical="center"/>
    </xf>
    <xf numFmtId="0" fontId="2" fillId="36" borderId="1" xfId="0" applyFont="1" applyFill="1" applyBorder="1" applyAlignment="1">
      <alignment horizontal="left" vertical="center" wrapText="1"/>
    </xf>
    <xf numFmtId="166" fontId="2" fillId="0" borderId="0" xfId="0" applyNumberFormat="1" applyFont="1" applyAlignment="1">
      <alignment horizontal="center" vertical="center"/>
    </xf>
    <xf numFmtId="0" fontId="19" fillId="14" borderId="82" xfId="0" applyFont="1" applyFill="1" applyBorder="1" applyAlignment="1">
      <alignment horizontal="center" vertical="center" wrapText="1"/>
    </xf>
    <xf numFmtId="0" fontId="2" fillId="13" borderId="24" xfId="0" applyFont="1" applyFill="1" applyBorder="1" applyAlignment="1">
      <alignment horizontal="justify" vertical="center" wrapText="1"/>
    </xf>
    <xf numFmtId="0" fontId="2" fillId="13" borderId="25" xfId="0" applyFont="1" applyFill="1" applyBorder="1" applyAlignment="1">
      <alignment horizontal="center" vertical="center"/>
    </xf>
    <xf numFmtId="166" fontId="2" fillId="13" borderId="25" xfId="7" applyNumberFormat="1" applyFont="1" applyFill="1" applyBorder="1" applyAlignment="1">
      <alignment horizontal="right" vertical="center" wrapText="1"/>
    </xf>
    <xf numFmtId="166" fontId="2" fillId="13" borderId="25" xfId="7" applyNumberFormat="1" applyFont="1" applyFill="1" applyBorder="1" applyAlignment="1">
      <alignment horizontal="right"/>
    </xf>
    <xf numFmtId="166" fontId="2" fillId="13" borderId="25" xfId="7" applyNumberFormat="1" applyFont="1" applyFill="1" applyBorder="1" applyAlignment="1">
      <alignment horizontal="right" vertical="center"/>
    </xf>
    <xf numFmtId="166" fontId="2" fillId="13" borderId="25" xfId="0" applyNumberFormat="1" applyFont="1" applyFill="1" applyBorder="1" applyAlignment="1">
      <alignment horizontal="right"/>
    </xf>
    <xf numFmtId="166" fontId="2" fillId="13" borderId="25" xfId="0" applyNumberFormat="1" applyFont="1" applyFill="1" applyBorder="1" applyAlignment="1">
      <alignment horizontal="right" vertical="center"/>
    </xf>
    <xf numFmtId="166" fontId="2" fillId="13" borderId="26" xfId="0" applyNumberFormat="1" applyFont="1" applyFill="1" applyBorder="1" applyAlignment="1">
      <alignment horizontal="right" vertical="center"/>
    </xf>
    <xf numFmtId="166" fontId="2" fillId="13" borderId="73" xfId="0" applyNumberFormat="1" applyFont="1" applyFill="1" applyBorder="1" applyAlignment="1">
      <alignment horizontal="right" vertical="center"/>
    </xf>
    <xf numFmtId="166" fontId="2" fillId="13" borderId="2" xfId="7" applyNumberFormat="1" applyFont="1" applyFill="1" applyBorder="1" applyAlignment="1">
      <alignment horizontal="right"/>
    </xf>
    <xf numFmtId="166" fontId="2" fillId="13" borderId="2" xfId="0" applyNumberFormat="1" applyFont="1" applyFill="1" applyBorder="1" applyAlignment="1">
      <alignment horizontal="right"/>
    </xf>
    <xf numFmtId="166" fontId="2" fillId="13" borderId="72" xfId="0" applyNumberFormat="1" applyFont="1" applyFill="1" applyBorder="1" applyAlignment="1">
      <alignment horizontal="right" vertical="center"/>
    </xf>
    <xf numFmtId="0" fontId="2" fillId="13" borderId="35" xfId="0" applyFont="1" applyFill="1" applyBorder="1" applyAlignment="1">
      <alignment horizontal="left" vertical="center" wrapText="1"/>
    </xf>
    <xf numFmtId="0" fontId="2" fillId="13" borderId="5" xfId="0" applyFont="1" applyFill="1" applyBorder="1" applyAlignment="1">
      <alignment horizontal="center" vertical="center"/>
    </xf>
    <xf numFmtId="0" fontId="2" fillId="13" borderId="5" xfId="0" applyFont="1" applyFill="1" applyBorder="1" applyAlignment="1">
      <alignment horizontal="center" vertical="center" wrapText="1"/>
    </xf>
    <xf numFmtId="166" fontId="2" fillId="13" borderId="5" xfId="7" applyNumberFormat="1" applyFont="1" applyFill="1" applyBorder="1" applyAlignment="1">
      <alignment horizontal="right" vertical="center" wrapText="1"/>
    </xf>
    <xf numFmtId="166" fontId="2" fillId="13" borderId="5" xfId="7" applyNumberFormat="1" applyFont="1" applyFill="1" applyBorder="1" applyAlignment="1">
      <alignment horizontal="right"/>
    </xf>
    <xf numFmtId="166" fontId="2" fillId="13" borderId="5" xfId="7" applyNumberFormat="1" applyFont="1" applyFill="1" applyBorder="1" applyAlignment="1">
      <alignment horizontal="right" vertical="center"/>
    </xf>
    <xf numFmtId="166" fontId="2" fillId="13" borderId="5" xfId="0" applyNumberFormat="1" applyFont="1" applyFill="1" applyBorder="1" applyAlignment="1">
      <alignment horizontal="right" vertical="center"/>
    </xf>
    <xf numFmtId="166" fontId="2" fillId="13" borderId="43" xfId="0" applyNumberFormat="1" applyFont="1" applyFill="1" applyBorder="1" applyAlignment="1">
      <alignment horizontal="right" vertical="center"/>
    </xf>
    <xf numFmtId="0" fontId="2" fillId="13" borderId="1" xfId="0" applyFont="1" applyFill="1" applyBorder="1" applyAlignment="1">
      <alignment horizontal="left" vertical="center" wrapText="1"/>
    </xf>
    <xf numFmtId="166" fontId="2" fillId="13" borderId="20" xfId="7" applyNumberFormat="1" applyFont="1" applyFill="1" applyBorder="1" applyAlignment="1">
      <alignment horizontal="right"/>
    </xf>
    <xf numFmtId="166" fontId="2" fillId="13" borderId="20" xfId="7" applyNumberFormat="1" applyFont="1" applyFill="1" applyBorder="1" applyAlignment="1">
      <alignment horizontal="right" vertical="center"/>
    </xf>
    <xf numFmtId="166" fontId="2" fillId="13" borderId="20" xfId="0" applyNumberFormat="1" applyFont="1" applyFill="1" applyBorder="1" applyAlignment="1">
      <alignment horizontal="right" vertical="center"/>
    </xf>
    <xf numFmtId="166" fontId="2" fillId="36" borderId="20" xfId="7" applyNumberFormat="1" applyFont="1" applyFill="1" applyBorder="1" applyAlignment="1">
      <alignment horizontal="right"/>
    </xf>
    <xf numFmtId="166" fontId="2" fillId="36" borderId="20" xfId="0" applyNumberFormat="1" applyFont="1" applyFill="1" applyBorder="1" applyAlignment="1">
      <alignment horizontal="right" vertical="center"/>
    </xf>
    <xf numFmtId="166" fontId="2" fillId="36" borderId="2" xfId="7" applyNumberFormat="1" applyFont="1" applyFill="1" applyBorder="1" applyAlignment="1">
      <alignment horizontal="right"/>
    </xf>
    <xf numFmtId="166" fontId="2" fillId="36" borderId="2" xfId="7" applyNumberFormat="1" applyFont="1" applyFill="1" applyBorder="1" applyAlignment="1">
      <alignment horizontal="right" vertical="center"/>
    </xf>
    <xf numFmtId="166" fontId="2" fillId="36" borderId="2" xfId="0" applyNumberFormat="1" applyFont="1" applyFill="1" applyBorder="1" applyAlignment="1">
      <alignment horizontal="right"/>
    </xf>
    <xf numFmtId="166" fontId="2" fillId="36" borderId="18" xfId="0" applyNumberFormat="1" applyFont="1" applyFill="1" applyBorder="1" applyAlignment="1">
      <alignment horizontal="right" vertical="center"/>
    </xf>
    <xf numFmtId="166" fontId="2" fillId="36" borderId="72" xfId="0" applyNumberFormat="1" applyFont="1" applyFill="1" applyBorder="1" applyAlignment="1">
      <alignment horizontal="right" vertical="center"/>
    </xf>
    <xf numFmtId="0" fontId="34" fillId="13" borderId="0" xfId="0" applyFont="1" applyFill="1"/>
    <xf numFmtId="0" fontId="34" fillId="13" borderId="1" xfId="0" applyFont="1" applyFill="1" applyBorder="1" applyAlignment="1">
      <alignment horizontal="left" vertical="center" wrapText="1"/>
    </xf>
    <xf numFmtId="0" fontId="34" fillId="13" borderId="2" xfId="0" applyFont="1" applyFill="1" applyBorder="1" applyAlignment="1">
      <alignment horizontal="center" vertical="center" wrapText="1"/>
    </xf>
    <xf numFmtId="0" fontId="34" fillId="13" borderId="2" xfId="0" applyFont="1" applyFill="1" applyBorder="1" applyAlignment="1">
      <alignment horizontal="center" vertical="center"/>
    </xf>
    <xf numFmtId="166" fontId="34" fillId="13" borderId="2" xfId="7" applyNumberFormat="1" applyFont="1" applyFill="1" applyBorder="1" applyAlignment="1">
      <alignment horizontal="right" vertical="center" wrapText="1"/>
    </xf>
    <xf numFmtId="166" fontId="34" fillId="13" borderId="2" xfId="7" applyNumberFormat="1" applyFont="1" applyFill="1" applyBorder="1" applyAlignment="1">
      <alignment horizontal="right"/>
    </xf>
    <xf numFmtId="166" fontId="34" fillId="13" borderId="2" xfId="7" applyNumberFormat="1" applyFont="1" applyFill="1" applyBorder="1" applyAlignment="1">
      <alignment horizontal="right" vertical="center"/>
    </xf>
    <xf numFmtId="170" fontId="34" fillId="13" borderId="0" xfId="7" applyNumberFormat="1" applyFont="1" applyFill="1"/>
    <xf numFmtId="0" fontId="34" fillId="36" borderId="0" xfId="0" applyFont="1" applyFill="1"/>
    <xf numFmtId="0" fontId="34" fillId="36" borderId="1" xfId="0" applyFont="1" applyFill="1" applyBorder="1" applyAlignment="1">
      <alignment horizontal="left" vertical="center" wrapText="1"/>
    </xf>
    <xf numFmtId="0" fontId="34" fillId="36" borderId="2" xfId="0" applyFont="1" applyFill="1" applyBorder="1" applyAlignment="1">
      <alignment horizontal="center" vertical="center" wrapText="1"/>
    </xf>
    <xf numFmtId="0" fontId="34" fillId="36" borderId="2" xfId="0" applyFont="1" applyFill="1" applyBorder="1" applyAlignment="1">
      <alignment horizontal="center" vertical="center"/>
    </xf>
    <xf numFmtId="166" fontId="34" fillId="36" borderId="2" xfId="7" applyNumberFormat="1" applyFont="1" applyFill="1" applyBorder="1" applyAlignment="1">
      <alignment horizontal="right" vertical="center" wrapText="1"/>
    </xf>
    <xf numFmtId="166" fontId="34" fillId="36" borderId="2" xfId="7" applyNumberFormat="1" applyFont="1" applyFill="1" applyBorder="1" applyAlignment="1">
      <alignment horizontal="right"/>
    </xf>
    <xf numFmtId="166" fontId="34" fillId="36" borderId="2" xfId="7" applyNumberFormat="1" applyFont="1" applyFill="1" applyBorder="1" applyAlignment="1">
      <alignment horizontal="right" vertical="center"/>
    </xf>
    <xf numFmtId="166" fontId="34" fillId="36" borderId="2" xfId="0" applyNumberFormat="1" applyFont="1" applyFill="1" applyBorder="1" applyAlignment="1">
      <alignment horizontal="right" vertical="center"/>
    </xf>
    <xf numFmtId="166" fontId="34" fillId="36" borderId="18" xfId="0" applyNumberFormat="1" applyFont="1" applyFill="1" applyBorder="1" applyAlignment="1">
      <alignment horizontal="right" vertical="center"/>
    </xf>
    <xf numFmtId="170" fontId="34" fillId="36" borderId="0" xfId="7" applyNumberFormat="1" applyFont="1" applyFill="1"/>
    <xf numFmtId="166" fontId="2" fillId="13" borderId="3" xfId="7" applyNumberFormat="1" applyFont="1" applyFill="1" applyBorder="1" applyAlignment="1">
      <alignment horizontal="right" vertical="center"/>
    </xf>
    <xf numFmtId="0" fontId="34" fillId="13" borderId="19" xfId="0" applyFont="1" applyFill="1" applyBorder="1" applyAlignment="1">
      <alignment horizontal="left" vertical="center" wrapText="1"/>
    </xf>
    <xf numFmtId="0" fontId="34" fillId="13" borderId="20" xfId="0" applyFont="1" applyFill="1" applyBorder="1" applyAlignment="1">
      <alignment horizontal="center" vertical="center"/>
    </xf>
    <xf numFmtId="0" fontId="34" fillId="13" borderId="20" xfId="0" applyFont="1" applyFill="1" applyBorder="1" applyAlignment="1">
      <alignment horizontal="center" vertical="center" wrapText="1"/>
    </xf>
    <xf numFmtId="166" fontId="34" fillId="13" borderId="20" xfId="7" applyNumberFormat="1" applyFont="1" applyFill="1" applyBorder="1" applyAlignment="1">
      <alignment horizontal="right" vertical="center" wrapText="1"/>
    </xf>
    <xf numFmtId="166" fontId="34" fillId="13" borderId="20" xfId="7" applyNumberFormat="1" applyFont="1" applyFill="1" applyBorder="1" applyAlignment="1">
      <alignment horizontal="right"/>
    </xf>
    <xf numFmtId="166" fontId="34" fillId="13" borderId="20" xfId="7" applyNumberFormat="1" applyFont="1" applyFill="1" applyBorder="1" applyAlignment="1">
      <alignment horizontal="right" vertical="center"/>
    </xf>
    <xf numFmtId="166" fontId="34" fillId="13" borderId="20" xfId="0" applyNumberFormat="1" applyFont="1" applyFill="1" applyBorder="1" applyAlignment="1">
      <alignment horizontal="right" vertical="center"/>
    </xf>
    <xf numFmtId="166" fontId="34" fillId="13" borderId="21" xfId="0" applyNumberFormat="1" applyFont="1" applyFill="1" applyBorder="1" applyAlignment="1">
      <alignment horizontal="right" vertical="center"/>
    </xf>
    <xf numFmtId="0" fontId="34" fillId="36" borderId="19" xfId="0" applyFont="1" applyFill="1" applyBorder="1" applyAlignment="1">
      <alignment horizontal="left" vertical="center" wrapText="1"/>
    </xf>
    <xf numFmtId="0" fontId="34" fillId="36" borderId="20" xfId="0" applyFont="1" applyFill="1" applyBorder="1" applyAlignment="1">
      <alignment horizontal="center" vertical="center"/>
    </xf>
    <xf numFmtId="0" fontId="34" fillId="36" borderId="20" xfId="0" applyFont="1" applyFill="1" applyBorder="1" applyAlignment="1">
      <alignment horizontal="center" vertical="center" wrapText="1"/>
    </xf>
    <xf numFmtId="166" fontId="34" fillId="36" borderId="20" xfId="7" applyNumberFormat="1" applyFont="1" applyFill="1" applyBorder="1" applyAlignment="1">
      <alignment horizontal="right" vertical="center" wrapText="1"/>
    </xf>
    <xf numFmtId="166" fontId="34" fillId="36" borderId="20" xfId="7" applyNumberFormat="1" applyFont="1" applyFill="1" applyBorder="1" applyAlignment="1">
      <alignment horizontal="right"/>
    </xf>
    <xf numFmtId="166" fontId="34" fillId="36" borderId="20" xfId="7" applyNumberFormat="1" applyFont="1" applyFill="1" applyBorder="1" applyAlignment="1">
      <alignment horizontal="right" vertical="center"/>
    </xf>
    <xf numFmtId="166" fontId="34" fillId="36" borderId="20" xfId="0" applyNumberFormat="1" applyFont="1" applyFill="1" applyBorder="1" applyAlignment="1">
      <alignment horizontal="right" vertical="center"/>
    </xf>
    <xf numFmtId="166" fontId="34" fillId="36" borderId="21" xfId="0" applyNumberFormat="1" applyFont="1" applyFill="1" applyBorder="1" applyAlignment="1">
      <alignment horizontal="right" vertical="center"/>
    </xf>
    <xf numFmtId="167" fontId="2" fillId="36" borderId="2" xfId="6" applyNumberFormat="1" applyFont="1" applyFill="1" applyBorder="1" applyAlignment="1">
      <alignment horizontal="right"/>
    </xf>
    <xf numFmtId="0" fontId="2" fillId="36" borderId="0" xfId="0" applyFont="1" applyFill="1" applyAlignment="1">
      <alignment wrapText="1"/>
    </xf>
    <xf numFmtId="0" fontId="2" fillId="13" borderId="0" xfId="0" applyFont="1" applyFill="1" applyAlignment="1">
      <alignment horizontal="center" vertical="center"/>
    </xf>
    <xf numFmtId="167" fontId="2" fillId="13" borderId="2" xfId="6" applyNumberFormat="1" applyFont="1" applyFill="1" applyBorder="1" applyAlignment="1">
      <alignment horizontal="center" vertical="center"/>
    </xf>
    <xf numFmtId="167" fontId="2" fillId="13" borderId="2" xfId="61" applyNumberFormat="1" applyFont="1" applyFill="1" applyBorder="1" applyAlignment="1">
      <alignment horizontal="center" vertical="center" wrapText="1"/>
    </xf>
    <xf numFmtId="166" fontId="2" fillId="13" borderId="0" xfId="0" applyNumberFormat="1" applyFont="1" applyFill="1" applyAlignment="1">
      <alignment horizontal="center" vertical="center"/>
    </xf>
    <xf numFmtId="0" fontId="2" fillId="13" borderId="0" xfId="0" applyFont="1" applyFill="1" applyAlignment="1">
      <alignment wrapText="1"/>
    </xf>
    <xf numFmtId="0" fontId="2" fillId="36" borderId="0" xfId="0" applyFont="1" applyFill="1" applyAlignment="1">
      <alignment horizontal="center" vertical="center"/>
    </xf>
    <xf numFmtId="167" fontId="2" fillId="36" borderId="2" xfId="6" applyNumberFormat="1" applyFont="1" applyFill="1" applyBorder="1" applyAlignment="1">
      <alignment horizontal="center" vertical="center"/>
    </xf>
    <xf numFmtId="167" fontId="2" fillId="36" borderId="2" xfId="61" applyNumberFormat="1" applyFont="1" applyFill="1" applyBorder="1" applyAlignment="1">
      <alignment horizontal="center" vertical="center" wrapText="1"/>
    </xf>
    <xf numFmtId="166" fontId="2" fillId="36" borderId="0" xfId="0" applyNumberFormat="1" applyFont="1" applyFill="1" applyAlignment="1">
      <alignment horizontal="center" vertical="center"/>
    </xf>
    <xf numFmtId="172" fontId="2" fillId="13" borderId="2" xfId="6" applyNumberFormat="1" applyFont="1" applyFill="1" applyBorder="1" applyAlignment="1">
      <alignment horizontal="center" vertical="center"/>
    </xf>
    <xf numFmtId="172" fontId="2" fillId="36" borderId="2" xfId="6" applyNumberFormat="1" applyFont="1" applyFill="1" applyBorder="1" applyAlignment="1">
      <alignment horizontal="center" vertical="center"/>
    </xf>
    <xf numFmtId="172" fontId="2" fillId="13" borderId="2" xfId="6" applyNumberFormat="1" applyFont="1" applyFill="1" applyBorder="1" applyAlignment="1">
      <alignment horizontal="justify" vertical="center"/>
    </xf>
    <xf numFmtId="172" fontId="2" fillId="13" borderId="2" xfId="6" applyNumberFormat="1" applyFont="1" applyFill="1" applyBorder="1" applyAlignment="1">
      <alignment horizontal="center" vertical="center" wrapText="1"/>
    </xf>
    <xf numFmtId="167" fontId="2" fillId="13" borderId="2" xfId="6" applyNumberFormat="1" applyFont="1" applyFill="1" applyBorder="1" applyAlignment="1">
      <alignment horizontal="justify" vertical="center"/>
    </xf>
    <xf numFmtId="167" fontId="2" fillId="36" borderId="2" xfId="6" applyNumberFormat="1" applyFont="1" applyFill="1" applyBorder="1" applyAlignment="1">
      <alignment horizontal="justify" vertical="center"/>
    </xf>
    <xf numFmtId="166" fontId="2" fillId="13" borderId="0" xfId="0" applyNumberFormat="1" applyFont="1" applyFill="1" applyAlignment="1">
      <alignment horizontal="center"/>
    </xf>
    <xf numFmtId="0" fontId="2" fillId="13" borderId="0" xfId="0" applyFont="1" applyFill="1" applyAlignment="1">
      <alignment horizontal="center"/>
    </xf>
    <xf numFmtId="166" fontId="2" fillId="36" borderId="0" xfId="0" applyNumberFormat="1" applyFont="1" applyFill="1" applyAlignment="1">
      <alignment horizontal="right"/>
    </xf>
    <xf numFmtId="166" fontId="2" fillId="36" borderId="0" xfId="0" applyNumberFormat="1" applyFont="1" applyFill="1" applyAlignment="1">
      <alignment horizontal="center"/>
    </xf>
    <xf numFmtId="0" fontId="2" fillId="36" borderId="0" xfId="0" applyFont="1" applyFill="1" applyAlignment="1">
      <alignment horizontal="center"/>
    </xf>
    <xf numFmtId="43" fontId="2" fillId="13" borderId="2" xfId="6" applyFont="1" applyFill="1" applyBorder="1" applyAlignment="1">
      <alignment horizontal="center" vertical="center"/>
    </xf>
    <xf numFmtId="43" fontId="2" fillId="13" borderId="2" xfId="61" applyFont="1" applyFill="1" applyBorder="1" applyAlignment="1">
      <alignment horizontal="center" vertical="center" wrapText="1"/>
    </xf>
    <xf numFmtId="41" fontId="2" fillId="13" borderId="2" xfId="0" applyNumberFormat="1" applyFont="1" applyFill="1" applyBorder="1" applyAlignment="1">
      <alignment horizontal="center" vertical="center"/>
    </xf>
    <xf numFmtId="166" fontId="2" fillId="13" borderId="0" xfId="7" applyNumberFormat="1" applyFont="1" applyFill="1"/>
    <xf numFmtId="166" fontId="2" fillId="13" borderId="0" xfId="6" applyNumberFormat="1" applyFont="1" applyFill="1"/>
    <xf numFmtId="43" fontId="2" fillId="13" borderId="0" xfId="6" applyFont="1" applyFill="1" applyAlignment="1">
      <alignment wrapText="1"/>
    </xf>
    <xf numFmtId="43" fontId="2" fillId="13" borderId="0" xfId="6" applyFont="1" applyFill="1"/>
    <xf numFmtId="0" fontId="2" fillId="13" borderId="2" xfId="0" applyFont="1" applyFill="1" applyBorder="1" applyAlignment="1">
      <alignment horizontal="center"/>
    </xf>
    <xf numFmtId="167" fontId="2" fillId="13" borderId="0" xfId="0" applyNumberFormat="1" applyFont="1" applyFill="1" applyAlignment="1">
      <alignment wrapText="1"/>
    </xf>
    <xf numFmtId="167" fontId="2" fillId="13" borderId="0" xfId="0" applyNumberFormat="1" applyFont="1" applyFill="1"/>
    <xf numFmtId="167" fontId="2" fillId="13" borderId="2" xfId="6" applyNumberFormat="1" applyFont="1" applyFill="1" applyBorder="1" applyAlignment="1">
      <alignment horizontal="right" vertical="center" wrapText="1"/>
    </xf>
    <xf numFmtId="166" fontId="2" fillId="13" borderId="2" xfId="61" applyNumberFormat="1" applyFont="1" applyFill="1" applyBorder="1" applyAlignment="1">
      <alignment horizontal="right" vertical="center" wrapText="1"/>
    </xf>
    <xf numFmtId="166" fontId="2" fillId="13" borderId="0" xfId="61" applyNumberFormat="1" applyFont="1" applyFill="1" applyBorder="1" applyAlignment="1">
      <alignment horizontal="center" vertical="center" wrapText="1"/>
    </xf>
    <xf numFmtId="43" fontId="2" fillId="13" borderId="0" xfId="0" applyNumberFormat="1" applyFont="1" applyFill="1" applyAlignment="1">
      <alignment wrapText="1"/>
    </xf>
    <xf numFmtId="167" fontId="2" fillId="13" borderId="0" xfId="61" applyNumberFormat="1" applyFont="1" applyFill="1" applyBorder="1" applyAlignment="1">
      <alignment horizontal="center" vertical="center" wrapText="1"/>
    </xf>
    <xf numFmtId="167" fontId="2" fillId="13" borderId="0" xfId="6" applyNumberFormat="1" applyFont="1" applyFill="1" applyAlignment="1">
      <alignment wrapText="1"/>
    </xf>
    <xf numFmtId="167" fontId="2" fillId="13" borderId="0" xfId="6" applyNumberFormat="1" applyFont="1" applyFill="1"/>
    <xf numFmtId="3" fontId="19" fillId="13" borderId="0" xfId="0" applyNumberFormat="1" applyFont="1" applyFill="1" applyAlignment="1">
      <alignment vertical="center"/>
    </xf>
    <xf numFmtId="166" fontId="2" fillId="13" borderId="18" xfId="6" applyNumberFormat="1" applyFont="1" applyFill="1" applyBorder="1" applyAlignment="1">
      <alignment horizontal="right" vertical="center"/>
    </xf>
    <xf numFmtId="0" fontId="2" fillId="13" borderId="0" xfId="0" applyFont="1" applyFill="1" applyAlignment="1">
      <alignment horizontal="center" vertical="center" wrapText="1"/>
    </xf>
    <xf numFmtId="0" fontId="34" fillId="36" borderId="0" xfId="0" applyFont="1" applyFill="1" applyAlignment="1">
      <alignment horizontal="center" vertical="center"/>
    </xf>
    <xf numFmtId="166" fontId="2" fillId="36" borderId="18" xfId="6" applyNumberFormat="1" applyFont="1" applyFill="1" applyBorder="1" applyAlignment="1">
      <alignment horizontal="right" vertical="center"/>
    </xf>
    <xf numFmtId="0" fontId="2" fillId="36" borderId="0" xfId="0" applyFont="1" applyFill="1" applyAlignment="1">
      <alignment horizontal="center" vertical="center" wrapText="1"/>
    </xf>
    <xf numFmtId="167" fontId="2" fillId="13" borderId="2" xfId="6" applyNumberFormat="1" applyFont="1" applyFill="1" applyBorder="1" applyAlignment="1">
      <alignment horizontal="right" vertical="center"/>
    </xf>
    <xf numFmtId="167" fontId="2" fillId="36" borderId="2" xfId="6" applyNumberFormat="1" applyFont="1" applyFill="1" applyBorder="1" applyAlignment="1">
      <alignment horizontal="right" vertical="center"/>
    </xf>
    <xf numFmtId="166" fontId="2" fillId="36" borderId="0" xfId="6" applyNumberFormat="1" applyFont="1" applyFill="1"/>
    <xf numFmtId="167" fontId="2" fillId="36" borderId="0" xfId="6" applyNumberFormat="1" applyFont="1" applyFill="1" applyAlignment="1">
      <alignment wrapText="1"/>
    </xf>
    <xf numFmtId="167" fontId="2" fillId="36" borderId="0" xfId="6" applyNumberFormat="1" applyFont="1" applyFill="1"/>
    <xf numFmtId="3" fontId="19" fillId="36" borderId="0" xfId="0" applyNumberFormat="1" applyFont="1" applyFill="1" applyAlignment="1">
      <alignment vertical="center"/>
    </xf>
    <xf numFmtId="167" fontId="2" fillId="13" borderId="0" xfId="0" applyNumberFormat="1" applyFont="1" applyFill="1" applyAlignment="1">
      <alignment horizontal="center" vertical="center" wrapText="1"/>
    </xf>
    <xf numFmtId="167" fontId="2" fillId="13" borderId="0" xfId="0" applyNumberFormat="1" applyFont="1" applyFill="1" applyAlignment="1">
      <alignment horizontal="center" vertical="center"/>
    </xf>
    <xf numFmtId="167" fontId="2" fillId="13" borderId="18" xfId="6" applyNumberFormat="1" applyFont="1" applyFill="1" applyBorder="1" applyAlignment="1">
      <alignment horizontal="justify" vertical="center"/>
    </xf>
    <xf numFmtId="166" fontId="2" fillId="13" borderId="4" xfId="6" applyNumberFormat="1" applyFont="1" applyFill="1" applyBorder="1" applyAlignment="1">
      <alignment horizontal="right" vertical="center"/>
    </xf>
    <xf numFmtId="166" fontId="2" fillId="13" borderId="9" xfId="6" applyNumberFormat="1" applyFont="1" applyFill="1" applyBorder="1" applyAlignment="1">
      <alignment horizontal="right" vertical="center"/>
    </xf>
    <xf numFmtId="166" fontId="2" fillId="13" borderId="66" xfId="6" applyNumberFormat="1" applyFont="1" applyFill="1" applyBorder="1" applyAlignment="1">
      <alignment horizontal="right" vertical="center" wrapText="1"/>
    </xf>
    <xf numFmtId="166" fontId="2" fillId="13" borderId="85" xfId="6" applyNumberFormat="1" applyFont="1" applyFill="1" applyBorder="1" applyAlignment="1">
      <alignment horizontal="right" vertical="center" wrapText="1"/>
    </xf>
    <xf numFmtId="166" fontId="2" fillId="13" borderId="72" xfId="6" applyNumberFormat="1" applyFont="1" applyFill="1" applyBorder="1" applyAlignment="1">
      <alignment horizontal="right" vertical="center"/>
    </xf>
    <xf numFmtId="166" fontId="2" fillId="13" borderId="66" xfId="6" applyNumberFormat="1" applyFont="1" applyFill="1" applyBorder="1" applyAlignment="1">
      <alignment horizontal="right" vertical="center"/>
    </xf>
    <xf numFmtId="0" fontId="2" fillId="36" borderId="2" xfId="0" applyFont="1" applyFill="1" applyBorder="1" applyAlignment="1">
      <alignment horizontal="center"/>
    </xf>
    <xf numFmtId="167" fontId="2" fillId="36" borderId="18" xfId="6" applyNumberFormat="1" applyFont="1" applyFill="1" applyBorder="1" applyAlignment="1">
      <alignment horizontal="justify" vertical="center"/>
    </xf>
    <xf numFmtId="166" fontId="2" fillId="36" borderId="4" xfId="6" applyNumberFormat="1" applyFont="1" applyFill="1" applyBorder="1" applyAlignment="1">
      <alignment horizontal="right" vertical="center"/>
    </xf>
    <xf numFmtId="166" fontId="2" fillId="36" borderId="9" xfId="6" applyNumberFormat="1" applyFont="1" applyFill="1" applyBorder="1" applyAlignment="1">
      <alignment horizontal="right" vertical="center"/>
    </xf>
    <xf numFmtId="166" fontId="2" fillId="36" borderId="66" xfId="6" applyNumberFormat="1" applyFont="1" applyFill="1" applyBorder="1" applyAlignment="1">
      <alignment horizontal="right" vertical="center" wrapText="1"/>
    </xf>
    <xf numFmtId="166" fontId="2" fillId="36" borderId="85" xfId="6" applyNumberFormat="1" applyFont="1" applyFill="1" applyBorder="1" applyAlignment="1">
      <alignment horizontal="right" vertical="center" wrapText="1"/>
    </xf>
    <xf numFmtId="166" fontId="2" fillId="36" borderId="72" xfId="6" applyNumberFormat="1" applyFont="1" applyFill="1" applyBorder="1" applyAlignment="1">
      <alignment horizontal="right" vertical="center"/>
    </xf>
    <xf numFmtId="166" fontId="2" fillId="36" borderId="66" xfId="6" applyNumberFormat="1" applyFont="1" applyFill="1" applyBorder="1" applyAlignment="1">
      <alignment horizontal="right" vertical="center"/>
    </xf>
    <xf numFmtId="43" fontId="2" fillId="13" borderId="0" xfId="0" applyNumberFormat="1" applyFont="1" applyFill="1"/>
    <xf numFmtId="167" fontId="3" fillId="13" borderId="2" xfId="6" applyNumberFormat="1" applyFont="1" applyFill="1" applyBorder="1" applyAlignment="1">
      <alignment horizontal="center" vertical="center" wrapText="1"/>
    </xf>
    <xf numFmtId="0" fontId="34" fillId="13" borderId="2" xfId="0" applyFont="1" applyFill="1" applyBorder="1" applyAlignment="1">
      <alignment horizontal="left" vertical="center"/>
    </xf>
    <xf numFmtId="167" fontId="34" fillId="13" borderId="2" xfId="6" applyNumberFormat="1" applyFont="1" applyFill="1" applyBorder="1" applyAlignment="1">
      <alignment horizontal="center" vertical="center" wrapText="1"/>
    </xf>
    <xf numFmtId="167" fontId="34" fillId="13" borderId="2" xfId="61" applyNumberFormat="1" applyFont="1" applyFill="1" applyBorder="1" applyAlignment="1">
      <alignment horizontal="center" vertical="center" wrapText="1"/>
    </xf>
    <xf numFmtId="166" fontId="34" fillId="13" borderId="2" xfId="61" applyNumberFormat="1" applyFont="1" applyFill="1" applyBorder="1" applyAlignment="1">
      <alignment horizontal="right" vertical="center" wrapText="1"/>
    </xf>
    <xf numFmtId="0" fontId="2" fillId="36" borderId="1" xfId="0" applyFont="1" applyFill="1" applyBorder="1" applyAlignment="1">
      <alignment horizontal="justify" vertical="center"/>
    </xf>
    <xf numFmtId="167" fontId="2" fillId="36" borderId="2" xfId="6" applyNumberFormat="1" applyFont="1" applyFill="1" applyBorder="1" applyAlignment="1">
      <alignment horizontal="right" vertical="center" wrapText="1"/>
    </xf>
    <xf numFmtId="166" fontId="2" fillId="36" borderId="2" xfId="61" applyNumberFormat="1" applyFont="1" applyFill="1" applyBorder="1" applyAlignment="1">
      <alignment horizontal="right" vertical="center" wrapText="1"/>
    </xf>
    <xf numFmtId="166" fontId="2" fillId="36" borderId="0" xfId="61" applyNumberFormat="1" applyFont="1" applyFill="1" applyBorder="1" applyAlignment="1">
      <alignment horizontal="center" vertical="center" wrapText="1"/>
    </xf>
    <xf numFmtId="167" fontId="2" fillId="36" borderId="0" xfId="0" applyNumberFormat="1" applyFont="1" applyFill="1" applyAlignment="1">
      <alignment wrapText="1"/>
    </xf>
    <xf numFmtId="43" fontId="2" fillId="36" borderId="0" xfId="0" applyNumberFormat="1" applyFont="1" applyFill="1" applyAlignment="1">
      <alignment wrapText="1"/>
    </xf>
    <xf numFmtId="167" fontId="2" fillId="36" borderId="0" xfId="61" applyNumberFormat="1" applyFont="1" applyFill="1" applyBorder="1" applyAlignment="1">
      <alignment horizontal="center" vertical="center" wrapText="1"/>
    </xf>
    <xf numFmtId="167" fontId="2" fillId="36" borderId="0" xfId="0" applyNumberFormat="1" applyFont="1" applyFill="1"/>
    <xf numFmtId="167" fontId="2" fillId="13" borderId="0" xfId="6" applyNumberFormat="1" applyFont="1" applyFill="1" applyAlignment="1">
      <alignment horizontal="center" vertical="center"/>
    </xf>
    <xf numFmtId="0" fontId="2" fillId="13" borderId="1" xfId="2" applyFill="1" applyBorder="1" applyAlignment="1">
      <alignment horizontal="left" vertical="center" wrapText="1"/>
    </xf>
    <xf numFmtId="0" fontId="2" fillId="13" borderId="1" xfId="2" applyFill="1" applyBorder="1" applyAlignment="1">
      <alignment horizontal="justify" vertical="center"/>
    </xf>
    <xf numFmtId="0" fontId="2" fillId="13" borderId="1" xfId="2" applyFill="1" applyBorder="1" applyAlignment="1">
      <alignment horizontal="left" vertical="center"/>
    </xf>
    <xf numFmtId="44" fontId="2" fillId="0" borderId="0" xfId="0" applyNumberFormat="1" applyFont="1"/>
    <xf numFmtId="1" fontId="2" fillId="0" borderId="0" xfId="0" applyNumberFormat="1" applyFont="1"/>
    <xf numFmtId="167" fontId="2" fillId="36" borderId="0" xfId="0" applyNumberFormat="1" applyFont="1" applyFill="1" applyAlignment="1">
      <alignment horizontal="center" vertical="center" wrapText="1"/>
    </xf>
    <xf numFmtId="167" fontId="34" fillId="36" borderId="0" xfId="0" applyNumberFormat="1" applyFont="1" applyFill="1"/>
    <xf numFmtId="43" fontId="2" fillId="36" borderId="2" xfId="6" applyFont="1" applyFill="1" applyBorder="1" applyAlignment="1">
      <alignment horizontal="center" vertical="center" wrapText="1"/>
    </xf>
    <xf numFmtId="166" fontId="34" fillId="36" borderId="0" xfId="0" applyNumberFormat="1" applyFont="1" applyFill="1" applyAlignment="1">
      <alignment horizontal="center" vertical="center"/>
    </xf>
    <xf numFmtId="167" fontId="34" fillId="36" borderId="0" xfId="6" applyNumberFormat="1" applyFont="1" applyFill="1" applyAlignment="1">
      <alignment horizontal="center" vertical="center"/>
    </xf>
    <xf numFmtId="43" fontId="2" fillId="36" borderId="0" xfId="0" applyNumberFormat="1" applyFont="1" applyFill="1"/>
    <xf numFmtId="166" fontId="2" fillId="36" borderId="0" xfId="61" applyNumberFormat="1" applyFont="1" applyFill="1" applyBorder="1" applyAlignment="1">
      <alignment horizontal="right" vertical="center" wrapText="1"/>
    </xf>
    <xf numFmtId="166" fontId="2" fillId="36" borderId="0" xfId="7" applyNumberFormat="1" applyFont="1" applyFill="1"/>
    <xf numFmtId="43" fontId="2" fillId="36" borderId="0" xfId="6" applyFont="1" applyFill="1" applyAlignment="1">
      <alignment wrapText="1"/>
    </xf>
    <xf numFmtId="0" fontId="2" fillId="36" borderId="5" xfId="0" applyFont="1" applyFill="1" applyBorder="1" applyAlignment="1">
      <alignment horizontal="center" vertical="center"/>
    </xf>
    <xf numFmtId="167" fontId="2" fillId="36" borderId="5" xfId="6" applyNumberFormat="1" applyFont="1" applyFill="1" applyBorder="1" applyAlignment="1">
      <alignment horizontal="justify" vertical="center"/>
    </xf>
    <xf numFmtId="167" fontId="2" fillId="36" borderId="43" xfId="6" applyNumberFormat="1" applyFont="1" applyFill="1" applyBorder="1" applyAlignment="1">
      <alignment horizontal="justify" vertical="center"/>
    </xf>
    <xf numFmtId="166" fontId="2" fillId="36" borderId="44" xfId="6" applyNumberFormat="1" applyFont="1" applyFill="1" applyBorder="1" applyAlignment="1">
      <alignment horizontal="right" vertical="center"/>
    </xf>
    <xf numFmtId="166" fontId="2" fillId="36" borderId="88" xfId="6" applyNumberFormat="1" applyFont="1" applyFill="1" applyBorder="1" applyAlignment="1">
      <alignment horizontal="right" vertical="center"/>
    </xf>
    <xf numFmtId="166" fontId="2" fillId="36" borderId="86" xfId="6" applyNumberFormat="1" applyFont="1" applyFill="1" applyBorder="1" applyAlignment="1">
      <alignment horizontal="right" vertical="center" wrapText="1"/>
    </xf>
    <xf numFmtId="166" fontId="2" fillId="36" borderId="95" xfId="6" applyNumberFormat="1" applyFont="1" applyFill="1" applyBorder="1" applyAlignment="1">
      <alignment horizontal="right" vertical="center" wrapText="1"/>
    </xf>
    <xf numFmtId="166" fontId="2" fillId="36" borderId="73" xfId="6" applyNumberFormat="1" applyFont="1" applyFill="1" applyBorder="1" applyAlignment="1">
      <alignment horizontal="right" vertical="center"/>
    </xf>
    <xf numFmtId="166" fontId="2" fillId="36" borderId="86" xfId="6" applyNumberFormat="1" applyFont="1" applyFill="1" applyBorder="1" applyAlignment="1">
      <alignment horizontal="right" vertical="center"/>
    </xf>
    <xf numFmtId="0" fontId="2" fillId="36" borderId="7" xfId="0" applyFont="1" applyFill="1" applyBorder="1" applyAlignment="1">
      <alignment horizontal="center" vertical="center" wrapText="1"/>
    </xf>
    <xf numFmtId="167" fontId="2" fillId="36" borderId="66" xfId="6" applyNumberFormat="1" applyFont="1" applyFill="1" applyBorder="1" applyAlignment="1">
      <alignment horizontal="justify" vertical="center"/>
    </xf>
    <xf numFmtId="167" fontId="2" fillId="36" borderId="8" xfId="6" applyNumberFormat="1" applyFont="1" applyFill="1" applyBorder="1" applyAlignment="1">
      <alignment horizontal="center" vertical="center" wrapText="1"/>
    </xf>
    <xf numFmtId="167" fontId="2" fillId="36" borderId="18" xfId="6" applyNumberFormat="1" applyFont="1" applyFill="1" applyBorder="1" applyAlignment="1">
      <alignment horizontal="right" vertical="center"/>
    </xf>
    <xf numFmtId="166" fontId="2" fillId="36" borderId="85" xfId="6" applyNumberFormat="1" applyFont="1" applyFill="1" applyBorder="1" applyAlignment="1">
      <alignment horizontal="right" vertical="center"/>
    </xf>
    <xf numFmtId="166" fontId="2" fillId="36" borderId="72" xfId="6" applyNumberFormat="1" applyFont="1" applyFill="1" applyBorder="1" applyAlignment="1">
      <alignment horizontal="right"/>
    </xf>
    <xf numFmtId="166" fontId="2" fillId="36" borderId="66" xfId="6" applyNumberFormat="1" applyFont="1" applyFill="1" applyBorder="1" applyAlignment="1">
      <alignment horizontal="right"/>
    </xf>
    <xf numFmtId="43" fontId="3" fillId="13" borderId="2" xfId="6" applyFont="1" applyFill="1" applyBorder="1" applyAlignment="1">
      <alignment horizontal="center" vertical="center" wrapText="1"/>
    </xf>
    <xf numFmtId="167" fontId="3" fillId="13" borderId="18" xfId="6" applyNumberFormat="1" applyFont="1" applyFill="1" applyBorder="1" applyAlignment="1">
      <alignment horizontal="center" vertical="center" wrapText="1"/>
    </xf>
    <xf numFmtId="167" fontId="3" fillId="13" borderId="4" xfId="6" applyNumberFormat="1" applyFont="1" applyFill="1" applyBorder="1" applyAlignment="1">
      <alignment horizontal="center" vertical="center" wrapText="1"/>
    </xf>
    <xf numFmtId="166" fontId="3" fillId="13" borderId="5" xfId="7" applyNumberFormat="1" applyFont="1" applyFill="1" applyBorder="1" applyAlignment="1">
      <alignment horizontal="right" vertical="center" wrapText="1"/>
    </xf>
    <xf numFmtId="166" fontId="3" fillId="13" borderId="43" xfId="7" applyNumberFormat="1" applyFont="1" applyFill="1" applyBorder="1" applyAlignment="1">
      <alignment horizontal="right"/>
    </xf>
    <xf numFmtId="43" fontId="3" fillId="36" borderId="2" xfId="6" applyFont="1" applyFill="1" applyBorder="1" applyAlignment="1">
      <alignment horizontal="center" vertical="center" wrapText="1"/>
    </xf>
    <xf numFmtId="167" fontId="3" fillId="36" borderId="2" xfId="6" applyNumberFormat="1" applyFont="1" applyFill="1" applyBorder="1" applyAlignment="1">
      <alignment horizontal="center" vertical="center" wrapText="1"/>
    </xf>
    <xf numFmtId="167" fontId="3" fillId="36" borderId="18" xfId="6" applyNumberFormat="1" applyFont="1" applyFill="1" applyBorder="1" applyAlignment="1">
      <alignment horizontal="center" vertical="center" wrapText="1"/>
    </xf>
    <xf numFmtId="167" fontId="3" fillId="36" borderId="4" xfId="6" applyNumberFormat="1" applyFont="1" applyFill="1" applyBorder="1" applyAlignment="1">
      <alignment horizontal="center" vertical="center" wrapText="1"/>
    </xf>
    <xf numFmtId="166" fontId="3" fillId="36" borderId="5" xfId="7" applyNumberFormat="1" applyFont="1" applyFill="1" applyBorder="1" applyAlignment="1">
      <alignment horizontal="right" vertical="center" wrapText="1"/>
    </xf>
    <xf numFmtId="166" fontId="3" fillId="36" borderId="43" xfId="7" applyNumberFormat="1" applyFont="1" applyFill="1" applyBorder="1" applyAlignment="1">
      <alignment horizontal="right"/>
    </xf>
    <xf numFmtId="166" fontId="3" fillId="13" borderId="2" xfId="7" applyNumberFormat="1" applyFont="1" applyFill="1" applyBorder="1" applyAlignment="1">
      <alignment horizontal="right" vertical="center" wrapText="1"/>
    </xf>
    <xf numFmtId="166" fontId="2" fillId="13" borderId="43" xfId="7" applyNumberFormat="1" applyFont="1" applyFill="1" applyBorder="1" applyAlignment="1">
      <alignment horizontal="right"/>
    </xf>
    <xf numFmtId="0" fontId="32" fillId="13" borderId="0" xfId="0" applyFont="1" applyFill="1" applyAlignment="1">
      <alignment horizontal="center" vertical="center"/>
    </xf>
    <xf numFmtId="166" fontId="2" fillId="13" borderId="18" xfId="7" applyNumberFormat="1" applyFont="1" applyFill="1" applyBorder="1" applyAlignment="1">
      <alignment horizontal="right"/>
    </xf>
    <xf numFmtId="166" fontId="2" fillId="13" borderId="18" xfId="7" applyNumberFormat="1" applyFont="1" applyFill="1" applyBorder="1" applyAlignment="1">
      <alignment horizontal="right" vertical="center"/>
    </xf>
    <xf numFmtId="0" fontId="2" fillId="13" borderId="35" xfId="0" applyFont="1" applyFill="1" applyBorder="1" applyAlignment="1">
      <alignment horizontal="justify" vertical="center" wrapText="1"/>
    </xf>
    <xf numFmtId="166" fontId="2" fillId="13" borderId="1" xfId="0" applyNumberFormat="1" applyFont="1" applyFill="1" applyBorder="1" applyAlignment="1">
      <alignment horizontal="left" vertical="center" wrapText="1"/>
    </xf>
    <xf numFmtId="166" fontId="2" fillId="13" borderId="2" xfId="8" applyNumberFormat="1" applyFont="1" applyFill="1" applyBorder="1" applyAlignment="1">
      <alignment horizontal="center" vertical="center" wrapText="1"/>
    </xf>
    <xf numFmtId="166" fontId="2" fillId="13" borderId="20" xfId="0" applyNumberFormat="1" applyFont="1" applyFill="1" applyBorder="1" applyAlignment="1">
      <alignment horizontal="center" vertical="center" wrapText="1"/>
    </xf>
    <xf numFmtId="166" fontId="2" fillId="13" borderId="21" xfId="7" applyNumberFormat="1" applyFont="1" applyFill="1" applyBorder="1" applyAlignment="1">
      <alignment horizontal="right" vertical="center"/>
    </xf>
    <xf numFmtId="166" fontId="2" fillId="13" borderId="6" xfId="0" applyNumberFormat="1" applyFont="1" applyFill="1" applyBorder="1" applyAlignment="1">
      <alignment horizontal="left" vertical="center" wrapText="1"/>
    </xf>
    <xf numFmtId="166" fontId="2" fillId="13" borderId="3" xfId="0" applyNumberFormat="1" applyFont="1" applyFill="1" applyBorder="1" applyAlignment="1">
      <alignment horizontal="center" vertical="center" wrapText="1"/>
    </xf>
    <xf numFmtId="166" fontId="2" fillId="36" borderId="19" xfId="0" applyNumberFormat="1" applyFont="1" applyFill="1" applyBorder="1" applyAlignment="1">
      <alignment horizontal="left" vertical="center" wrapText="1"/>
    </xf>
    <xf numFmtId="166" fontId="2" fillId="36" borderId="20" xfId="8" applyNumberFormat="1" applyFont="1" applyFill="1" applyBorder="1" applyAlignment="1">
      <alignment horizontal="center" vertical="center" wrapText="1"/>
    </xf>
    <xf numFmtId="166" fontId="2" fillId="36" borderId="21" xfId="7" applyNumberFormat="1" applyFont="1" applyFill="1" applyBorder="1" applyAlignment="1">
      <alignment horizontal="right" vertical="center"/>
    </xf>
    <xf numFmtId="166" fontId="2" fillId="13" borderId="46" xfId="0" applyNumberFormat="1" applyFont="1" applyFill="1" applyBorder="1" applyAlignment="1">
      <alignment horizontal="left" vertical="center" wrapText="1"/>
    </xf>
    <xf numFmtId="166" fontId="2" fillId="13" borderId="52" xfId="0" applyNumberFormat="1" applyFont="1" applyFill="1" applyBorder="1" applyAlignment="1">
      <alignment horizontal="center" vertical="center" wrapText="1"/>
    </xf>
    <xf numFmtId="175" fontId="2" fillId="13" borderId="52" xfId="6" applyNumberFormat="1" applyFont="1" applyFill="1" applyBorder="1" applyAlignment="1">
      <alignment horizontal="center" vertical="center" wrapText="1"/>
    </xf>
    <xf numFmtId="0" fontId="2" fillId="13" borderId="52" xfId="0" applyFont="1" applyFill="1" applyBorder="1" applyAlignment="1">
      <alignment horizontal="center" vertical="center" wrapText="1"/>
    </xf>
    <xf numFmtId="166" fontId="2" fillId="13" borderId="52" xfId="8" applyNumberFormat="1" applyFont="1" applyFill="1" applyBorder="1" applyAlignment="1">
      <alignment horizontal="right" vertical="center"/>
    </xf>
    <xf numFmtId="166" fontId="2" fillId="13" borderId="52" xfId="0" applyNumberFormat="1" applyFont="1" applyFill="1" applyBorder="1" applyAlignment="1">
      <alignment horizontal="right" vertical="center" wrapText="1"/>
    </xf>
    <xf numFmtId="166" fontId="2" fillId="13" borderId="40" xfId="8" applyNumberFormat="1" applyFont="1" applyFill="1" applyBorder="1" applyAlignment="1">
      <alignment horizontal="right" vertical="center"/>
    </xf>
    <xf numFmtId="175" fontId="2" fillId="13" borderId="3" xfId="6" applyNumberFormat="1" applyFont="1" applyFill="1" applyBorder="1" applyAlignment="1">
      <alignment horizontal="center" vertical="center" wrapText="1"/>
    </xf>
    <xf numFmtId="166" fontId="2" fillId="13" borderId="3" xfId="8" applyNumberFormat="1" applyFont="1" applyFill="1" applyBorder="1" applyAlignment="1">
      <alignment horizontal="right" vertical="center"/>
    </xf>
    <xf numFmtId="166" fontId="2" fillId="13" borderId="45" xfId="8" applyNumberFormat="1" applyFont="1" applyFill="1" applyBorder="1" applyAlignment="1">
      <alignment horizontal="right" vertical="center"/>
    </xf>
    <xf numFmtId="166" fontId="2" fillId="36" borderId="6" xfId="0" applyNumberFormat="1" applyFont="1" applyFill="1" applyBorder="1" applyAlignment="1">
      <alignment horizontal="left" vertical="center" wrapText="1"/>
    </xf>
    <xf numFmtId="166" fontId="2" fillId="36" borderId="3" xfId="0" applyNumberFormat="1" applyFont="1" applyFill="1" applyBorder="1" applyAlignment="1">
      <alignment horizontal="center" vertical="center" wrapText="1"/>
    </xf>
    <xf numFmtId="175" fontId="2" fillId="36" borderId="3" xfId="6" applyNumberFormat="1" applyFont="1" applyFill="1" applyBorder="1" applyAlignment="1">
      <alignment horizontal="center" vertical="center" wrapText="1"/>
    </xf>
    <xf numFmtId="166" fontId="2" fillId="36" borderId="3" xfId="8" applyNumberFormat="1" applyFont="1" applyFill="1" applyBorder="1" applyAlignment="1">
      <alignment horizontal="right" vertical="center"/>
    </xf>
    <xf numFmtId="166" fontId="2" fillId="36" borderId="45" xfId="8" applyNumberFormat="1" applyFont="1" applyFill="1" applyBorder="1" applyAlignment="1">
      <alignment horizontal="right" vertical="center"/>
    </xf>
    <xf numFmtId="166" fontId="2" fillId="13" borderId="24" xfId="0" applyNumberFormat="1" applyFont="1" applyFill="1" applyBorder="1" applyAlignment="1">
      <alignment horizontal="justify" vertical="center" wrapText="1"/>
    </xf>
    <xf numFmtId="43" fontId="2" fillId="13" borderId="25" xfId="6" applyFont="1" applyFill="1" applyBorder="1" applyAlignment="1">
      <alignment horizontal="center" vertical="center" wrapText="1"/>
    </xf>
    <xf numFmtId="166" fontId="2" fillId="13" borderId="25" xfId="0" applyNumberFormat="1" applyFont="1" applyFill="1" applyBorder="1" applyAlignment="1">
      <alignment horizontal="right" vertical="center" wrapText="1"/>
    </xf>
    <xf numFmtId="166" fontId="2" fillId="13" borderId="25" xfId="8" applyNumberFormat="1" applyFont="1" applyFill="1" applyBorder="1" applyAlignment="1">
      <alignment horizontal="right" vertical="center"/>
    </xf>
    <xf numFmtId="166" fontId="2" fillId="13" borderId="40" xfId="7" applyNumberFormat="1" applyFont="1" applyFill="1" applyBorder="1" applyAlignment="1">
      <alignment horizontal="right" vertical="center"/>
    </xf>
    <xf numFmtId="166" fontId="2" fillId="13" borderId="72" xfId="7" applyNumberFormat="1" applyFont="1" applyFill="1" applyBorder="1" applyAlignment="1">
      <alignment horizontal="right" vertical="center"/>
    </xf>
    <xf numFmtId="166" fontId="2" fillId="36" borderId="18" xfId="7" applyNumberFormat="1" applyFont="1" applyFill="1" applyBorder="1" applyAlignment="1">
      <alignment horizontal="right" vertical="center"/>
    </xf>
    <xf numFmtId="166" fontId="2" fillId="36" borderId="72" xfId="7" applyNumberFormat="1" applyFont="1" applyFill="1" applyBorder="1" applyAlignment="1">
      <alignment horizontal="right" vertical="center"/>
    </xf>
    <xf numFmtId="170" fontId="3" fillId="36" borderId="2" xfId="7" applyNumberFormat="1" applyFont="1" applyFill="1" applyBorder="1" applyAlignment="1">
      <alignment horizontal="center" vertical="center" wrapText="1"/>
    </xf>
    <xf numFmtId="44" fontId="3" fillId="36" borderId="2" xfId="7" applyFont="1" applyFill="1" applyBorder="1" applyAlignment="1">
      <alignment horizontal="center" vertical="center" wrapText="1"/>
    </xf>
    <xf numFmtId="166" fontId="2" fillId="13" borderId="47" xfId="0" applyNumberFormat="1" applyFont="1" applyFill="1" applyBorder="1" applyAlignment="1">
      <alignment horizontal="right" vertical="center"/>
    </xf>
    <xf numFmtId="166" fontId="2" fillId="13" borderId="6" xfId="0" applyNumberFormat="1" applyFont="1" applyFill="1" applyBorder="1" applyAlignment="1">
      <alignment horizontal="justify" vertical="center" wrapText="1"/>
    </xf>
    <xf numFmtId="166" fontId="2" fillId="13" borderId="45" xfId="0" applyNumberFormat="1" applyFont="1" applyFill="1" applyBorder="1" applyAlignment="1">
      <alignment horizontal="right" vertical="center" wrapText="1"/>
    </xf>
    <xf numFmtId="166" fontId="2" fillId="13" borderId="22" xfId="0" applyNumberFormat="1" applyFont="1" applyFill="1" applyBorder="1" applyAlignment="1">
      <alignment horizontal="justify" vertical="center" wrapText="1"/>
    </xf>
    <xf numFmtId="166" fontId="2" fillId="13" borderId="7" xfId="0" applyNumberFormat="1" applyFont="1" applyFill="1" applyBorder="1" applyAlignment="1">
      <alignment horizontal="center" vertical="center" wrapText="1"/>
    </xf>
    <xf numFmtId="0" fontId="2" fillId="13" borderId="7" xfId="0" applyFont="1" applyFill="1" applyBorder="1" applyAlignment="1">
      <alignment horizontal="justify" vertical="center" wrapText="1"/>
    </xf>
    <xf numFmtId="0" fontId="2" fillId="13" borderId="7" xfId="0" applyFont="1" applyFill="1" applyBorder="1" applyAlignment="1">
      <alignment horizontal="center" vertical="center" wrapText="1"/>
    </xf>
    <xf numFmtId="166" fontId="2" fillId="13" borderId="7" xfId="7" applyNumberFormat="1" applyFont="1" applyFill="1" applyBorder="1" applyAlignment="1">
      <alignment horizontal="right" vertical="center" wrapText="1"/>
    </xf>
    <xf numFmtId="166" fontId="2" fillId="13" borderId="23" xfId="7" applyNumberFormat="1" applyFont="1" applyFill="1" applyBorder="1" applyAlignment="1">
      <alignment horizontal="right" vertical="center" wrapText="1"/>
    </xf>
    <xf numFmtId="6" fontId="2" fillId="36" borderId="2" xfId="0" applyNumberFormat="1" applyFont="1" applyFill="1" applyBorder="1" applyAlignment="1">
      <alignment horizontal="right" vertical="center" wrapText="1"/>
    </xf>
    <xf numFmtId="166" fontId="2" fillId="36" borderId="6" xfId="0" applyNumberFormat="1" applyFont="1" applyFill="1" applyBorder="1" applyAlignment="1">
      <alignment horizontal="justify" vertical="center" wrapText="1"/>
    </xf>
    <xf numFmtId="166" fontId="2" fillId="36" borderId="45" xfId="0" applyNumberFormat="1" applyFont="1" applyFill="1" applyBorder="1" applyAlignment="1">
      <alignment horizontal="right" vertical="center" wrapText="1"/>
    </xf>
    <xf numFmtId="166" fontId="2" fillId="36" borderId="77" xfId="7" applyNumberFormat="1" applyFont="1" applyFill="1" applyBorder="1" applyAlignment="1">
      <alignment horizontal="right" vertical="center"/>
    </xf>
    <xf numFmtId="166" fontId="2" fillId="36" borderId="2" xfId="8" applyNumberFormat="1" applyFont="1" applyFill="1" applyBorder="1" applyAlignment="1">
      <alignment horizontal="right" vertical="center"/>
    </xf>
    <xf numFmtId="166" fontId="2" fillId="36" borderId="45" xfId="7" applyNumberFormat="1" applyFont="1" applyFill="1" applyBorder="1" applyAlignment="1">
      <alignment horizontal="right" vertical="center"/>
    </xf>
    <xf numFmtId="166" fontId="2" fillId="36" borderId="20" xfId="8" applyNumberFormat="1" applyFont="1" applyFill="1" applyBorder="1" applyAlignment="1">
      <alignment horizontal="right" vertical="center"/>
    </xf>
    <xf numFmtId="0" fontId="19" fillId="0" borderId="0" xfId="0" applyFont="1" applyAlignment="1">
      <alignment vertical="center"/>
    </xf>
    <xf numFmtId="170" fontId="2" fillId="13" borderId="2" xfId="7" applyNumberFormat="1" applyFont="1" applyFill="1" applyBorder="1" applyAlignment="1">
      <alignment horizontal="center" vertical="center" wrapText="1"/>
    </xf>
    <xf numFmtId="44" fontId="2" fillId="13" borderId="2" xfId="7" applyFont="1" applyFill="1" applyBorder="1" applyAlignment="1">
      <alignment horizontal="center" vertical="center" wrapText="1"/>
    </xf>
    <xf numFmtId="42" fontId="2" fillId="36" borderId="2" xfId="8" applyFont="1" applyFill="1" applyBorder="1" applyAlignment="1">
      <alignment horizontal="center" vertical="center" wrapText="1"/>
    </xf>
    <xf numFmtId="166" fontId="2" fillId="36" borderId="1" xfId="0" applyNumberFormat="1" applyFont="1" applyFill="1" applyBorder="1" applyAlignment="1">
      <alignment horizontal="left" vertical="center" wrapText="1"/>
    </xf>
    <xf numFmtId="0" fontId="2" fillId="36" borderId="2" xfId="0" applyFont="1" applyFill="1" applyBorder="1" applyAlignment="1">
      <alignment horizontal="center" wrapText="1"/>
    </xf>
    <xf numFmtId="172" fontId="2" fillId="36" borderId="2" xfId="6" applyNumberFormat="1" applyFont="1" applyFill="1" applyBorder="1" applyAlignment="1">
      <alignment horizontal="center" vertical="center" wrapText="1"/>
    </xf>
    <xf numFmtId="166" fontId="2" fillId="36" borderId="1" xfId="0" applyNumberFormat="1" applyFont="1" applyFill="1" applyBorder="1" applyAlignment="1">
      <alignment vertical="center" wrapText="1"/>
    </xf>
    <xf numFmtId="166" fontId="2" fillId="36" borderId="2" xfId="2" applyNumberFormat="1" applyFill="1" applyBorder="1" applyAlignment="1">
      <alignment horizontal="center" vertical="center" wrapText="1"/>
    </xf>
    <xf numFmtId="0" fontId="2" fillId="36" borderId="2" xfId="2" applyFill="1" applyBorder="1" applyAlignment="1">
      <alignment horizontal="center" vertical="center" wrapText="1"/>
    </xf>
    <xf numFmtId="166" fontId="2" fillId="36" borderId="2" xfId="8" applyNumberFormat="1" applyFont="1" applyFill="1" applyBorder="1" applyAlignment="1">
      <alignment horizontal="center" vertical="center" wrapText="1"/>
    </xf>
    <xf numFmtId="166" fontId="3" fillId="36" borderId="20" xfId="0" applyNumberFormat="1" applyFont="1" applyFill="1" applyBorder="1" applyAlignment="1">
      <alignment horizontal="center" vertical="center" wrapText="1"/>
    </xf>
    <xf numFmtId="0" fontId="20" fillId="13" borderId="2" xfId="0" applyFont="1" applyFill="1" applyBorder="1" applyAlignment="1">
      <alignment horizontal="center" vertical="center" wrapText="1"/>
    </xf>
    <xf numFmtId="166" fontId="20" fillId="13" borderId="2" xfId="0" applyNumberFormat="1" applyFont="1" applyFill="1" applyBorder="1" applyAlignment="1">
      <alignment horizontal="right" vertical="center" wrapText="1"/>
    </xf>
    <xf numFmtId="0" fontId="20" fillId="36" borderId="2" xfId="0" applyFont="1" applyFill="1" applyBorder="1" applyAlignment="1">
      <alignment horizontal="center" vertical="center" wrapText="1"/>
    </xf>
    <xf numFmtId="166" fontId="20" fillId="36" borderId="2" xfId="0" applyNumberFormat="1" applyFont="1" applyFill="1" applyBorder="1" applyAlignment="1">
      <alignment horizontal="right" vertical="center" wrapText="1"/>
    </xf>
    <xf numFmtId="166" fontId="3" fillId="36" borderId="2" xfId="0" applyNumberFormat="1" applyFont="1" applyFill="1" applyBorder="1" applyAlignment="1">
      <alignment horizontal="right"/>
    </xf>
    <xf numFmtId="166" fontId="3" fillId="13" borderId="2" xfId="0" applyNumberFormat="1" applyFont="1" applyFill="1" applyBorder="1" applyAlignment="1">
      <alignment horizontal="right"/>
    </xf>
    <xf numFmtId="0" fontId="52" fillId="0" borderId="1" xfId="0" applyFont="1" applyBorder="1" applyAlignment="1">
      <alignment horizontal="justify" vertical="center" wrapText="1"/>
    </xf>
    <xf numFmtId="0" fontId="52" fillId="0" borderId="2" xfId="0" applyFont="1" applyBorder="1" applyAlignment="1">
      <alignment horizontal="center" vertical="center"/>
    </xf>
    <xf numFmtId="0" fontId="52" fillId="0" borderId="2" xfId="0" applyFont="1" applyBorder="1" applyAlignment="1">
      <alignment horizontal="center" vertical="center" wrapText="1"/>
    </xf>
    <xf numFmtId="166" fontId="52" fillId="0" borderId="2" xfId="0" applyNumberFormat="1" applyFont="1" applyBorder="1" applyAlignment="1">
      <alignment horizontal="right" vertical="center" wrapText="1"/>
    </xf>
    <xf numFmtId="0" fontId="52" fillId="0" borderId="0" xfId="0" applyFont="1"/>
    <xf numFmtId="166" fontId="52" fillId="0" borderId="2" xfId="6" applyNumberFormat="1" applyFont="1" applyFill="1" applyBorder="1" applyAlignment="1">
      <alignment horizontal="right" vertical="center" wrapText="1"/>
    </xf>
    <xf numFmtId="166" fontId="52" fillId="0" borderId="18" xfId="7" applyNumberFormat="1" applyFont="1" applyFill="1" applyBorder="1" applyAlignment="1">
      <alignment horizontal="right" vertical="center" wrapText="1"/>
    </xf>
    <xf numFmtId="166" fontId="52" fillId="0" borderId="0" xfId="0" applyNumberFormat="1" applyFont="1"/>
    <xf numFmtId="166" fontId="52" fillId="0" borderId="2" xfId="0" applyNumberFormat="1" applyFont="1" applyBorder="1" applyAlignment="1">
      <alignment vertical="center" wrapText="1"/>
    </xf>
    <xf numFmtId="166" fontId="55" fillId="0" borderId="2" xfId="0" applyNumberFormat="1" applyFont="1" applyBorder="1" applyAlignment="1">
      <alignment horizontal="right" vertical="center" wrapText="1"/>
    </xf>
    <xf numFmtId="0" fontId="52" fillId="13" borderId="1" xfId="0" applyFont="1" applyFill="1" applyBorder="1" applyAlignment="1">
      <alignment horizontal="justify" vertical="center" wrapText="1"/>
    </xf>
    <xf numFmtId="0" fontId="52" fillId="13" borderId="2" xfId="0" applyFont="1" applyFill="1" applyBorder="1" applyAlignment="1">
      <alignment horizontal="center" vertical="center" wrapText="1"/>
    </xf>
    <xf numFmtId="166" fontId="52" fillId="13" borderId="2" xfId="0" applyNumberFormat="1" applyFont="1" applyFill="1" applyBorder="1" applyAlignment="1">
      <alignment horizontal="right" vertical="center" wrapText="1"/>
    </xf>
    <xf numFmtId="166" fontId="53" fillId="13" borderId="0" xfId="0" applyNumberFormat="1" applyFont="1" applyFill="1"/>
    <xf numFmtId="0" fontId="53" fillId="13" borderId="0" xfId="0" applyFont="1" applyFill="1"/>
    <xf numFmtId="0" fontId="52" fillId="13" borderId="2" xfId="0" applyFont="1" applyFill="1" applyBorder="1" applyAlignment="1">
      <alignment vertical="center"/>
    </xf>
    <xf numFmtId="0" fontId="52" fillId="13" borderId="2" xfId="0" applyFont="1" applyFill="1" applyBorder="1" applyAlignment="1">
      <alignment horizontal="center" vertical="center"/>
    </xf>
    <xf numFmtId="0" fontId="52" fillId="13" borderId="0" xfId="0" applyFont="1" applyFill="1"/>
    <xf numFmtId="166" fontId="52" fillId="13" borderId="2" xfId="6" applyNumberFormat="1" applyFont="1" applyFill="1" applyBorder="1" applyAlignment="1">
      <alignment horizontal="right" vertical="center" wrapText="1"/>
    </xf>
    <xf numFmtId="166" fontId="52" fillId="13" borderId="18" xfId="7" applyNumberFormat="1" applyFont="1" applyFill="1" applyBorder="1" applyAlignment="1">
      <alignment horizontal="right" vertical="center" wrapText="1"/>
    </xf>
    <xf numFmtId="166" fontId="52" fillId="13" borderId="0" xfId="0" applyNumberFormat="1" applyFont="1" applyFill="1"/>
    <xf numFmtId="166" fontId="53" fillId="13" borderId="0" xfId="0" applyNumberFormat="1" applyFont="1" applyFill="1" applyAlignment="1">
      <alignment vertical="center"/>
    </xf>
    <xf numFmtId="166" fontId="53" fillId="0" borderId="0" xfId="0" applyNumberFormat="1" applyFont="1"/>
    <xf numFmtId="0" fontId="53" fillId="0" borderId="0" xfId="0" applyFont="1"/>
    <xf numFmtId="0" fontId="4" fillId="14" borderId="14" xfId="0" applyFont="1" applyFill="1" applyBorder="1" applyAlignment="1">
      <alignment horizontal="center" vertical="center" wrapText="1"/>
    </xf>
    <xf numFmtId="0" fontId="3" fillId="14" borderId="53" xfId="0" applyFont="1" applyFill="1" applyBorder="1" applyAlignment="1">
      <alignment horizontal="center"/>
    </xf>
    <xf numFmtId="0" fontId="3" fillId="14" borderId="84" xfId="0" applyFont="1" applyFill="1" applyBorder="1" applyAlignment="1">
      <alignment horizontal="center"/>
    </xf>
    <xf numFmtId="0" fontId="3" fillId="14" borderId="49" xfId="0" applyFont="1" applyFill="1" applyBorder="1" applyAlignment="1">
      <alignment horizontal="center"/>
    </xf>
    <xf numFmtId="0" fontId="2" fillId="0" borderId="2" xfId="0" applyFont="1" applyBorder="1" applyAlignment="1">
      <alignment horizontal="center" vertical="center"/>
    </xf>
    <xf numFmtId="0" fontId="4" fillId="14" borderId="13" xfId="0" applyFont="1" applyFill="1" applyBorder="1" applyAlignment="1">
      <alignment horizontal="center" vertical="center"/>
    </xf>
    <xf numFmtId="0" fontId="4" fillId="14" borderId="2" xfId="0" applyFont="1" applyFill="1" applyBorder="1" applyAlignment="1">
      <alignment horizontal="center" vertical="center" wrapText="1"/>
    </xf>
    <xf numFmtId="0" fontId="4" fillId="14" borderId="33" xfId="0" applyFont="1" applyFill="1" applyBorder="1" applyAlignment="1">
      <alignment horizontal="center" vertical="center"/>
    </xf>
    <xf numFmtId="0" fontId="52" fillId="13" borderId="2" xfId="0" applyFont="1" applyFill="1" applyBorder="1" applyAlignment="1">
      <alignment horizontal="justify" vertical="center" wrapText="1"/>
    </xf>
    <xf numFmtId="166" fontId="52" fillId="13" borderId="2" xfId="0" applyNumberFormat="1" applyFont="1" applyFill="1" applyBorder="1" applyAlignment="1">
      <alignment vertical="center" wrapText="1"/>
    </xf>
    <xf numFmtId="166" fontId="52" fillId="0" borderId="0" xfId="0" applyNumberFormat="1" applyFont="1" applyAlignment="1">
      <alignment horizontal="left" vertical="center" wrapText="1"/>
    </xf>
    <xf numFmtId="166" fontId="52" fillId="13" borderId="4" xfId="0" applyNumberFormat="1" applyFont="1" applyFill="1" applyBorder="1" applyAlignment="1">
      <alignment horizontal="right" vertical="center" wrapText="1"/>
    </xf>
    <xf numFmtId="0" fontId="54" fillId="13" borderId="1" xfId="0" applyFont="1" applyFill="1" applyBorder="1" applyAlignment="1">
      <alignment wrapText="1"/>
    </xf>
    <xf numFmtId="0" fontId="52" fillId="36" borderId="0" xfId="0" applyFont="1" applyFill="1"/>
    <xf numFmtId="0" fontId="52" fillId="36" borderId="1" xfId="0" applyFont="1" applyFill="1" applyBorder="1" applyAlignment="1">
      <alignment horizontal="justify" vertical="center" wrapText="1"/>
    </xf>
    <xf numFmtId="0" fontId="52" fillId="36" borderId="2" xfId="0" applyFont="1" applyFill="1" applyBorder="1" applyAlignment="1">
      <alignment horizontal="justify" vertical="center" wrapText="1"/>
    </xf>
    <xf numFmtId="0" fontId="52" fillId="36" borderId="2" xfId="0" applyFont="1" applyFill="1" applyBorder="1" applyAlignment="1">
      <alignment horizontal="center" vertical="center" wrapText="1"/>
    </xf>
    <xf numFmtId="166" fontId="52" fillId="36" borderId="2" xfId="0" applyNumberFormat="1" applyFont="1" applyFill="1" applyBorder="1" applyAlignment="1">
      <alignment horizontal="right" vertical="center" wrapText="1"/>
    </xf>
    <xf numFmtId="166" fontId="52" fillId="36" borderId="2" xfId="6" applyNumberFormat="1" applyFont="1" applyFill="1" applyBorder="1" applyAlignment="1">
      <alignment horizontal="right" vertical="center" wrapText="1"/>
    </xf>
    <xf numFmtId="166" fontId="52" fillId="36" borderId="18" xfId="7" applyNumberFormat="1" applyFont="1" applyFill="1" applyBorder="1" applyAlignment="1">
      <alignment horizontal="right" vertical="center" wrapText="1"/>
    </xf>
    <xf numFmtId="166" fontId="52" fillId="36" borderId="0" xfId="0" applyNumberFormat="1" applyFont="1" applyFill="1"/>
    <xf numFmtId="166" fontId="53" fillId="36" borderId="0" xfId="0" applyNumberFormat="1" applyFont="1" applyFill="1"/>
    <xf numFmtId="0" fontId="53" fillId="36" borderId="0" xfId="0" applyFont="1" applyFill="1"/>
    <xf numFmtId="0" fontId="2" fillId="13" borderId="2" xfId="0" applyFont="1" applyFill="1" applyBorder="1" applyAlignment="1">
      <alignment vertical="center"/>
    </xf>
    <xf numFmtId="166" fontId="52" fillId="13" borderId="0" xfId="0" applyNumberFormat="1" applyFont="1" applyFill="1" applyAlignment="1">
      <alignment horizontal="left" vertical="center" wrapText="1"/>
    </xf>
    <xf numFmtId="166" fontId="52" fillId="36" borderId="0" xfId="0" applyNumberFormat="1" applyFont="1" applyFill="1" applyAlignment="1">
      <alignment horizontal="left" vertical="center" wrapText="1"/>
    </xf>
    <xf numFmtId="0" fontId="37" fillId="13" borderId="89"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7" xfId="0" applyFont="1" applyBorder="1" applyAlignment="1">
      <alignment horizontal="center" vertical="center"/>
    </xf>
    <xf numFmtId="0" fontId="3" fillId="15" borderId="37" xfId="0" applyFont="1" applyFill="1" applyBorder="1" applyAlignment="1">
      <alignment horizontal="center" vertical="center"/>
    </xf>
    <xf numFmtId="0" fontId="2" fillId="0" borderId="34" xfId="0" applyFont="1" applyBorder="1" applyAlignment="1">
      <alignment horizontal="center" vertical="center" wrapText="1"/>
    </xf>
    <xf numFmtId="0" fontId="3" fillId="0" borderId="5" xfId="0" applyFont="1" applyBorder="1" applyAlignment="1">
      <alignment horizontal="center" vertical="center"/>
    </xf>
    <xf numFmtId="42" fontId="2" fillId="0" borderId="0" xfId="8" applyFont="1" applyFill="1" applyAlignment="1">
      <alignment horizontal="center" vertical="center"/>
    </xf>
    <xf numFmtId="42" fontId="19" fillId="0" borderId="11" xfId="8" applyFont="1" applyFill="1" applyBorder="1" applyAlignment="1">
      <alignment horizontal="right" vertical="center"/>
    </xf>
    <xf numFmtId="166" fontId="19" fillId="0" borderId="11" xfId="8" applyNumberFormat="1" applyFont="1" applyFill="1" applyBorder="1" applyAlignment="1">
      <alignment horizontal="right" vertical="center"/>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0" borderId="34" xfId="0" applyFont="1" applyBorder="1" applyAlignment="1">
      <alignment horizontal="center" vertical="center"/>
    </xf>
    <xf numFmtId="1" fontId="2" fillId="0" borderId="34" xfId="0" applyNumberFormat="1" applyFont="1" applyBorder="1" applyAlignment="1">
      <alignment horizontal="center" vertical="center"/>
    </xf>
    <xf numFmtId="0" fontId="3" fillId="0" borderId="4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15" borderId="34" xfId="0" applyFont="1" applyFill="1" applyBorder="1" applyAlignment="1">
      <alignment horizontal="center" vertical="center"/>
    </xf>
    <xf numFmtId="0" fontId="3" fillId="0" borderId="34" xfId="0" applyFont="1" applyBorder="1" applyAlignment="1">
      <alignment horizontal="center" vertical="center"/>
    </xf>
    <xf numFmtId="0" fontId="2" fillId="18" borderId="34" xfId="0" applyFont="1" applyFill="1" applyBorder="1" applyAlignment="1">
      <alignment horizontal="center" vertical="center" wrapText="1"/>
    </xf>
    <xf numFmtId="0" fontId="3" fillId="0" borderId="34"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18" borderId="2" xfId="0" applyFont="1" applyFill="1" applyBorder="1" applyAlignment="1">
      <alignment horizontal="center" vertical="center" wrapText="1"/>
    </xf>
    <xf numFmtId="0" fontId="15" fillId="0" borderId="37" xfId="0" applyFont="1" applyBorder="1" applyAlignment="1">
      <alignment horizontal="center" vertical="center"/>
    </xf>
    <xf numFmtId="166" fontId="2" fillId="16" borderId="52" xfId="0" applyNumberFormat="1" applyFont="1" applyFill="1" applyBorder="1" applyAlignment="1">
      <alignment horizontal="center" vertical="center" wrapText="1"/>
    </xf>
    <xf numFmtId="0" fontId="2" fillId="5" borderId="37" xfId="2" applyFill="1" applyBorder="1" applyAlignment="1">
      <alignment horizontal="center" vertical="center"/>
    </xf>
    <xf numFmtId="166" fontId="0" fillId="0" borderId="7" xfId="1" applyNumberFormat="1" applyFont="1" applyFill="1" applyBorder="1" applyAlignment="1">
      <alignment horizontal="right" vertical="center"/>
    </xf>
    <xf numFmtId="0" fontId="2" fillId="0" borderId="7" xfId="0" applyFont="1" applyBorder="1" applyAlignment="1">
      <alignment horizontal="center" vertical="center"/>
    </xf>
    <xf numFmtId="0" fontId="19"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28" xfId="0" applyFont="1" applyBorder="1" applyAlignment="1">
      <alignment horizontal="center" vertical="center" wrapText="1"/>
    </xf>
    <xf numFmtId="0" fontId="2" fillId="0" borderId="2" xfId="0" applyFont="1" applyBorder="1" applyAlignment="1">
      <alignment horizontal="justify" vertical="center"/>
    </xf>
    <xf numFmtId="0" fontId="2" fillId="0" borderId="25" xfId="0" applyFont="1" applyBorder="1" applyAlignment="1">
      <alignment horizontal="center" vertical="center"/>
    </xf>
    <xf numFmtId="0" fontId="15" fillId="0" borderId="2" xfId="0" applyFont="1" applyBorder="1" applyAlignment="1">
      <alignment horizontal="center" vertical="center"/>
    </xf>
    <xf numFmtId="0" fontId="2" fillId="15" borderId="38" xfId="8" applyNumberFormat="1" applyFont="1" applyFill="1" applyBorder="1" applyAlignment="1">
      <alignment horizontal="center" vertical="center"/>
    </xf>
    <xf numFmtId="0" fontId="3" fillId="17" borderId="34" xfId="0" applyFont="1" applyFill="1" applyBorder="1" applyAlignment="1">
      <alignment horizontal="center" vertical="center"/>
    </xf>
    <xf numFmtId="0" fontId="2" fillId="18" borderId="52" xfId="2" applyFill="1" applyBorder="1" applyAlignment="1">
      <alignment horizontal="justify" vertical="center"/>
    </xf>
    <xf numFmtId="0" fontId="2" fillId="18" borderId="52" xfId="2" applyFill="1" applyBorder="1" applyAlignment="1">
      <alignment horizontal="center" vertical="center"/>
    </xf>
    <xf numFmtId="0" fontId="2" fillId="18" borderId="52" xfId="2" applyFill="1" applyBorder="1" applyAlignment="1">
      <alignment horizontal="left" vertical="center"/>
    </xf>
    <xf numFmtId="0" fontId="2" fillId="18" borderId="7" xfId="2" applyFill="1" applyBorder="1" applyAlignment="1">
      <alignment horizontal="justify" vertical="center"/>
    </xf>
    <xf numFmtId="0" fontId="2" fillId="18" borderId="7" xfId="2" applyFill="1" applyBorder="1" applyAlignment="1">
      <alignment horizontal="center" vertical="center"/>
    </xf>
    <xf numFmtId="0" fontId="2" fillId="18" borderId="7" xfId="2" applyFill="1" applyBorder="1" applyAlignment="1">
      <alignment horizontal="left" vertical="center"/>
    </xf>
    <xf numFmtId="0" fontId="2" fillId="18" borderId="7" xfId="2" applyFill="1" applyBorder="1" applyAlignment="1">
      <alignment horizontal="right" vertical="center"/>
    </xf>
    <xf numFmtId="0" fontId="2" fillId="36" borderId="1" xfId="2" applyFill="1" applyBorder="1" applyAlignment="1">
      <alignment horizontal="left" vertical="center" wrapText="1"/>
    </xf>
    <xf numFmtId="0" fontId="2" fillId="36" borderId="1" xfId="2" applyFill="1" applyBorder="1" applyAlignment="1">
      <alignment horizontal="justify" vertical="center"/>
    </xf>
    <xf numFmtId="0" fontId="2" fillId="36" borderId="1" xfId="2" applyFill="1" applyBorder="1" applyAlignment="1">
      <alignment horizontal="left" vertical="center"/>
    </xf>
    <xf numFmtId="0" fontId="2" fillId="36" borderId="35" xfId="2" applyFill="1" applyBorder="1" applyAlignment="1">
      <alignment horizontal="justify" vertical="center"/>
    </xf>
    <xf numFmtId="0" fontId="26" fillId="0" borderId="2" xfId="2" applyFont="1" applyBorder="1" applyAlignment="1">
      <alignment horizontal="justify" vertical="top" wrapText="1"/>
    </xf>
    <xf numFmtId="0" fontId="19" fillId="14" borderId="12" xfId="0" applyFont="1" applyFill="1" applyBorder="1" applyAlignment="1">
      <alignment horizontal="left" vertical="center" wrapText="1"/>
    </xf>
    <xf numFmtId="0" fontId="19" fillId="14" borderId="76" xfId="0" applyFont="1" applyFill="1" applyBorder="1" applyAlignment="1">
      <alignment horizontal="left" vertical="center" wrapText="1"/>
    </xf>
    <xf numFmtId="0" fontId="2" fillId="0" borderId="20" xfId="0" applyFont="1" applyBorder="1" applyAlignment="1">
      <alignment horizontal="center" vertical="center" wrapText="1"/>
    </xf>
    <xf numFmtId="166" fontId="4" fillId="13" borderId="3" xfId="0" applyNumberFormat="1" applyFont="1" applyFill="1" applyBorder="1" applyAlignment="1">
      <alignment horizontal="right" vertical="center" wrapText="1"/>
    </xf>
    <xf numFmtId="166" fontId="3" fillId="13" borderId="3" xfId="0" applyNumberFormat="1" applyFont="1" applyFill="1" applyBorder="1" applyAlignment="1">
      <alignment vertical="center" wrapText="1"/>
    </xf>
    <xf numFmtId="166" fontId="2" fillId="13" borderId="45" xfId="7" applyNumberFormat="1" applyFont="1" applyFill="1" applyBorder="1" applyAlignment="1">
      <alignment horizontal="right" vertical="center" wrapText="1"/>
    </xf>
    <xf numFmtId="166" fontId="2" fillId="13" borderId="18" xfId="6" applyNumberFormat="1" applyFont="1" applyFill="1" applyBorder="1" applyAlignment="1">
      <alignment horizontal="right" vertical="center" wrapText="1"/>
    </xf>
    <xf numFmtId="166" fontId="2" fillId="36" borderId="18" xfId="6" applyNumberFormat="1" applyFont="1" applyFill="1" applyBorder="1" applyAlignment="1">
      <alignment horizontal="right" vertical="center" wrapText="1"/>
    </xf>
    <xf numFmtId="0" fontId="2" fillId="13" borderId="1" xfId="0" applyFont="1" applyFill="1" applyBorder="1" applyAlignment="1">
      <alignment vertical="center" wrapText="1"/>
    </xf>
    <xf numFmtId="0" fontId="2" fillId="13" borderId="1" xfId="0" applyFont="1" applyFill="1" applyBorder="1" applyAlignment="1" applyProtection="1">
      <alignment horizontal="justify" vertical="center" wrapText="1"/>
      <protection locked="0"/>
    </xf>
    <xf numFmtId="0" fontId="2" fillId="36" borderId="1" xfId="0" applyFont="1" applyFill="1" applyBorder="1" applyAlignment="1">
      <alignment vertical="center" wrapText="1"/>
    </xf>
    <xf numFmtId="166" fontId="3" fillId="13" borderId="18" xfId="6" applyNumberFormat="1" applyFont="1" applyFill="1" applyBorder="1" applyAlignment="1">
      <alignment horizontal="right" vertical="center" wrapText="1"/>
    </xf>
    <xf numFmtId="0" fontId="3" fillId="13" borderId="1" xfId="0" applyFont="1" applyFill="1" applyBorder="1" applyAlignment="1">
      <alignment horizontal="justify" vertical="center" wrapText="1"/>
    </xf>
    <xf numFmtId="166" fontId="3" fillId="13" borderId="2" xfId="6" applyNumberFormat="1" applyFont="1" applyFill="1" applyBorder="1" applyAlignment="1">
      <alignment horizontal="right" vertical="center" wrapText="1"/>
    </xf>
    <xf numFmtId="0" fontId="3" fillId="13" borderId="1" xfId="0" applyFont="1" applyFill="1" applyBorder="1" applyAlignment="1">
      <alignment vertical="center" wrapText="1"/>
    </xf>
    <xf numFmtId="0" fontId="7" fillId="13" borderId="1" xfId="0" applyFont="1" applyFill="1" applyBorder="1" applyAlignment="1">
      <alignment horizontal="justify" vertical="center" wrapText="1"/>
    </xf>
    <xf numFmtId="0" fontId="0" fillId="13" borderId="1" xfId="0" applyFill="1" applyBorder="1" applyAlignment="1">
      <alignment vertical="center" wrapText="1"/>
    </xf>
    <xf numFmtId="0" fontId="41" fillId="13" borderId="1" xfId="0" applyFont="1" applyFill="1" applyBorder="1" applyAlignment="1">
      <alignment vertical="center" wrapText="1"/>
    </xf>
    <xf numFmtId="0" fontId="3" fillId="36" borderId="1" xfId="0" applyFont="1" applyFill="1" applyBorder="1" applyAlignment="1">
      <alignment vertical="center" wrapText="1"/>
    </xf>
    <xf numFmtId="166" fontId="3" fillId="36" borderId="2" xfId="6" applyNumberFormat="1" applyFont="1" applyFill="1" applyBorder="1" applyAlignment="1">
      <alignment horizontal="right" vertical="center" wrapText="1"/>
    </xf>
    <xf numFmtId="166" fontId="3" fillId="36" borderId="18" xfId="6" applyNumberFormat="1" applyFont="1" applyFill="1" applyBorder="1" applyAlignment="1">
      <alignment horizontal="right" vertical="center" wrapText="1"/>
    </xf>
    <xf numFmtId="0" fontId="3" fillId="36" borderId="1" xfId="0" applyFont="1" applyFill="1" applyBorder="1" applyAlignment="1">
      <alignment horizontal="justify" vertical="center" wrapText="1"/>
    </xf>
    <xf numFmtId="0" fontId="40" fillId="13" borderId="1" xfId="0" applyFont="1" applyFill="1" applyBorder="1" applyAlignment="1">
      <alignment horizontal="justify" vertical="center" wrapText="1"/>
    </xf>
    <xf numFmtId="166" fontId="3" fillId="13" borderId="2" xfId="0" applyNumberFormat="1" applyFont="1" applyFill="1" applyBorder="1" applyAlignment="1">
      <alignment horizontal="right" wrapText="1"/>
    </xf>
    <xf numFmtId="166" fontId="2" fillId="13" borderId="5" xfId="0" applyNumberFormat="1" applyFont="1" applyFill="1" applyBorder="1" applyAlignment="1">
      <alignment horizontal="right" vertical="center" wrapText="1"/>
    </xf>
    <xf numFmtId="166" fontId="2" fillId="13" borderId="5" xfId="6" applyNumberFormat="1" applyFont="1" applyFill="1" applyBorder="1" applyAlignment="1">
      <alignment horizontal="right" vertical="center" wrapText="1"/>
    </xf>
    <xf numFmtId="166" fontId="2" fillId="13" borderId="43" xfId="6" applyNumberFormat="1" applyFont="1" applyFill="1" applyBorder="1" applyAlignment="1">
      <alignment horizontal="right" vertical="center" wrapText="1"/>
    </xf>
    <xf numFmtId="0" fontId="0" fillId="13" borderId="6" xfId="0" applyFill="1" applyBorder="1" applyAlignment="1">
      <alignment horizontal="left" vertical="center" wrapText="1"/>
    </xf>
    <xf numFmtId="166" fontId="2" fillId="13" borderId="21" xfId="6" applyNumberFormat="1" applyFont="1" applyFill="1" applyBorder="1" applyAlignment="1">
      <alignment horizontal="right" vertical="center" wrapText="1"/>
    </xf>
    <xf numFmtId="166" fontId="2" fillId="13" borderId="18" xfId="0" applyNumberFormat="1" applyFont="1" applyFill="1" applyBorder="1" applyAlignment="1">
      <alignment vertical="center"/>
    </xf>
    <xf numFmtId="49" fontId="2" fillId="13" borderId="2" xfId="0" applyNumberFormat="1"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52" xfId="0" applyFont="1" applyFill="1" applyBorder="1" applyAlignment="1">
      <alignment horizontal="center" vertical="center"/>
    </xf>
    <xf numFmtId="0" fontId="3" fillId="0" borderId="25" xfId="0" applyFont="1" applyBorder="1" applyAlignment="1">
      <alignment horizontal="center" vertical="center"/>
    </xf>
    <xf numFmtId="166" fontId="2" fillId="0" borderId="21" xfId="0" applyNumberFormat="1" applyFont="1" applyBorder="1" applyAlignment="1">
      <alignment horizontal="right" vertical="center" wrapText="1"/>
    </xf>
    <xf numFmtId="166" fontId="2" fillId="16" borderId="2" xfId="8" applyNumberFormat="1" applyFont="1" applyFill="1" applyBorder="1" applyAlignment="1">
      <alignment horizontal="right" vertical="center" wrapText="1"/>
    </xf>
    <xf numFmtId="44" fontId="2" fillId="13" borderId="2" xfId="7" applyFont="1" applyFill="1" applyBorder="1" applyAlignment="1">
      <alignment horizontal="center" vertical="center"/>
    </xf>
    <xf numFmtId="0" fontId="2" fillId="36" borderId="22" xfId="0" applyFont="1" applyFill="1" applyBorder="1" applyAlignment="1">
      <alignment horizontal="justify" vertical="center" wrapText="1"/>
    </xf>
    <xf numFmtId="0" fontId="2" fillId="36" borderId="7" xfId="0" applyFont="1" applyFill="1" applyBorder="1" applyAlignment="1">
      <alignment horizontal="center" vertical="center"/>
    </xf>
    <xf numFmtId="44" fontId="2" fillId="36" borderId="7" xfId="7" applyFont="1" applyFill="1" applyBorder="1" applyAlignment="1">
      <alignment horizontal="center" vertical="center"/>
    </xf>
    <xf numFmtId="166" fontId="2" fillId="36" borderId="7" xfId="7" applyNumberFormat="1" applyFont="1" applyFill="1" applyBorder="1" applyAlignment="1">
      <alignment horizontal="right" vertical="center"/>
    </xf>
    <xf numFmtId="166" fontId="2" fillId="36" borderId="7" xfId="8" applyNumberFormat="1" applyFont="1" applyFill="1" applyBorder="1" applyAlignment="1">
      <alignment horizontal="right" vertical="center" wrapText="1"/>
    </xf>
    <xf numFmtId="166" fontId="2" fillId="36" borderId="23" xfId="8" applyNumberFormat="1" applyFont="1" applyFill="1" applyBorder="1" applyAlignment="1">
      <alignment horizontal="right" vertical="center" wrapText="1"/>
    </xf>
    <xf numFmtId="166" fontId="34" fillId="36" borderId="2" xfId="8" applyNumberFormat="1" applyFont="1" applyFill="1" applyBorder="1" applyAlignment="1">
      <alignment horizontal="right" vertical="center" wrapText="1"/>
    </xf>
    <xf numFmtId="170" fontId="2" fillId="36" borderId="2" xfId="7" applyNumberFormat="1" applyFont="1" applyFill="1" applyBorder="1" applyAlignment="1">
      <alignment horizontal="center" vertical="center"/>
    </xf>
    <xf numFmtId="0" fontId="2" fillId="0" borderId="2" xfId="0" applyFont="1" applyBorder="1" applyAlignment="1">
      <alignment vertical="center" wrapText="1"/>
    </xf>
    <xf numFmtId="164" fontId="2" fillId="0" borderId="3" xfId="1" applyFont="1" applyFill="1" applyBorder="1" applyAlignment="1">
      <alignment horizontal="center" vertical="center"/>
    </xf>
    <xf numFmtId="0" fontId="19" fillId="14" borderId="36" xfId="0" applyFont="1" applyFill="1" applyBorder="1" applyAlignment="1">
      <alignment horizontal="center"/>
    </xf>
    <xf numFmtId="166" fontId="19" fillId="14" borderId="71" xfId="8" applyNumberFormat="1" applyFont="1" applyFill="1" applyBorder="1" applyAlignment="1">
      <alignment horizontal="right"/>
    </xf>
    <xf numFmtId="166" fontId="19" fillId="14" borderId="38" xfId="8" applyNumberFormat="1" applyFont="1" applyFill="1" applyBorder="1" applyAlignment="1">
      <alignment horizontal="right"/>
    </xf>
    <xf numFmtId="0" fontId="2" fillId="16" borderId="5" xfId="0" applyFont="1" applyFill="1" applyBorder="1" applyAlignment="1">
      <alignment horizontal="center" vertical="center"/>
    </xf>
    <xf numFmtId="166" fontId="2" fillId="16" borderId="5" xfId="8" applyNumberFormat="1" applyFont="1" applyFill="1" applyBorder="1" applyAlignment="1">
      <alignment horizontal="right" vertical="center" wrapText="1"/>
    </xf>
    <xf numFmtId="0" fontId="3" fillId="0" borderId="3" xfId="0" applyFont="1" applyBorder="1" applyAlignment="1">
      <alignment horizontal="center" vertical="center"/>
    </xf>
    <xf numFmtId="0" fontId="3" fillId="5" borderId="22" xfId="0" applyFont="1" applyFill="1" applyBorder="1" applyAlignment="1">
      <alignment horizontal="left" vertical="center" wrapText="1"/>
    </xf>
    <xf numFmtId="0" fontId="2" fillId="5" borderId="7" xfId="0" applyFont="1" applyFill="1" applyBorder="1" applyAlignment="1">
      <alignment horizontal="center" vertical="center" wrapText="1"/>
    </xf>
    <xf numFmtId="166" fontId="0" fillId="5" borderId="7" xfId="0" applyNumberFormat="1" applyFill="1" applyBorder="1" applyAlignment="1">
      <alignment horizontal="right" vertical="center"/>
    </xf>
    <xf numFmtId="166" fontId="0" fillId="5" borderId="23" xfId="0" applyNumberFormat="1" applyFill="1" applyBorder="1" applyAlignment="1">
      <alignment horizontal="right" vertical="center"/>
    </xf>
    <xf numFmtId="166" fontId="16" fillId="14" borderId="42" xfId="1" applyNumberFormat="1" applyFont="1" applyFill="1" applyBorder="1" applyAlignment="1">
      <alignment horizontal="right" vertical="center"/>
    </xf>
    <xf numFmtId="0" fontId="3" fillId="0" borderId="37" xfId="0" applyFont="1" applyBorder="1" applyAlignment="1">
      <alignment horizontal="center" vertical="center"/>
    </xf>
    <xf numFmtId="166" fontId="2" fillId="16" borderId="2" xfId="1" applyNumberFormat="1" applyFont="1" applyFill="1" applyBorder="1" applyAlignment="1">
      <alignment horizontal="right" vertical="center" wrapText="1"/>
    </xf>
    <xf numFmtId="166" fontId="2" fillId="4" borderId="2" xfId="3" applyNumberFormat="1" applyFont="1" applyFill="1" applyBorder="1" applyAlignment="1">
      <alignment horizontal="right" vertical="center"/>
    </xf>
    <xf numFmtId="166" fontId="2" fillId="36" borderId="2" xfId="1" applyNumberFormat="1" applyFont="1" applyFill="1" applyBorder="1" applyAlignment="1">
      <alignment horizontal="right" vertical="center" wrapText="1"/>
    </xf>
    <xf numFmtId="164" fontId="2" fillId="13" borderId="2" xfId="3" applyNumberFormat="1" applyFont="1" applyFill="1" applyBorder="1" applyAlignment="1">
      <alignment horizontal="center" vertical="center"/>
    </xf>
    <xf numFmtId="164" fontId="2" fillId="36" borderId="2" xfId="3" applyNumberFormat="1" applyFont="1" applyFill="1" applyBorder="1" applyAlignment="1">
      <alignment horizontal="center" vertical="center"/>
    </xf>
    <xf numFmtId="166" fontId="2" fillId="13" borderId="18" xfId="1" applyNumberFormat="1" applyFont="1" applyFill="1" applyBorder="1" applyAlignment="1">
      <alignment horizontal="right" vertical="center" wrapText="1"/>
    </xf>
    <xf numFmtId="166" fontId="2" fillId="36" borderId="18" xfId="1" applyNumberFormat="1" applyFont="1" applyFill="1" applyBorder="1" applyAlignment="1">
      <alignment horizontal="right" vertical="center" wrapText="1"/>
    </xf>
    <xf numFmtId="41" fontId="2" fillId="13" borderId="20" xfId="3" applyFont="1" applyFill="1" applyBorder="1" applyAlignment="1">
      <alignment horizontal="center" vertical="center"/>
    </xf>
    <xf numFmtId="166" fontId="2" fillId="13" borderId="20" xfId="3" applyNumberFormat="1" applyFont="1" applyFill="1" applyBorder="1" applyAlignment="1">
      <alignment horizontal="right" vertical="center"/>
    </xf>
    <xf numFmtId="166" fontId="2" fillId="13" borderId="21" xfId="3" applyNumberFormat="1" applyFont="1" applyFill="1" applyBorder="1" applyAlignment="1">
      <alignment horizontal="right" vertical="center"/>
    </xf>
    <xf numFmtId="164" fontId="2" fillId="0" borderId="3" xfId="3" applyNumberFormat="1" applyFont="1" applyFill="1" applyBorder="1" applyAlignment="1">
      <alignment horizontal="center" vertical="center"/>
    </xf>
    <xf numFmtId="166" fontId="2" fillId="0" borderId="3" xfId="3" applyNumberFormat="1" applyFont="1" applyFill="1" applyBorder="1" applyAlignment="1">
      <alignment horizontal="right" vertical="center"/>
    </xf>
    <xf numFmtId="166" fontId="2" fillId="0" borderId="3" xfId="1" applyNumberFormat="1" applyFont="1" applyFill="1" applyBorder="1" applyAlignment="1">
      <alignment horizontal="right" vertical="center"/>
    </xf>
    <xf numFmtId="166" fontId="2" fillId="0" borderId="45" xfId="1" applyNumberFormat="1" applyFont="1" applyFill="1" applyBorder="1" applyAlignment="1">
      <alignment horizontal="right" vertical="center"/>
    </xf>
    <xf numFmtId="166" fontId="2" fillId="16" borderId="5" xfId="1" applyNumberFormat="1" applyFont="1" applyFill="1" applyBorder="1" applyAlignment="1">
      <alignment horizontal="right" vertical="center" wrapText="1"/>
    </xf>
    <xf numFmtId="166" fontId="2" fillId="16" borderId="43" xfId="1" applyNumberFormat="1" applyFont="1" applyFill="1" applyBorder="1" applyAlignment="1">
      <alignment horizontal="right" vertical="center" wrapText="1"/>
    </xf>
    <xf numFmtId="0" fontId="2" fillId="5" borderId="17" xfId="0" applyFont="1" applyFill="1" applyBorder="1" applyAlignment="1">
      <alignment horizontal="left" vertical="center" wrapText="1"/>
    </xf>
    <xf numFmtId="0" fontId="2" fillId="5" borderId="37" xfId="0" applyFont="1" applyFill="1" applyBorder="1" applyAlignment="1">
      <alignment horizontal="left" vertical="center" wrapText="1"/>
    </xf>
    <xf numFmtId="166" fontId="2" fillId="5" borderId="38" xfId="0" applyNumberFormat="1" applyFont="1" applyFill="1" applyBorder="1" applyAlignment="1">
      <alignment horizontal="right" vertical="center" wrapText="1"/>
    </xf>
    <xf numFmtId="166" fontId="2" fillId="15" borderId="37" xfId="1" applyNumberFormat="1" applyFont="1" applyFill="1" applyBorder="1" applyAlignment="1">
      <alignment horizontal="right" vertical="center" wrapText="1"/>
    </xf>
    <xf numFmtId="166" fontId="2" fillId="15" borderId="38" xfId="1" applyNumberFormat="1" applyFont="1" applyFill="1" applyBorder="1" applyAlignment="1">
      <alignment horizontal="right" vertical="center" wrapText="1"/>
    </xf>
    <xf numFmtId="0" fontId="2" fillId="0" borderId="24" xfId="0" applyFont="1" applyBorder="1" applyAlignment="1">
      <alignment horizontal="left" vertical="center" wrapText="1"/>
    </xf>
    <xf numFmtId="0" fontId="2" fillId="0" borderId="25" xfId="0" applyFont="1" applyBorder="1" applyAlignment="1">
      <alignment horizontal="center" vertical="center" wrapText="1"/>
    </xf>
    <xf numFmtId="166" fontId="2" fillId="0" borderId="25" xfId="7" applyNumberFormat="1" applyFont="1" applyFill="1" applyBorder="1" applyAlignment="1">
      <alignment horizontal="right" vertical="center" wrapText="1"/>
    </xf>
    <xf numFmtId="166" fontId="2" fillId="0" borderId="26" xfId="7" applyNumberFormat="1" applyFont="1" applyFill="1" applyBorder="1" applyAlignment="1">
      <alignment horizontal="right" vertical="center" wrapText="1"/>
    </xf>
    <xf numFmtId="166" fontId="2" fillId="0" borderId="3" xfId="7" applyNumberFormat="1" applyFont="1" applyFill="1" applyBorder="1" applyAlignment="1">
      <alignment horizontal="right" vertical="center" wrapText="1"/>
    </xf>
    <xf numFmtId="166" fontId="2" fillId="0" borderId="45" xfId="7" applyNumberFormat="1" applyFont="1" applyFill="1" applyBorder="1" applyAlignment="1">
      <alignment horizontal="right" vertical="center" wrapText="1"/>
    </xf>
    <xf numFmtId="166" fontId="2" fillId="5" borderId="37" xfId="7" applyNumberFormat="1" applyFont="1" applyFill="1" applyBorder="1" applyAlignment="1">
      <alignment horizontal="right" vertical="center"/>
    </xf>
    <xf numFmtId="166" fontId="2" fillId="5" borderId="38" xfId="7" applyNumberFormat="1" applyFont="1" applyFill="1" applyBorder="1" applyAlignment="1">
      <alignment horizontal="right" vertical="center"/>
    </xf>
    <xf numFmtId="0" fontId="2" fillId="15" borderId="46" xfId="0" applyFont="1" applyFill="1" applyBorder="1" applyAlignment="1">
      <alignment horizontal="left" vertical="center" wrapText="1"/>
    </xf>
    <xf numFmtId="166" fontId="2" fillId="15" borderId="52" xfId="7" applyNumberFormat="1" applyFont="1" applyFill="1" applyBorder="1" applyAlignment="1">
      <alignment horizontal="right" vertical="center"/>
    </xf>
    <xf numFmtId="166" fontId="2" fillId="15" borderId="40" xfId="7" applyNumberFormat="1" applyFont="1" applyFill="1" applyBorder="1" applyAlignment="1">
      <alignment horizontal="right" vertical="center"/>
    </xf>
    <xf numFmtId="0" fontId="2" fillId="0" borderId="46" xfId="0" applyFont="1" applyBorder="1" applyAlignment="1">
      <alignment horizontal="left" vertical="center" wrapText="1"/>
    </xf>
    <xf numFmtId="0" fontId="2" fillId="0" borderId="52" xfId="0" applyFont="1" applyBorder="1" applyAlignment="1">
      <alignment horizontal="center" vertical="center" wrapText="1"/>
    </xf>
    <xf numFmtId="166" fontId="2" fillId="0" borderId="52" xfId="7" applyNumberFormat="1" applyFont="1" applyFill="1" applyBorder="1" applyAlignment="1">
      <alignment horizontal="right" vertical="center" wrapText="1"/>
    </xf>
    <xf numFmtId="166" fontId="2" fillId="0" borderId="40" xfId="7" applyNumberFormat="1" applyFont="1" applyFill="1" applyBorder="1" applyAlignment="1">
      <alignment horizontal="right" vertical="center" wrapText="1"/>
    </xf>
    <xf numFmtId="0" fontId="2" fillId="5" borderId="46" xfId="0" applyFont="1" applyFill="1" applyBorder="1" applyAlignment="1">
      <alignment horizontal="left" vertical="center" wrapText="1"/>
    </xf>
    <xf numFmtId="166" fontId="2" fillId="5" borderId="52" xfId="7" applyNumberFormat="1" applyFont="1" applyFill="1" applyBorder="1" applyAlignment="1">
      <alignment horizontal="right" vertical="center"/>
    </xf>
    <xf numFmtId="166" fontId="2" fillId="5" borderId="40" xfId="7" applyNumberFormat="1" applyFont="1" applyFill="1" applyBorder="1" applyAlignment="1">
      <alignment horizontal="right" vertical="center"/>
    </xf>
    <xf numFmtId="0" fontId="3" fillId="0" borderId="25" xfId="0" applyFont="1" applyBorder="1" applyAlignment="1">
      <alignment horizontal="center" vertical="center" wrapText="1"/>
    </xf>
    <xf numFmtId="166" fontId="2" fillId="16" borderId="2" xfId="7" applyNumberFormat="1" applyFont="1" applyFill="1" applyBorder="1" applyAlignment="1">
      <alignment horizontal="right" vertical="center" wrapText="1"/>
    </xf>
    <xf numFmtId="0" fontId="32" fillId="36" borderId="2" xfId="0" applyFont="1" applyFill="1" applyBorder="1"/>
    <xf numFmtId="0" fontId="2" fillId="16" borderId="1" xfId="0" applyFont="1" applyFill="1" applyBorder="1" applyAlignment="1">
      <alignment horizontal="left" vertical="center" wrapText="1"/>
    </xf>
    <xf numFmtId="166" fontId="2" fillId="16" borderId="18" xfId="7" applyNumberFormat="1" applyFont="1" applyFill="1" applyBorder="1" applyAlignment="1">
      <alignment horizontal="right" vertical="center" wrapText="1"/>
    </xf>
    <xf numFmtId="0" fontId="2" fillId="16" borderId="35" xfId="0" applyFont="1" applyFill="1" applyBorder="1" applyAlignment="1">
      <alignment horizontal="left" vertical="center" wrapText="1"/>
    </xf>
    <xf numFmtId="166" fontId="2" fillId="16" borderId="5" xfId="7" applyNumberFormat="1" applyFont="1" applyFill="1" applyBorder="1" applyAlignment="1">
      <alignment horizontal="right" vertical="center" wrapText="1"/>
    </xf>
    <xf numFmtId="166" fontId="2" fillId="16" borderId="43" xfId="7" applyNumberFormat="1" applyFont="1" applyFill="1" applyBorder="1" applyAlignment="1">
      <alignment horizontal="right" vertical="center" wrapText="1"/>
    </xf>
    <xf numFmtId="166" fontId="2" fillId="13" borderId="19" xfId="0" applyNumberFormat="1" applyFont="1" applyFill="1" applyBorder="1" applyAlignment="1">
      <alignment horizontal="justify" vertical="center" wrapText="1"/>
    </xf>
    <xf numFmtId="166" fontId="19" fillId="16" borderId="33" xfId="8" applyNumberFormat="1" applyFont="1" applyFill="1" applyBorder="1" applyAlignment="1">
      <alignment horizontal="right" vertical="center" wrapText="1"/>
    </xf>
    <xf numFmtId="166" fontId="19" fillId="16" borderId="51" xfId="8" applyNumberFormat="1" applyFont="1" applyFill="1" applyBorder="1" applyAlignment="1">
      <alignment horizontal="right" vertical="center" wrapText="1"/>
    </xf>
    <xf numFmtId="164" fontId="3" fillId="0" borderId="0" xfId="0" applyNumberFormat="1" applyFont="1"/>
    <xf numFmtId="0" fontId="3" fillId="36" borderId="6" xfId="0" applyFont="1" applyFill="1" applyBorder="1" applyAlignment="1">
      <alignment horizontal="justify" vertical="center" wrapText="1"/>
    </xf>
    <xf numFmtId="166" fontId="3" fillId="36" borderId="3" xfId="6" applyNumberFormat="1" applyFont="1" applyFill="1" applyBorder="1" applyAlignment="1">
      <alignment horizontal="right" vertical="center" wrapText="1"/>
    </xf>
    <xf numFmtId="166" fontId="3" fillId="36" borderId="3" xfId="7" applyNumberFormat="1" applyFont="1" applyFill="1" applyBorder="1" applyAlignment="1">
      <alignment horizontal="right" vertical="center" wrapText="1"/>
    </xf>
    <xf numFmtId="166" fontId="3" fillId="36" borderId="45" xfId="6" applyNumberFormat="1" applyFont="1" applyFill="1" applyBorder="1" applyAlignment="1">
      <alignment horizontal="right" vertical="center" wrapText="1"/>
    </xf>
    <xf numFmtId="166" fontId="2" fillId="39" borderId="2" xfId="0" applyNumberFormat="1" applyFont="1" applyFill="1" applyBorder="1" applyAlignment="1">
      <alignment horizontal="right" vertical="center"/>
    </xf>
    <xf numFmtId="166" fontId="32" fillId="39" borderId="0" xfId="0" applyNumberFormat="1" applyFont="1" applyFill="1"/>
    <xf numFmtId="0" fontId="32" fillId="39" borderId="0" xfId="0" applyFont="1" applyFill="1"/>
    <xf numFmtId="166" fontId="52" fillId="39" borderId="2" xfId="0" applyNumberFormat="1" applyFont="1" applyFill="1" applyBorder="1" applyAlignment="1">
      <alignment horizontal="right" vertical="center" wrapText="1"/>
    </xf>
    <xf numFmtId="166" fontId="3" fillId="4" borderId="2" xfId="0" applyNumberFormat="1" applyFont="1" applyFill="1" applyBorder="1" applyAlignment="1">
      <alignment horizontal="right" vertical="center" wrapText="1"/>
    </xf>
    <xf numFmtId="0" fontId="4" fillId="0" borderId="0" xfId="0" applyFont="1" applyAlignment="1">
      <alignment horizontal="center"/>
    </xf>
    <xf numFmtId="0" fontId="19" fillId="0" borderId="0" xfId="0" applyFont="1" applyAlignment="1">
      <alignment horizontal="center" vertical="center"/>
    </xf>
    <xf numFmtId="0" fontId="4" fillId="0" borderId="0" xfId="0" applyFont="1" applyAlignment="1">
      <alignment horizontal="center" vertical="center"/>
    </xf>
    <xf numFmtId="0" fontId="16" fillId="14" borderId="14" xfId="0" applyFont="1" applyFill="1" applyBorder="1" applyAlignment="1">
      <alignment horizontal="center" vertical="center"/>
    </xf>
    <xf numFmtId="0" fontId="16" fillId="14" borderId="0" xfId="0" applyFont="1" applyFill="1" applyAlignment="1">
      <alignment horizontal="center" vertical="center"/>
    </xf>
    <xf numFmtId="0" fontId="16" fillId="14" borderId="48" xfId="0" applyFont="1" applyFill="1" applyBorder="1" applyAlignment="1">
      <alignment horizontal="center" vertical="center"/>
    </xf>
    <xf numFmtId="0" fontId="2" fillId="40" borderId="19" xfId="0" applyFont="1" applyFill="1" applyBorder="1" applyAlignment="1">
      <alignment horizontal="justify" vertical="center" wrapText="1"/>
    </xf>
    <xf numFmtId="0" fontId="2" fillId="40" borderId="1" xfId="0" applyFont="1" applyFill="1" applyBorder="1" applyAlignment="1">
      <alignment horizontal="justify" vertical="center" wrapText="1"/>
    </xf>
    <xf numFmtId="166" fontId="3" fillId="18" borderId="37" xfId="1" applyNumberFormat="1" applyFont="1" applyFill="1" applyBorder="1" applyAlignment="1">
      <alignment horizontal="right" vertical="center" wrapText="1"/>
    </xf>
    <xf numFmtId="0" fontId="2" fillId="15" borderId="36" xfId="0" applyFont="1" applyFill="1" applyBorder="1" applyAlignment="1">
      <alignment horizontal="justify" vertical="center" wrapText="1"/>
    </xf>
    <xf numFmtId="0" fontId="2" fillId="16" borderId="44" xfId="0" applyFont="1" applyFill="1" applyBorder="1" applyAlignment="1">
      <alignment horizontal="justify" vertical="center" wrapText="1"/>
    </xf>
    <xf numFmtId="0" fontId="2" fillId="13" borderId="4" xfId="0" applyFont="1" applyFill="1" applyBorder="1" applyAlignment="1">
      <alignment horizontal="left" vertical="center" wrapText="1"/>
    </xf>
    <xf numFmtId="0" fontId="2" fillId="13" borderId="4" xfId="0" applyFont="1" applyFill="1" applyBorder="1" applyAlignment="1">
      <alignment horizontal="justify" vertical="center" wrapText="1"/>
    </xf>
    <xf numFmtId="0" fontId="2" fillId="36" borderId="4" xfId="0" applyFont="1" applyFill="1" applyBorder="1" applyAlignment="1">
      <alignment horizontal="left" vertical="center" wrapText="1"/>
    </xf>
    <xf numFmtId="0" fontId="2" fillId="16" borderId="4"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36" borderId="4" xfId="0" applyFont="1" applyFill="1" applyBorder="1" applyAlignment="1">
      <alignment horizontal="justify" vertical="center" wrapText="1"/>
    </xf>
    <xf numFmtId="0" fontId="2" fillId="0" borderId="32" xfId="0" applyFont="1" applyBorder="1" applyAlignment="1">
      <alignment horizontal="left" vertical="center" wrapText="1"/>
    </xf>
    <xf numFmtId="0" fontId="2" fillId="5" borderId="36" xfId="0" applyFont="1" applyFill="1" applyBorder="1" applyAlignment="1">
      <alignment horizontal="left" vertical="center" wrapText="1"/>
    </xf>
    <xf numFmtId="0" fontId="2" fillId="13" borderId="27" xfId="0" applyFont="1" applyFill="1" applyBorder="1" applyAlignment="1">
      <alignment horizontal="left" vertical="center" wrapText="1"/>
    </xf>
    <xf numFmtId="166" fontId="3" fillId="18" borderId="37" xfId="1" applyNumberFormat="1" applyFont="1" applyFill="1" applyBorder="1" applyAlignment="1">
      <alignment horizontal="left" vertical="center" wrapText="1"/>
    </xf>
    <xf numFmtId="0" fontId="19" fillId="16" borderId="2" xfId="0" applyFont="1" applyFill="1" applyBorder="1"/>
    <xf numFmtId="49" fontId="19" fillId="16" borderId="8" xfId="0" applyNumberFormat="1" applyFont="1" applyFill="1" applyBorder="1"/>
    <xf numFmtId="49" fontId="19" fillId="0" borderId="0" xfId="0" applyNumberFormat="1" applyFont="1"/>
    <xf numFmtId="0" fontId="19" fillId="16" borderId="5" xfId="0" applyFont="1" applyFill="1" applyBorder="1" applyAlignment="1">
      <alignment horizontal="center" vertical="center"/>
    </xf>
    <xf numFmtId="49" fontId="19" fillId="16" borderId="68" xfId="0" applyNumberFormat="1" applyFont="1" applyFill="1" applyBorder="1" applyAlignment="1">
      <alignment horizontal="center" vertical="center"/>
    </xf>
    <xf numFmtId="0" fontId="19" fillId="16" borderId="2" xfId="0" applyFont="1" applyFill="1" applyBorder="1" applyAlignment="1">
      <alignment horizontal="center" vertical="center"/>
    </xf>
    <xf numFmtId="49" fontId="19" fillId="16" borderId="8" xfId="0" applyNumberFormat="1" applyFont="1" applyFill="1" applyBorder="1" applyAlignment="1">
      <alignment horizontal="center" vertical="center"/>
    </xf>
    <xf numFmtId="49" fontId="19" fillId="0" borderId="0" xfId="0" applyNumberFormat="1" applyFont="1" applyAlignment="1">
      <alignment horizontal="center" vertical="center"/>
    </xf>
    <xf numFmtId="0" fontId="19" fillId="4" borderId="2" xfId="0" applyFont="1" applyFill="1" applyBorder="1" applyAlignment="1">
      <alignment horizontal="center" vertical="center"/>
    </xf>
    <xf numFmtId="49" fontId="19" fillId="4" borderId="8" xfId="0" applyNumberFormat="1" applyFont="1" applyFill="1" applyBorder="1" applyAlignment="1">
      <alignment horizontal="center" vertical="center"/>
    </xf>
    <xf numFmtId="0" fontId="2" fillId="4" borderId="2" xfId="0" applyFont="1" applyFill="1" applyBorder="1" applyAlignment="1">
      <alignment horizontal="justify" vertical="center" wrapText="1"/>
    </xf>
    <xf numFmtId="49" fontId="19" fillId="16" borderId="2" xfId="0" applyNumberFormat="1" applyFont="1" applyFill="1" applyBorder="1" applyAlignment="1">
      <alignment horizontal="center" vertical="center"/>
    </xf>
    <xf numFmtId="49" fontId="19" fillId="4" borderId="2" xfId="0" applyNumberFormat="1" applyFont="1" applyFill="1" applyBorder="1" applyAlignment="1">
      <alignment horizontal="center" vertical="center"/>
    </xf>
    <xf numFmtId="0" fontId="42" fillId="0" borderId="0" xfId="0" applyFont="1"/>
    <xf numFmtId="0" fontId="19" fillId="16" borderId="2" xfId="0" applyFont="1" applyFill="1" applyBorder="1" applyAlignment="1">
      <alignment horizontal="justify" vertical="center" wrapText="1"/>
    </xf>
    <xf numFmtId="49" fontId="19" fillId="16" borderId="8" xfId="0" applyNumberFormat="1" applyFont="1" applyFill="1" applyBorder="1" applyAlignment="1">
      <alignment horizontal="justify" vertical="center" wrapText="1"/>
    </xf>
    <xf numFmtId="49" fontId="42" fillId="0" borderId="0" xfId="0" applyNumberFormat="1" applyFont="1"/>
    <xf numFmtId="166" fontId="2" fillId="5" borderId="36" xfId="2" applyNumberFormat="1" applyFill="1" applyBorder="1" applyAlignment="1">
      <alignment horizontal="justify" vertical="center"/>
    </xf>
    <xf numFmtId="0" fontId="19" fillId="16" borderId="5" xfId="0" applyFont="1" applyFill="1" applyBorder="1" applyAlignment="1">
      <alignment horizontal="center" vertical="center" wrapText="1"/>
    </xf>
    <xf numFmtId="49" fontId="19" fillId="16" borderId="68" xfId="0" applyNumberFormat="1" applyFont="1" applyFill="1" applyBorder="1" applyAlignment="1">
      <alignment horizontal="center" vertical="center" wrapText="1"/>
    </xf>
    <xf numFmtId="49" fontId="16" fillId="0" borderId="0" xfId="0" applyNumberFormat="1" applyFont="1" applyAlignment="1">
      <alignment horizontal="center" vertical="center"/>
    </xf>
    <xf numFmtId="0" fontId="2" fillId="16" borderId="36" xfId="0" applyFont="1" applyFill="1" applyBorder="1" applyAlignment="1">
      <alignment horizontal="justify" vertical="center" wrapText="1"/>
    </xf>
    <xf numFmtId="49" fontId="19" fillId="16" borderId="2" xfId="0" applyNumberFormat="1" applyFont="1" applyFill="1" applyBorder="1" applyAlignment="1">
      <alignment horizontal="center" vertical="center" wrapText="1"/>
    </xf>
    <xf numFmtId="0" fontId="2" fillId="16" borderId="83" xfId="0" applyFont="1" applyFill="1" applyBorder="1" applyAlignment="1">
      <alignment horizontal="justify" vertical="center" wrapText="1"/>
    </xf>
    <xf numFmtId="0" fontId="3" fillId="13" borderId="2" xfId="0" applyFont="1" applyFill="1" applyBorder="1" applyAlignment="1">
      <alignment horizontal="left" vertical="center" wrapText="1"/>
    </xf>
    <xf numFmtId="0" fontId="3" fillId="36" borderId="2" xfId="0" applyFont="1" applyFill="1" applyBorder="1" applyAlignment="1">
      <alignment horizontal="left" vertical="center" wrapText="1"/>
    </xf>
    <xf numFmtId="0" fontId="3" fillId="35" borderId="2" xfId="0" applyFont="1" applyFill="1" applyBorder="1" applyAlignment="1">
      <alignment horizontal="left" vertical="center" wrapText="1"/>
    </xf>
    <xf numFmtId="0" fontId="26" fillId="13" borderId="2" xfId="0" applyFont="1" applyFill="1" applyBorder="1" applyAlignment="1">
      <alignment horizontal="justify" vertical="center" wrapText="1"/>
    </xf>
    <xf numFmtId="167" fontId="4" fillId="16" borderId="2" xfId="6" applyNumberFormat="1" applyFont="1" applyFill="1" applyBorder="1" applyAlignment="1">
      <alignment horizontal="center" vertical="center" wrapText="1"/>
    </xf>
    <xf numFmtId="49" fontId="4" fillId="16" borderId="2" xfId="6" applyNumberFormat="1" applyFont="1" applyFill="1" applyBorder="1" applyAlignment="1">
      <alignment horizontal="center" vertical="center" wrapText="1"/>
    </xf>
    <xf numFmtId="49" fontId="4" fillId="16" borderId="8" xfId="6" applyNumberFormat="1" applyFont="1" applyFill="1" applyBorder="1" applyAlignment="1">
      <alignment horizontal="center" vertical="center" wrapText="1"/>
    </xf>
    <xf numFmtId="49" fontId="4" fillId="0" borderId="0" xfId="0" applyNumberFormat="1" applyFont="1" applyAlignment="1">
      <alignment horizontal="center" vertical="center"/>
    </xf>
    <xf numFmtId="0" fontId="2" fillId="5" borderId="36" xfId="0" applyFont="1" applyFill="1" applyBorder="1" applyAlignment="1">
      <alignment horizontal="justify" vertical="center" wrapText="1"/>
    </xf>
    <xf numFmtId="0" fontId="2" fillId="16" borderId="74" xfId="0" applyFont="1" applyFill="1" applyBorder="1" applyAlignment="1">
      <alignment horizontal="justify" vertical="center" wrapText="1"/>
    </xf>
    <xf numFmtId="0" fontId="4" fillId="16" borderId="2" xfId="0" applyFont="1" applyFill="1" applyBorder="1" applyAlignment="1">
      <alignment horizontal="center" vertical="center"/>
    </xf>
    <xf numFmtId="49" fontId="4" fillId="16" borderId="2" xfId="0" applyNumberFormat="1" applyFont="1" applyFill="1" applyBorder="1" applyAlignment="1">
      <alignment horizontal="center" vertical="center"/>
    </xf>
    <xf numFmtId="166" fontId="2" fillId="15" borderId="36" xfId="0" applyNumberFormat="1" applyFont="1" applyFill="1" applyBorder="1" applyAlignment="1">
      <alignment horizontal="justify" vertical="center"/>
    </xf>
    <xf numFmtId="166" fontId="2" fillId="16" borderId="44" xfId="0" applyNumberFormat="1" applyFont="1" applyFill="1" applyBorder="1" applyAlignment="1">
      <alignment horizontal="justify" vertical="center" wrapText="1"/>
    </xf>
    <xf numFmtId="166" fontId="2" fillId="13" borderId="4" xfId="0" applyNumberFormat="1" applyFont="1" applyFill="1" applyBorder="1" applyAlignment="1">
      <alignment horizontal="justify" vertical="center" wrapText="1"/>
    </xf>
    <xf numFmtId="166" fontId="2" fillId="18" borderId="74" xfId="0" applyNumberFormat="1" applyFont="1" applyFill="1" applyBorder="1" applyAlignment="1">
      <alignment horizontal="justify" vertical="center" wrapText="1"/>
    </xf>
    <xf numFmtId="166" fontId="2" fillId="16" borderId="28" xfId="0" applyNumberFormat="1" applyFont="1" applyFill="1" applyBorder="1" applyAlignment="1">
      <alignment horizontal="justify" vertical="center" wrapText="1"/>
    </xf>
    <xf numFmtId="166" fontId="2" fillId="36" borderId="29" xfId="0" applyNumberFormat="1" applyFont="1" applyFill="1" applyBorder="1" applyAlignment="1">
      <alignment horizontal="justify" vertical="center" wrapText="1"/>
    </xf>
    <xf numFmtId="166" fontId="2" fillId="36" borderId="44" xfId="0" applyNumberFormat="1" applyFont="1" applyFill="1" applyBorder="1" applyAlignment="1">
      <alignment horizontal="justify" vertical="center" wrapText="1"/>
    </xf>
    <xf numFmtId="166" fontId="2" fillId="36" borderId="4" xfId="0" applyNumberFormat="1" applyFont="1" applyFill="1" applyBorder="1" applyAlignment="1">
      <alignment horizontal="justify" vertical="center" wrapText="1"/>
    </xf>
    <xf numFmtId="166" fontId="2" fillId="36" borderId="27" xfId="0" applyNumberFormat="1" applyFont="1" applyFill="1" applyBorder="1" applyAlignment="1">
      <alignment horizontal="justify" vertical="center" wrapText="1"/>
    </xf>
    <xf numFmtId="166" fontId="2" fillId="16" borderId="74" xfId="0" applyNumberFormat="1" applyFont="1" applyFill="1" applyBorder="1" applyAlignment="1">
      <alignment horizontal="justify" vertical="center" wrapText="1"/>
    </xf>
    <xf numFmtId="0" fontId="19" fillId="16" borderId="8" xfId="0" applyFont="1" applyFill="1" applyBorder="1" applyAlignment="1">
      <alignment horizontal="center" vertical="center"/>
    </xf>
    <xf numFmtId="0" fontId="19" fillId="3" borderId="0" xfId="0" applyFont="1" applyFill="1" applyAlignment="1">
      <alignment horizontal="center" vertical="center"/>
    </xf>
    <xf numFmtId="49" fontId="19" fillId="3" borderId="0" xfId="0" applyNumberFormat="1" applyFont="1" applyFill="1" applyAlignment="1">
      <alignment horizontal="center" vertical="center"/>
    </xf>
    <xf numFmtId="0" fontId="2" fillId="4" borderId="33" xfId="0" applyFont="1" applyFill="1" applyBorder="1" applyAlignment="1">
      <alignment horizontal="justify" vertical="center" wrapText="1"/>
    </xf>
    <xf numFmtId="0" fontId="2" fillId="18" borderId="28" xfId="2" applyFill="1" applyBorder="1" applyAlignment="1">
      <alignment horizontal="justify" vertical="center"/>
    </xf>
    <xf numFmtId="0" fontId="2" fillId="16" borderId="29" xfId="0" applyFont="1" applyFill="1" applyBorder="1" applyAlignment="1">
      <alignment horizontal="justify" vertical="center" wrapText="1"/>
    </xf>
    <xf numFmtId="49" fontId="4" fillId="0" borderId="0" xfId="0" applyNumberFormat="1" applyFont="1" applyAlignment="1">
      <alignment vertical="center"/>
    </xf>
    <xf numFmtId="0" fontId="3" fillId="21" borderId="46" xfId="0" applyFont="1" applyFill="1" applyBorder="1" applyAlignment="1">
      <alignment horizontal="justify" vertical="center"/>
    </xf>
    <xf numFmtId="0" fontId="3" fillId="17" borderId="52" xfId="2" applyFont="1" applyFill="1" applyBorder="1" applyAlignment="1">
      <alignment horizontal="justify" vertical="center"/>
    </xf>
    <xf numFmtId="0" fontId="3" fillId="17" borderId="52" xfId="2" applyFont="1" applyFill="1" applyBorder="1" applyAlignment="1">
      <alignment horizontal="center" vertical="center"/>
    </xf>
    <xf numFmtId="166" fontId="3" fillId="17" borderId="52" xfId="2" applyNumberFormat="1" applyFont="1" applyFill="1" applyBorder="1" applyAlignment="1">
      <alignment horizontal="right" vertical="center"/>
    </xf>
    <xf numFmtId="166" fontId="3" fillId="17" borderId="52" xfId="2" applyNumberFormat="1" applyFont="1" applyFill="1" applyBorder="1" applyAlignment="1">
      <alignment horizontal="right" vertical="center" indent="1"/>
    </xf>
    <xf numFmtId="166" fontId="3" fillId="17" borderId="40" xfId="2" applyNumberFormat="1" applyFont="1" applyFill="1" applyBorder="1" applyAlignment="1">
      <alignment horizontal="right" vertical="center"/>
    </xf>
    <xf numFmtId="0" fontId="3" fillId="16" borderId="24" xfId="0" applyFont="1" applyFill="1" applyBorder="1" applyAlignment="1">
      <alignment horizontal="justify" vertical="center" wrapText="1"/>
    </xf>
    <xf numFmtId="0" fontId="3" fillId="16" borderId="25" xfId="0" applyFont="1" applyFill="1" applyBorder="1" applyAlignment="1">
      <alignment horizontal="justify" vertical="center" wrapText="1"/>
    </xf>
    <xf numFmtId="0" fontId="3" fillId="16" borderId="25" xfId="0" applyFont="1" applyFill="1" applyBorder="1" applyAlignment="1">
      <alignment horizontal="center" vertical="center" wrapText="1"/>
    </xf>
    <xf numFmtId="166" fontId="3" fillId="16" borderId="25" xfId="0" applyNumberFormat="1" applyFont="1" applyFill="1" applyBorder="1" applyAlignment="1">
      <alignment horizontal="right" vertical="center" wrapText="1"/>
    </xf>
    <xf numFmtId="166" fontId="3" fillId="16" borderId="25" xfId="0" applyNumberFormat="1" applyFont="1" applyFill="1" applyBorder="1" applyAlignment="1">
      <alignment horizontal="right" vertical="center" wrapText="1" indent="1"/>
    </xf>
    <xf numFmtId="166" fontId="3" fillId="16" borderId="26" xfId="0" applyNumberFormat="1" applyFont="1" applyFill="1" applyBorder="1" applyAlignment="1">
      <alignment horizontal="right" vertical="center" wrapText="1"/>
    </xf>
    <xf numFmtId="166" fontId="3" fillId="39" borderId="2" xfId="0" applyNumberFormat="1" applyFont="1" applyFill="1" applyBorder="1" applyAlignment="1">
      <alignment horizontal="right" vertical="center" wrapText="1"/>
    </xf>
    <xf numFmtId="166" fontId="3" fillId="0" borderId="2" xfId="0" applyNumberFormat="1" applyFont="1" applyBorder="1" applyAlignment="1">
      <alignment horizontal="right" vertical="center"/>
    </xf>
    <xf numFmtId="166" fontId="3" fillId="0" borderId="2" xfId="0" applyNumberFormat="1" applyFont="1" applyBorder="1" applyAlignment="1">
      <alignment horizontal="right" vertical="center" wrapText="1" indent="1"/>
    </xf>
    <xf numFmtId="166" fontId="3" fillId="4" borderId="18" xfId="0" applyNumberFormat="1" applyFont="1" applyFill="1" applyBorder="1" applyAlignment="1">
      <alignment horizontal="right" vertical="center"/>
    </xf>
    <xf numFmtId="0" fontId="3" fillId="13" borderId="6" xfId="0" applyFont="1" applyFill="1" applyBorder="1" applyAlignment="1">
      <alignment horizontal="justify" vertical="center" wrapText="1"/>
    </xf>
    <xf numFmtId="166" fontId="3" fillId="13" borderId="3" xfId="0" applyNumberFormat="1" applyFont="1" applyFill="1" applyBorder="1" applyAlignment="1">
      <alignment horizontal="right" vertical="center" wrapText="1" indent="1"/>
    </xf>
    <xf numFmtId="166" fontId="3" fillId="13" borderId="45" xfId="0" applyNumberFormat="1" applyFont="1" applyFill="1" applyBorder="1" applyAlignment="1">
      <alignment horizontal="right" vertical="center"/>
    </xf>
    <xf numFmtId="166" fontId="3" fillId="0" borderId="18" xfId="0" applyNumberFormat="1" applyFont="1" applyBorder="1" applyAlignment="1">
      <alignment horizontal="right" vertical="center"/>
    </xf>
    <xf numFmtId="0" fontId="3" fillId="5" borderId="46" xfId="0" applyFont="1" applyFill="1" applyBorder="1" applyAlignment="1">
      <alignment horizontal="justify" vertical="center"/>
    </xf>
    <xf numFmtId="0" fontId="3" fillId="5" borderId="52" xfId="0" applyFont="1" applyFill="1" applyBorder="1" applyAlignment="1">
      <alignment horizontal="justify" vertical="center"/>
    </xf>
    <xf numFmtId="0" fontId="3" fillId="5" borderId="52" xfId="0" applyFont="1" applyFill="1" applyBorder="1" applyAlignment="1">
      <alignment horizontal="center" vertical="center"/>
    </xf>
    <xf numFmtId="0" fontId="3" fillId="5" borderId="52" xfId="0" applyFont="1" applyFill="1" applyBorder="1" applyAlignment="1">
      <alignment horizontal="center" vertical="center" wrapText="1"/>
    </xf>
    <xf numFmtId="166" fontId="3" fillId="5" borderId="52" xfId="0" applyNumberFormat="1" applyFont="1" applyFill="1" applyBorder="1" applyAlignment="1">
      <alignment horizontal="right" vertical="center"/>
    </xf>
    <xf numFmtId="166" fontId="3" fillId="5" borderId="40" xfId="0" applyNumberFormat="1" applyFont="1" applyFill="1" applyBorder="1" applyAlignment="1">
      <alignment horizontal="right" vertical="center"/>
    </xf>
    <xf numFmtId="0" fontId="3" fillId="13" borderId="2" xfId="0" applyFont="1" applyFill="1" applyBorder="1" applyAlignment="1">
      <alignment vertical="center"/>
    </xf>
    <xf numFmtId="166" fontId="3" fillId="13" borderId="2" xfId="0" applyNumberFormat="1" applyFont="1" applyFill="1" applyBorder="1" applyAlignment="1">
      <alignment horizontal="right" vertical="center" wrapText="1" indent="1"/>
    </xf>
    <xf numFmtId="0" fontId="3" fillId="39" borderId="1" xfId="0" applyFont="1" applyFill="1" applyBorder="1" applyAlignment="1">
      <alignment horizontal="justify" vertical="center" wrapText="1"/>
    </xf>
    <xf numFmtId="0" fontId="3" fillId="39" borderId="2" xfId="0" applyFont="1" applyFill="1" applyBorder="1" applyAlignment="1">
      <alignment horizontal="center" vertical="center" wrapText="1"/>
    </xf>
    <xf numFmtId="166" fontId="3" fillId="39" borderId="2" xfId="0" applyNumberFormat="1" applyFont="1" applyFill="1" applyBorder="1" applyAlignment="1">
      <alignment horizontal="right" vertical="center"/>
    </xf>
    <xf numFmtId="166" fontId="3" fillId="39" borderId="2" xfId="0" applyNumberFormat="1" applyFont="1" applyFill="1" applyBorder="1" applyAlignment="1">
      <alignment horizontal="right" vertical="center" wrapText="1" indent="1"/>
    </xf>
    <xf numFmtId="166" fontId="3" fillId="39" borderId="18" xfId="0" applyNumberFormat="1" applyFont="1" applyFill="1" applyBorder="1" applyAlignment="1">
      <alignment horizontal="right" vertical="center"/>
    </xf>
    <xf numFmtId="0" fontId="3" fillId="13" borderId="1" xfId="0" applyFont="1" applyFill="1" applyBorder="1" applyAlignment="1" applyProtection="1">
      <alignment horizontal="justify" vertical="center" wrapText="1"/>
      <protection locked="0"/>
    </xf>
    <xf numFmtId="166" fontId="0" fillId="13" borderId="2" xfId="0" applyNumberFormat="1" applyFont="1" applyFill="1" applyBorder="1" applyAlignment="1">
      <alignment horizontal="right"/>
    </xf>
    <xf numFmtId="0" fontId="3" fillId="36" borderId="2" xfId="0" applyFont="1" applyFill="1" applyBorder="1" applyAlignment="1">
      <alignment vertical="center"/>
    </xf>
    <xf numFmtId="166" fontId="3" fillId="36" borderId="2" xfId="0" applyNumberFormat="1" applyFont="1" applyFill="1" applyBorder="1" applyAlignment="1">
      <alignment horizontal="right" vertical="center" wrapText="1" indent="1"/>
    </xf>
    <xf numFmtId="0" fontId="3" fillId="0" borderId="2" xfId="0" applyFont="1" applyBorder="1" applyAlignment="1">
      <alignment vertical="center"/>
    </xf>
    <xf numFmtId="166" fontId="3" fillId="0" borderId="2" xfId="0" applyNumberFormat="1" applyFont="1" applyBorder="1" applyAlignment="1">
      <alignment vertical="center" wrapText="1"/>
    </xf>
    <xf numFmtId="166" fontId="0" fillId="36" borderId="2" xfId="0" applyNumberFormat="1" applyFont="1" applyFill="1" applyBorder="1" applyAlignment="1">
      <alignment horizontal="right"/>
    </xf>
    <xf numFmtId="166" fontId="3" fillId="36" borderId="3" xfId="0" applyNumberFormat="1" applyFont="1" applyFill="1" applyBorder="1" applyAlignment="1">
      <alignment vertical="center" wrapText="1"/>
    </xf>
    <xf numFmtId="166" fontId="3" fillId="36" borderId="3" xfId="0" applyNumberFormat="1" applyFont="1" applyFill="1" applyBorder="1" applyAlignment="1">
      <alignment horizontal="right" vertical="center" wrapText="1" indent="1"/>
    </xf>
    <xf numFmtId="166" fontId="3" fillId="36" borderId="45" xfId="0" applyNumberFormat="1" applyFont="1" applyFill="1" applyBorder="1" applyAlignment="1">
      <alignment horizontal="right" vertical="center"/>
    </xf>
    <xf numFmtId="0" fontId="56" fillId="5" borderId="46" xfId="0" applyFont="1" applyFill="1" applyBorder="1" applyAlignment="1">
      <alignment horizontal="justify" vertical="center" wrapText="1"/>
    </xf>
    <xf numFmtId="166" fontId="0" fillId="13" borderId="2" xfId="0" applyNumberFormat="1" applyFont="1" applyFill="1" applyBorder="1" applyAlignment="1">
      <alignment horizontal="center"/>
    </xf>
    <xf numFmtId="0" fontId="3" fillId="16" borderId="1" xfId="0" applyFont="1" applyFill="1" applyBorder="1" applyAlignment="1">
      <alignment horizontal="justify" vertical="center" wrapText="1"/>
    </xf>
    <xf numFmtId="0" fontId="3" fillId="16" borderId="2" xfId="0" applyFont="1" applyFill="1" applyBorder="1" applyAlignment="1">
      <alignment horizontal="center" vertical="center" wrapText="1"/>
    </xf>
    <xf numFmtId="166" fontId="3" fillId="16" borderId="2" xfId="0" applyNumberFormat="1" applyFont="1" applyFill="1" applyBorder="1" applyAlignment="1">
      <alignment horizontal="right" vertical="center" wrapText="1"/>
    </xf>
    <xf numFmtId="166" fontId="3" fillId="16" borderId="18" xfId="0" applyNumberFormat="1" applyFont="1" applyFill="1" applyBorder="1" applyAlignment="1">
      <alignment horizontal="right" vertical="center" wrapText="1"/>
    </xf>
    <xf numFmtId="166" fontId="3" fillId="13" borderId="2" xfId="0" applyNumberFormat="1" applyFont="1" applyFill="1" applyBorder="1" applyAlignment="1">
      <alignment horizontal="right" indent="1"/>
    </xf>
    <xf numFmtId="166" fontId="3" fillId="13" borderId="18" xfId="0" applyNumberFormat="1" applyFont="1" applyFill="1" applyBorder="1" applyAlignment="1">
      <alignment horizontal="right"/>
    </xf>
    <xf numFmtId="0" fontId="3" fillId="16" borderId="6" xfId="0" applyFont="1" applyFill="1" applyBorder="1" applyAlignment="1">
      <alignment horizontal="justify" vertical="center" wrapText="1"/>
    </xf>
    <xf numFmtId="0" fontId="3" fillId="16" borderId="3" xfId="0" applyFont="1" applyFill="1" applyBorder="1" applyAlignment="1">
      <alignment horizontal="center" vertical="center" wrapText="1"/>
    </xf>
    <xf numFmtId="166" fontId="4" fillId="16" borderId="3" xfId="0" applyNumberFormat="1" applyFont="1" applyFill="1" applyBorder="1" applyAlignment="1">
      <alignment horizontal="right" vertical="center" wrapText="1"/>
    </xf>
    <xf numFmtId="166" fontId="3" fillId="16" borderId="3" xfId="0" applyNumberFormat="1" applyFont="1" applyFill="1" applyBorder="1" applyAlignment="1">
      <alignment vertical="center" wrapText="1"/>
    </xf>
    <xf numFmtId="166" fontId="3" fillId="16" borderId="3" xfId="0" applyNumberFormat="1" applyFont="1" applyFill="1" applyBorder="1" applyAlignment="1">
      <alignment horizontal="right" vertical="center"/>
    </xf>
    <xf numFmtId="166" fontId="3" fillId="16" borderId="3" xfId="0" applyNumberFormat="1" applyFont="1" applyFill="1" applyBorder="1" applyAlignment="1">
      <alignment horizontal="right" vertical="center" wrapText="1"/>
    </xf>
    <xf numFmtId="166" fontId="3" fillId="16" borderId="3" xfId="0" applyNumberFormat="1" applyFont="1" applyFill="1" applyBorder="1" applyAlignment="1">
      <alignment horizontal="right" vertical="center" wrapText="1" indent="1"/>
    </xf>
    <xf numFmtId="166" fontId="3" fillId="16" borderId="45"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xf numFmtId="167" fontId="0" fillId="0" borderId="0" xfId="0" applyNumberFormat="1" applyFont="1" applyAlignment="1">
      <alignment horizontal="center" vertical="center"/>
    </xf>
    <xf numFmtId="0" fontId="25" fillId="22" borderId="12" xfId="0" applyFont="1" applyFill="1" applyBorder="1" applyAlignment="1">
      <alignment horizontal="center" vertical="center"/>
    </xf>
    <xf numFmtId="0" fontId="25" fillId="22" borderId="13" xfId="0" applyFont="1" applyFill="1" applyBorder="1" applyAlignment="1">
      <alignment horizontal="center" vertical="center"/>
    </xf>
    <xf numFmtId="0" fontId="10" fillId="23" borderId="3" xfId="0" applyFont="1" applyFill="1" applyBorder="1" applyAlignment="1">
      <alignment horizontal="center" vertical="center" wrapText="1"/>
    </xf>
    <xf numFmtId="0" fontId="10" fillId="23" borderId="5" xfId="0" applyFont="1" applyFill="1" applyBorder="1" applyAlignment="1">
      <alignment horizontal="center" vertical="center" wrapText="1"/>
    </xf>
    <xf numFmtId="0" fontId="10" fillId="23" borderId="3" xfId="0" applyFont="1" applyFill="1" applyBorder="1" applyAlignment="1">
      <alignment horizontal="left" vertical="center" wrapText="1"/>
    </xf>
    <xf numFmtId="0" fontId="10" fillId="23" borderId="5" xfId="0" applyFont="1" applyFill="1" applyBorder="1" applyAlignment="1">
      <alignment horizontal="left" vertical="center" wrapText="1"/>
    </xf>
    <xf numFmtId="167" fontId="10" fillId="23" borderId="3" xfId="6" applyNumberFormat="1" applyFont="1" applyFill="1" applyBorder="1" applyAlignment="1">
      <alignment horizontal="center" vertical="center" wrapText="1"/>
    </xf>
    <xf numFmtId="167" fontId="10" fillId="23" borderId="5" xfId="6" applyNumberFormat="1" applyFont="1" applyFill="1" applyBorder="1" applyAlignment="1">
      <alignment horizontal="center" vertical="center" wrapText="1"/>
    </xf>
    <xf numFmtId="0" fontId="10" fillId="23" borderId="45" xfId="0" applyFont="1" applyFill="1" applyBorder="1" applyAlignment="1">
      <alignment horizontal="center" vertical="center" wrapText="1"/>
    </xf>
    <xf numFmtId="0" fontId="10" fillId="23" borderId="43"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10" fillId="23" borderId="22" xfId="0" applyFont="1" applyFill="1" applyBorder="1" applyAlignment="1">
      <alignment horizontal="center" vertical="center" wrapText="1"/>
    </xf>
    <xf numFmtId="0" fontId="10" fillId="23" borderId="35" xfId="0" applyFont="1" applyFill="1" applyBorder="1" applyAlignment="1">
      <alignment horizontal="center" vertical="center" wrapText="1"/>
    </xf>
    <xf numFmtId="0" fontId="10" fillId="23" borderId="7" xfId="0" applyFont="1" applyFill="1" applyBorder="1" applyAlignment="1">
      <alignment horizontal="left" vertical="center" wrapText="1"/>
    </xf>
    <xf numFmtId="0" fontId="10" fillId="16" borderId="45" xfId="0"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10" fillId="16" borderId="43"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0" fillId="16" borderId="3" xfId="0" applyFont="1" applyFill="1" applyBorder="1" applyAlignment="1">
      <alignment horizontal="left" vertical="center" wrapText="1"/>
    </xf>
    <xf numFmtId="0" fontId="10" fillId="16" borderId="5" xfId="0" applyFont="1" applyFill="1" applyBorder="1" applyAlignment="1">
      <alignment horizontal="left" vertical="center" wrapText="1"/>
    </xf>
    <xf numFmtId="167" fontId="10" fillId="16" borderId="3" xfId="6" applyNumberFormat="1" applyFont="1" applyFill="1" applyBorder="1" applyAlignment="1">
      <alignment horizontal="center" vertical="center" wrapText="1"/>
    </xf>
    <xf numFmtId="167" fontId="10" fillId="16" borderId="5" xfId="6" applyNumberFormat="1" applyFont="1" applyFill="1" applyBorder="1" applyAlignment="1">
      <alignment horizontal="center" vertical="center" wrapText="1"/>
    </xf>
    <xf numFmtId="0" fontId="10" fillId="23" borderId="7" xfId="0" applyFont="1" applyFill="1" applyBorder="1" applyAlignment="1">
      <alignment horizontal="center" vertical="center" wrapText="1"/>
    </xf>
    <xf numFmtId="167" fontId="10" fillId="23" borderId="7" xfId="6" applyNumberFormat="1" applyFont="1" applyFill="1" applyBorder="1" applyAlignment="1">
      <alignment horizontal="center" vertical="center" wrapText="1"/>
    </xf>
    <xf numFmtId="0" fontId="10" fillId="23" borderId="2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6" borderId="7" xfId="0" applyFont="1" applyFill="1" applyBorder="1" applyAlignment="1">
      <alignment horizontal="left" vertical="center" wrapText="1"/>
    </xf>
    <xf numFmtId="0" fontId="0" fillId="13" borderId="30" xfId="0" applyFill="1" applyBorder="1" applyAlignment="1">
      <alignment horizontal="center"/>
    </xf>
    <xf numFmtId="0" fontId="0" fillId="13" borderId="31" xfId="0" applyFill="1" applyBorder="1" applyAlignment="1">
      <alignment horizontal="center"/>
    </xf>
    <xf numFmtId="0" fontId="0" fillId="13" borderId="27" xfId="0" applyFill="1" applyBorder="1" applyAlignment="1">
      <alignment horizontal="center"/>
    </xf>
    <xf numFmtId="0" fontId="10" fillId="16" borderId="7" xfId="0" applyFont="1" applyFill="1" applyBorder="1" applyAlignment="1">
      <alignment horizontal="center" vertical="center" wrapText="1"/>
    </xf>
    <xf numFmtId="167" fontId="10" fillId="16" borderId="7" xfId="6" applyNumberFormat="1" applyFont="1" applyFill="1" applyBorder="1" applyAlignment="1">
      <alignment horizontal="center" vertical="center" wrapText="1"/>
    </xf>
    <xf numFmtId="0" fontId="16" fillId="0" borderId="12" xfId="0" applyFont="1" applyBorder="1" applyAlignment="1">
      <alignment horizontal="center"/>
    </xf>
    <xf numFmtId="0" fontId="16" fillId="0" borderId="13" xfId="0" applyFont="1" applyBorder="1" applyAlignment="1">
      <alignment horizontal="center"/>
    </xf>
    <xf numFmtId="0" fontId="16" fillId="0" borderId="76" xfId="0" applyFont="1" applyBorder="1" applyAlignment="1">
      <alignment horizontal="center"/>
    </xf>
    <xf numFmtId="0" fontId="16" fillId="0" borderId="88" xfId="0" applyFont="1" applyBorder="1" applyAlignment="1">
      <alignment horizontal="center"/>
    </xf>
    <xf numFmtId="0" fontId="4" fillId="28" borderId="2" xfId="0" applyFont="1" applyFill="1" applyBorder="1" applyAlignment="1">
      <alignment horizontal="left" vertical="center" wrapText="1"/>
    </xf>
    <xf numFmtId="0" fontId="4" fillId="11"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29" fillId="12"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30" fillId="0" borderId="8" xfId="0" applyFont="1" applyBorder="1" applyAlignment="1">
      <alignment horizontal="left" wrapText="1"/>
    </xf>
    <xf numFmtId="0" fontId="30" fillId="0" borderId="9" xfId="0" applyFont="1" applyBorder="1" applyAlignment="1">
      <alignment horizontal="left" wrapText="1"/>
    </xf>
    <xf numFmtId="0" fontId="30" fillId="0" borderId="4" xfId="0" applyFont="1" applyBorder="1" applyAlignment="1">
      <alignment horizontal="left" wrapText="1"/>
    </xf>
    <xf numFmtId="0" fontId="11" fillId="8" borderId="2" xfId="0" applyFont="1" applyFill="1" applyBorder="1" applyAlignment="1">
      <alignment horizontal="left" vertical="center" wrapText="1"/>
    </xf>
    <xf numFmtId="0" fontId="23" fillId="22" borderId="89" xfId="0" applyFont="1" applyFill="1" applyBorder="1" applyAlignment="1">
      <alignment vertical="center" wrapText="1"/>
    </xf>
    <xf numFmtId="0" fontId="28" fillId="13" borderId="90" xfId="0" applyFont="1" applyFill="1" applyBorder="1" applyAlignment="1">
      <alignment horizontal="center" vertical="center"/>
    </xf>
    <xf numFmtId="0" fontId="28" fillId="13" borderId="91" xfId="0" applyFont="1" applyFill="1" applyBorder="1" applyAlignment="1">
      <alignment horizontal="center" vertical="center"/>
    </xf>
    <xf numFmtId="0" fontId="28" fillId="13" borderId="92" xfId="0" applyFont="1" applyFill="1" applyBorder="1" applyAlignment="1">
      <alignment horizontal="center" vertical="center"/>
    </xf>
    <xf numFmtId="0" fontId="19" fillId="14" borderId="25" xfId="0" applyFont="1" applyFill="1" applyBorder="1" applyAlignment="1">
      <alignment horizontal="center" vertical="center"/>
    </xf>
    <xf numFmtId="0" fontId="19" fillId="14" borderId="20" xfId="0" applyFont="1" applyFill="1" applyBorder="1" applyAlignment="1">
      <alignment horizontal="center" vertical="center"/>
    </xf>
    <xf numFmtId="0" fontId="0" fillId="0" borderId="0" xfId="0"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0" fillId="16" borderId="24" xfId="0" applyFill="1" applyBorder="1" applyAlignment="1">
      <alignment horizontal="center" vertical="center"/>
    </xf>
    <xf numFmtId="0" fontId="0" fillId="16" borderId="19" xfId="0" applyFill="1" applyBorder="1" applyAlignment="1">
      <alignment horizontal="center" vertical="center"/>
    </xf>
    <xf numFmtId="0" fontId="19" fillId="14" borderId="25"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4" fillId="14" borderId="25" xfId="0" applyFont="1" applyFill="1" applyBorder="1" applyAlignment="1">
      <alignment horizontal="center" vertical="center"/>
    </xf>
    <xf numFmtId="0" fontId="4" fillId="14" borderId="20" xfId="0" applyFont="1" applyFill="1" applyBorder="1" applyAlignment="1">
      <alignment horizontal="center" vertical="center"/>
    </xf>
    <xf numFmtId="172" fontId="19" fillId="14" borderId="25" xfId="0" applyNumberFormat="1" applyFont="1" applyFill="1" applyBorder="1" applyAlignment="1">
      <alignment horizontal="center" vertical="center"/>
    </xf>
    <xf numFmtId="172" fontId="19" fillId="14" borderId="20" xfId="0" applyNumberFormat="1" applyFont="1" applyFill="1" applyBorder="1" applyAlignment="1">
      <alignment horizontal="center" vertical="center"/>
    </xf>
    <xf numFmtId="0" fontId="17" fillId="13" borderId="15" xfId="0" applyFont="1" applyFill="1" applyBorder="1" applyAlignment="1">
      <alignment horizontal="center"/>
    </xf>
    <xf numFmtId="0" fontId="17" fillId="13" borderId="16" xfId="0" applyFont="1" applyFill="1" applyBorder="1" applyAlignment="1">
      <alignment horizontal="center"/>
    </xf>
    <xf numFmtId="0" fontId="17" fillId="13" borderId="29" xfId="0" applyFont="1" applyFill="1" applyBorder="1" applyAlignment="1">
      <alignment horizontal="center"/>
    </xf>
    <xf numFmtId="0" fontId="17" fillId="13" borderId="1" xfId="0" applyFont="1" applyFill="1" applyBorder="1" applyAlignment="1">
      <alignment horizontal="left" vertical="center"/>
    </xf>
    <xf numFmtId="0" fontId="17" fillId="13" borderId="2" xfId="0" applyFont="1" applyFill="1" applyBorder="1" applyAlignment="1">
      <alignment horizontal="left" vertical="center"/>
    </xf>
    <xf numFmtId="0" fontId="17" fillId="13" borderId="1" xfId="0" applyFont="1" applyFill="1" applyBorder="1" applyAlignment="1">
      <alignment horizontal="left"/>
    </xf>
    <xf numFmtId="0" fontId="17" fillId="13" borderId="2" xfId="0" applyFont="1" applyFill="1" applyBorder="1" applyAlignment="1">
      <alignment horizontal="left"/>
    </xf>
    <xf numFmtId="0" fontId="17" fillId="13" borderId="85" xfId="0" applyFont="1" applyFill="1" applyBorder="1" applyAlignment="1">
      <alignment horizontal="center"/>
    </xf>
    <xf numFmtId="0" fontId="17" fillId="13" borderId="9" xfId="0" applyFont="1" applyFill="1" applyBorder="1" applyAlignment="1">
      <alignment horizontal="center"/>
    </xf>
    <xf numFmtId="0" fontId="17" fillId="13" borderId="4" xfId="0" applyFont="1" applyFill="1" applyBorder="1" applyAlignment="1">
      <alignment horizontal="center"/>
    </xf>
    <xf numFmtId="0" fontId="17" fillId="13" borderId="1" xfId="0" applyFont="1" applyFill="1" applyBorder="1" applyAlignment="1">
      <alignment horizontal="center" vertical="center"/>
    </xf>
    <xf numFmtId="0" fontId="17" fillId="13" borderId="2" xfId="0" applyFont="1" applyFill="1" applyBorder="1" applyAlignment="1">
      <alignment horizontal="center" vertical="center"/>
    </xf>
    <xf numFmtId="0" fontId="17" fillId="13" borderId="1" xfId="0" applyFont="1" applyFill="1" applyBorder="1" applyAlignment="1">
      <alignment horizontal="center"/>
    </xf>
    <xf numFmtId="0" fontId="17" fillId="13" borderId="2" xfId="0" applyFont="1" applyFill="1" applyBorder="1" applyAlignment="1">
      <alignment horizontal="center"/>
    </xf>
    <xf numFmtId="0" fontId="17" fillId="13" borderId="1"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85"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4" borderId="1" xfId="0" applyFont="1" applyFill="1" applyBorder="1" applyAlignment="1">
      <alignment horizontal="center"/>
    </xf>
    <xf numFmtId="0" fontId="17" fillId="4" borderId="2" xfId="0" applyFont="1" applyFill="1" applyBorder="1" applyAlignment="1">
      <alignment horizontal="center"/>
    </xf>
    <xf numFmtId="0" fontId="0" fillId="13" borderId="2" xfId="0" applyFill="1" applyBorder="1" applyAlignment="1">
      <alignment horizontal="center" wrapText="1"/>
    </xf>
    <xf numFmtId="0" fontId="16" fillId="22" borderId="12" xfId="0" applyFont="1" applyFill="1" applyBorder="1" applyAlignment="1">
      <alignment horizontal="center" vertical="center"/>
    </xf>
    <xf numFmtId="0" fontId="16" fillId="22" borderId="13" xfId="0" applyFont="1" applyFill="1" applyBorder="1" applyAlignment="1">
      <alignment horizontal="center" vertical="center"/>
    </xf>
    <xf numFmtId="0" fontId="16" fillId="22" borderId="36" xfId="0" applyFont="1" applyFill="1" applyBorder="1" applyAlignment="1">
      <alignment horizontal="center" vertical="center"/>
    </xf>
    <xf numFmtId="0" fontId="16" fillId="29" borderId="12" xfId="0" applyFont="1" applyFill="1" applyBorder="1" applyAlignment="1">
      <alignment horizontal="center" vertical="center"/>
    </xf>
    <xf numFmtId="0" fontId="16" fillId="29" borderId="13" xfId="0" applyFont="1" applyFill="1" applyBorder="1" applyAlignment="1">
      <alignment horizontal="center" vertical="center"/>
    </xf>
    <xf numFmtId="0" fontId="16" fillId="29" borderId="36" xfId="0" applyFont="1" applyFill="1" applyBorder="1" applyAlignment="1">
      <alignment horizontal="center" vertical="center"/>
    </xf>
    <xf numFmtId="0" fontId="17" fillId="13" borderId="85" xfId="0" applyFont="1" applyFill="1" applyBorder="1" applyAlignment="1">
      <alignment horizontal="center" vertical="center"/>
    </xf>
    <xf numFmtId="0" fontId="17" fillId="13" borderId="9" xfId="0" applyFont="1" applyFill="1" applyBorder="1" applyAlignment="1">
      <alignment horizontal="center" vertical="center"/>
    </xf>
    <xf numFmtId="0" fontId="17" fillId="13" borderId="4" xfId="0" applyFont="1" applyFill="1" applyBorder="1" applyAlignment="1">
      <alignment horizontal="center" vertical="center"/>
    </xf>
    <xf numFmtId="0" fontId="0" fillId="13" borderId="2" xfId="0" applyFill="1" applyBorder="1" applyAlignment="1">
      <alignment horizontal="center"/>
    </xf>
    <xf numFmtId="0" fontId="44" fillId="14" borderId="8" xfId="0" applyFont="1" applyFill="1" applyBorder="1" applyAlignment="1">
      <alignment horizontal="center" vertical="center"/>
    </xf>
    <xf numFmtId="0" fontId="44" fillId="14" borderId="9" xfId="0" applyFont="1" applyFill="1" applyBorder="1" applyAlignment="1">
      <alignment horizontal="center" vertical="center"/>
    </xf>
    <xf numFmtId="0" fontId="44" fillId="14" borderId="4" xfId="0" applyFont="1" applyFill="1" applyBorder="1" applyAlignment="1">
      <alignment horizontal="center" vertical="center"/>
    </xf>
    <xf numFmtId="0" fontId="44" fillId="14" borderId="2" xfId="0" applyFont="1" applyFill="1" applyBorder="1" applyAlignment="1">
      <alignment horizontal="center" vertical="center"/>
    </xf>
    <xf numFmtId="0" fontId="44" fillId="13" borderId="2" xfId="0" applyFont="1" applyFill="1" applyBorder="1" applyAlignment="1">
      <alignment horizontal="center" vertical="center" wrapText="1"/>
    </xf>
    <xf numFmtId="0" fontId="4" fillId="22" borderId="24" xfId="0" applyFont="1" applyFill="1" applyBorder="1" applyAlignment="1">
      <alignment horizontal="center" vertical="center"/>
    </xf>
    <xf numFmtId="0" fontId="4" fillId="22" borderId="25" xfId="0" applyFont="1" applyFill="1" applyBorder="1" applyAlignment="1">
      <alignment horizontal="center" vertical="center"/>
    </xf>
    <xf numFmtId="0" fontId="4" fillId="22" borderId="26" xfId="0" applyFont="1" applyFill="1" applyBorder="1" applyAlignment="1">
      <alignment horizontal="center" vertical="center"/>
    </xf>
    <xf numFmtId="0" fontId="4" fillId="22" borderId="6" xfId="0" applyFont="1" applyFill="1" applyBorder="1" applyAlignment="1">
      <alignment horizontal="center" vertical="center"/>
    </xf>
    <xf numFmtId="0" fontId="4" fillId="22" borderId="3" xfId="0" applyFont="1" applyFill="1" applyBorder="1" applyAlignment="1">
      <alignment horizontal="center" vertical="center"/>
    </xf>
    <xf numFmtId="0" fontId="4" fillId="22" borderId="45" xfId="0" applyFont="1" applyFill="1" applyBorder="1" applyAlignment="1">
      <alignment horizontal="center" vertical="center"/>
    </xf>
    <xf numFmtId="0" fontId="7" fillId="17" borderId="1"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41" fontId="3" fillId="16" borderId="2" xfId="1" applyNumberFormat="1" applyFont="1" applyFill="1" applyBorder="1" applyAlignment="1">
      <alignment horizontal="center" vertical="center"/>
    </xf>
    <xf numFmtId="41" fontId="3" fillId="17" borderId="2" xfId="1" applyNumberFormat="1" applyFont="1" applyFill="1" applyBorder="1" applyAlignment="1">
      <alignment horizontal="center" vertical="center"/>
    </xf>
    <xf numFmtId="0" fontId="4" fillId="23" borderId="25" xfId="0" applyFont="1" applyFill="1" applyBorder="1" applyAlignment="1">
      <alignment horizontal="center" vertical="center"/>
    </xf>
    <xf numFmtId="0" fontId="4" fillId="23" borderId="3" xfId="0" applyFont="1" applyFill="1" applyBorder="1" applyAlignment="1">
      <alignment horizontal="center" vertical="center"/>
    </xf>
    <xf numFmtId="0" fontId="4" fillId="23" borderId="26" xfId="0" applyFont="1" applyFill="1" applyBorder="1" applyAlignment="1">
      <alignment horizontal="center" vertical="center"/>
    </xf>
    <xf numFmtId="0" fontId="4" fillId="23" borderId="45" xfId="0" applyFont="1" applyFill="1" applyBorder="1" applyAlignment="1">
      <alignment horizontal="center" vertical="center"/>
    </xf>
    <xf numFmtId="0" fontId="4" fillId="23" borderId="65" xfId="0" applyFont="1" applyFill="1" applyBorder="1" applyAlignment="1">
      <alignment horizontal="center" vertical="center" wrapText="1"/>
    </xf>
    <xf numFmtId="0" fontId="4" fillId="23" borderId="75" xfId="0" applyFont="1" applyFill="1" applyBorder="1" applyAlignment="1">
      <alignment horizontal="center" vertical="center" wrapText="1"/>
    </xf>
    <xf numFmtId="0" fontId="4" fillId="23" borderId="15" xfId="0" applyFont="1" applyFill="1" applyBorder="1" applyAlignment="1">
      <alignment horizontal="center" vertical="center"/>
    </xf>
    <xf numFmtId="0" fontId="4" fillId="23" borderId="16" xfId="0" applyFont="1" applyFill="1" applyBorder="1" applyAlignment="1">
      <alignment horizontal="center" vertical="center"/>
    </xf>
    <xf numFmtId="0" fontId="3" fillId="17" borderId="25"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4" fillId="23" borderId="46" xfId="0" applyFont="1" applyFill="1" applyBorder="1" applyAlignment="1">
      <alignment horizontal="center" vertical="center"/>
    </xf>
    <xf numFmtId="0" fontId="4" fillId="23" borderId="33" xfId="0" applyFont="1" applyFill="1" applyBorder="1" applyAlignment="1">
      <alignment horizontal="center" vertical="center"/>
    </xf>
    <xf numFmtId="0" fontId="4" fillId="23" borderId="12" xfId="0" applyFont="1" applyFill="1" applyBorder="1" applyAlignment="1">
      <alignment horizontal="center" vertical="center" wrapText="1"/>
    </xf>
    <xf numFmtId="0" fontId="4" fillId="23" borderId="76" xfId="0" applyFont="1" applyFill="1" applyBorder="1" applyAlignment="1">
      <alignment horizontal="center" vertical="center" wrapText="1"/>
    </xf>
    <xf numFmtId="0" fontId="4" fillId="23" borderId="47" xfId="0" applyFont="1" applyFill="1" applyBorder="1" applyAlignment="1">
      <alignment horizontal="center" vertical="center" wrapText="1"/>
    </xf>
    <xf numFmtId="0" fontId="4" fillId="23" borderId="80" xfId="0" applyFont="1" applyFill="1" applyBorder="1" applyAlignment="1">
      <alignment horizontal="center" vertical="center" wrapText="1"/>
    </xf>
    <xf numFmtId="0" fontId="4" fillId="13" borderId="17" xfId="0" applyFont="1" applyFill="1" applyBorder="1" applyAlignment="1">
      <alignment horizontal="center" vertical="center"/>
    </xf>
    <xf numFmtId="0" fontId="4" fillId="13" borderId="37" xfId="0" applyFont="1" applyFill="1" applyBorder="1" applyAlignment="1">
      <alignment horizontal="center" vertical="center"/>
    </xf>
    <xf numFmtId="41" fontId="7" fillId="16" borderId="6" xfId="0" applyNumberFormat="1"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4" fillId="23" borderId="30"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3" fillId="17" borderId="24"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4" fillId="23" borderId="47" xfId="0" applyFont="1" applyFill="1" applyBorder="1" applyAlignment="1">
      <alignment horizontal="center" vertical="center"/>
    </xf>
    <xf numFmtId="41" fontId="3" fillId="17" borderId="25" xfId="0" applyNumberFormat="1" applyFont="1" applyFill="1" applyBorder="1" applyAlignment="1">
      <alignment horizontal="center" vertical="center" wrapText="1"/>
    </xf>
    <xf numFmtId="41" fontId="3" fillId="17" borderId="2" xfId="0" applyNumberFormat="1" applyFont="1" applyFill="1" applyBorder="1" applyAlignment="1">
      <alignment horizontal="center" vertical="center" wrapText="1"/>
    </xf>
    <xf numFmtId="0" fontId="4" fillId="23" borderId="25"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4" fillId="23" borderId="52" xfId="0" applyFont="1" applyFill="1" applyBorder="1" applyAlignment="1">
      <alignment horizontal="center" vertical="center"/>
    </xf>
    <xf numFmtId="0" fontId="4" fillId="23" borderId="34" xfId="0" applyFont="1" applyFill="1" applyBorder="1" applyAlignment="1">
      <alignment horizontal="center" vertical="center"/>
    </xf>
    <xf numFmtId="0" fontId="4" fillId="23" borderId="53" xfId="0" applyFont="1" applyFill="1" applyBorder="1" applyAlignment="1">
      <alignment horizontal="center" vertical="center"/>
    </xf>
    <xf numFmtId="0" fontId="4" fillId="23" borderId="14" xfId="0" applyFont="1" applyFill="1" applyBorder="1" applyAlignment="1">
      <alignment horizontal="center" vertical="center"/>
    </xf>
    <xf numFmtId="0" fontId="4" fillId="23" borderId="54" xfId="0" applyFont="1" applyFill="1" applyBorder="1" applyAlignment="1">
      <alignment horizontal="center" vertical="center"/>
    </xf>
    <xf numFmtId="0" fontId="4" fillId="23" borderId="67" xfId="0" applyFont="1" applyFill="1" applyBorder="1" applyAlignment="1">
      <alignment horizontal="center" vertical="center" wrapText="1"/>
    </xf>
    <xf numFmtId="0" fontId="4" fillId="14" borderId="49" xfId="0" applyFont="1" applyFill="1" applyBorder="1" applyAlignment="1">
      <alignment horizontal="center" vertical="center" wrapText="1"/>
    </xf>
    <xf numFmtId="0" fontId="4" fillId="14" borderId="48" xfId="0" applyFont="1" applyFill="1" applyBorder="1" applyAlignment="1">
      <alignment horizontal="center" vertical="center" wrapText="1"/>
    </xf>
    <xf numFmtId="0" fontId="4" fillId="14" borderId="82"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51" xfId="0" applyFont="1" applyFill="1" applyBorder="1" applyAlignment="1">
      <alignment horizontal="center" vertical="center" wrapText="1"/>
    </xf>
    <xf numFmtId="0" fontId="19" fillId="14" borderId="12" xfId="0" applyFont="1" applyFill="1" applyBorder="1" applyAlignment="1">
      <alignment horizontal="left" vertical="center" wrapText="1"/>
    </xf>
    <xf numFmtId="0" fontId="19" fillId="14" borderId="76" xfId="0" applyFont="1" applyFill="1" applyBorder="1" applyAlignment="1">
      <alignment horizontal="left" vertical="center" wrapText="1"/>
    </xf>
    <xf numFmtId="0" fontId="4" fillId="14" borderId="53" xfId="0" applyFont="1" applyFill="1" applyBorder="1" applyAlignment="1">
      <alignment horizontal="center" vertical="center" wrapText="1"/>
    </xf>
    <xf numFmtId="0" fontId="4" fillId="14" borderId="14" xfId="0" applyFont="1" applyFill="1" applyBorder="1" applyAlignment="1">
      <alignment horizontal="center" vertical="center" wrapText="1"/>
    </xf>
    <xf numFmtId="0" fontId="4" fillId="14" borderId="54" xfId="0" applyFont="1" applyFill="1" applyBorder="1" applyAlignment="1">
      <alignment horizontal="center" vertical="center" wrapText="1"/>
    </xf>
    <xf numFmtId="0" fontId="4" fillId="14" borderId="84" xfId="0" applyFont="1" applyFill="1" applyBorder="1" applyAlignment="1">
      <alignment horizontal="center" vertical="center" wrapText="1"/>
    </xf>
    <xf numFmtId="0" fontId="4" fillId="14" borderId="0" xfId="0" applyFont="1" applyFill="1" applyAlignment="1">
      <alignment horizontal="center" vertical="center" wrapText="1"/>
    </xf>
    <xf numFmtId="0" fontId="4" fillId="14" borderId="81" xfId="0" applyFont="1" applyFill="1" applyBorder="1" applyAlignment="1">
      <alignment horizontal="center" vertical="center" wrapText="1"/>
    </xf>
    <xf numFmtId="0" fontId="4" fillId="14" borderId="12" xfId="0" applyFont="1" applyFill="1" applyBorder="1" applyAlignment="1">
      <alignment horizontal="center"/>
    </xf>
    <xf numFmtId="0" fontId="4" fillId="14" borderId="13" xfId="0" applyFont="1" applyFill="1" applyBorder="1" applyAlignment="1">
      <alignment horizontal="center"/>
    </xf>
    <xf numFmtId="0" fontId="4" fillId="14" borderId="76" xfId="0" applyFont="1" applyFill="1" applyBorder="1" applyAlignment="1">
      <alignment horizontal="center"/>
    </xf>
    <xf numFmtId="0" fontId="19" fillId="14" borderId="12"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9" fillId="14" borderId="76" xfId="0" applyFont="1" applyFill="1" applyBorder="1" applyAlignment="1">
      <alignment horizontal="center" vertical="center" wrapText="1"/>
    </xf>
    <xf numFmtId="0" fontId="3" fillId="14" borderId="53" xfId="0" applyFont="1" applyFill="1" applyBorder="1" applyAlignment="1">
      <alignment horizontal="center"/>
    </xf>
    <xf numFmtId="0" fontId="3" fillId="14" borderId="84" xfId="0" applyFont="1" applyFill="1" applyBorder="1" applyAlignment="1">
      <alignment horizontal="center"/>
    </xf>
    <xf numFmtId="0" fontId="3" fillId="14" borderId="49" xfId="0" applyFont="1" applyFill="1" applyBorder="1" applyAlignment="1">
      <alignment horizontal="center"/>
    </xf>
    <xf numFmtId="0" fontId="4" fillId="0" borderId="0" xfId="0" applyFont="1" applyAlignment="1">
      <alignment horizontal="center"/>
    </xf>
    <xf numFmtId="0" fontId="19" fillId="0" borderId="0" xfId="0" applyFont="1" applyAlignment="1">
      <alignment horizontal="center" vertical="center" wrapText="1"/>
    </xf>
    <xf numFmtId="42" fontId="19" fillId="0" borderId="0" xfId="0" applyNumberFormat="1" applyFont="1" applyAlignment="1">
      <alignment horizontal="center" vertical="center" wrapText="1"/>
    </xf>
    <xf numFmtId="166" fontId="2" fillId="0" borderId="0" xfId="0" applyNumberFormat="1" applyFont="1" applyAlignment="1">
      <alignment horizontal="center" vertical="center"/>
    </xf>
    <xf numFmtId="170" fontId="0" fillId="0" borderId="0" xfId="7" applyNumberFormat="1" applyFont="1" applyAlignment="1">
      <alignment horizontal="center" vertical="center"/>
    </xf>
    <xf numFmtId="0" fontId="19" fillId="14" borderId="11" xfId="0" applyFont="1" applyFill="1" applyBorder="1" applyAlignment="1">
      <alignment horizontal="center" vertical="center" wrapText="1"/>
    </xf>
    <xf numFmtId="171" fontId="4" fillId="14" borderId="51" xfId="0" applyNumberFormat="1" applyFont="1" applyFill="1" applyBorder="1" applyAlignment="1">
      <alignment horizontal="center" vertical="center" wrapText="1"/>
    </xf>
    <xf numFmtId="171" fontId="4" fillId="14" borderId="50" xfId="0" applyNumberFormat="1" applyFont="1" applyFill="1" applyBorder="1" applyAlignment="1">
      <alignment horizontal="center" vertical="center" wrapText="1"/>
    </xf>
    <xf numFmtId="0" fontId="2" fillId="36" borderId="2" xfId="0" applyFont="1" applyFill="1" applyBorder="1" applyAlignment="1">
      <alignment horizontal="left" vertical="center" wrapText="1"/>
    </xf>
    <xf numFmtId="0" fontId="4" fillId="14" borderId="5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54" xfId="0" applyFont="1" applyFill="1" applyBorder="1" applyAlignment="1">
      <alignment horizontal="center" vertical="center"/>
    </xf>
    <xf numFmtId="0" fontId="4" fillId="14" borderId="84" xfId="0" applyFont="1" applyFill="1" applyBorder="1" applyAlignment="1">
      <alignment horizontal="center" vertical="center"/>
    </xf>
    <xf numFmtId="0" fontId="4" fillId="14" borderId="0" xfId="0" applyFont="1" applyFill="1" applyAlignment="1">
      <alignment horizontal="center" vertical="center"/>
    </xf>
    <xf numFmtId="0" fontId="4" fillId="14" borderId="81" xfId="0" applyFont="1" applyFill="1" applyBorder="1" applyAlignment="1">
      <alignment horizontal="center" vertical="center"/>
    </xf>
    <xf numFmtId="0" fontId="4" fillId="14" borderId="49" xfId="0" applyFont="1" applyFill="1" applyBorder="1" applyAlignment="1">
      <alignment horizontal="center" vertical="center"/>
    </xf>
    <xf numFmtId="0" fontId="4" fillId="14" borderId="48" xfId="0" applyFont="1" applyFill="1" applyBorder="1" applyAlignment="1">
      <alignment horizontal="center" vertical="center"/>
    </xf>
    <xf numFmtId="0" fontId="4" fillId="14" borderId="82" xfId="0" applyFont="1" applyFill="1" applyBorder="1" applyAlignment="1">
      <alignment horizontal="center" vertical="center"/>
    </xf>
    <xf numFmtId="0" fontId="19" fillId="14" borderId="70" xfId="0" applyFont="1" applyFill="1" applyBorder="1" applyAlignment="1">
      <alignment horizontal="center" vertical="center" wrapText="1"/>
    </xf>
    <xf numFmtId="42" fontId="19" fillId="14" borderId="50" xfId="8" applyFont="1" applyFill="1" applyBorder="1" applyAlignment="1">
      <alignment horizontal="center" vertical="center" wrapText="1"/>
    </xf>
    <xf numFmtId="42" fontId="19" fillId="14" borderId="51" xfId="8" applyFont="1" applyFill="1" applyBorder="1" applyAlignment="1">
      <alignment horizontal="center" vertical="center" wrapText="1"/>
    </xf>
    <xf numFmtId="0" fontId="19" fillId="14" borderId="12" xfId="0" applyFont="1" applyFill="1" applyBorder="1" applyAlignment="1">
      <alignment horizontal="center"/>
    </xf>
    <xf numFmtId="0" fontId="19" fillId="14" borderId="13" xfId="0" applyFont="1" applyFill="1" applyBorder="1" applyAlignment="1">
      <alignment horizontal="center"/>
    </xf>
    <xf numFmtId="0" fontId="19" fillId="14" borderId="36" xfId="0" applyFont="1" applyFill="1" applyBorder="1" applyAlignment="1">
      <alignment horizontal="center"/>
    </xf>
    <xf numFmtId="0" fontId="19" fillId="14" borderId="86" xfId="0" applyFont="1" applyFill="1" applyBorder="1" applyAlignment="1">
      <alignment horizontal="center" vertical="center" wrapText="1"/>
    </xf>
    <xf numFmtId="0" fontId="19" fillId="14" borderId="75" xfId="0" applyFont="1" applyFill="1" applyBorder="1" applyAlignment="1">
      <alignment horizontal="center" vertical="center" wrapText="1"/>
    </xf>
    <xf numFmtId="0" fontId="4" fillId="14" borderId="7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6" fillId="14" borderId="53" xfId="0" applyFont="1" applyFill="1" applyBorder="1" applyAlignment="1">
      <alignment horizontal="center" vertical="center"/>
    </xf>
    <xf numFmtId="0" fontId="16" fillId="14" borderId="14" xfId="0" applyFont="1" applyFill="1" applyBorder="1" applyAlignment="1">
      <alignment horizontal="center" vertical="center"/>
    </xf>
    <xf numFmtId="0" fontId="16" fillId="14" borderId="54" xfId="0" applyFont="1" applyFill="1" applyBorder="1" applyAlignment="1">
      <alignment horizontal="center" vertical="center"/>
    </xf>
    <xf numFmtId="0" fontId="16" fillId="14" borderId="84" xfId="0" applyFont="1" applyFill="1" applyBorder="1" applyAlignment="1">
      <alignment horizontal="center" vertical="center"/>
    </xf>
    <xf numFmtId="0" fontId="16" fillId="14" borderId="0" xfId="0" applyFont="1" applyFill="1" applyAlignment="1">
      <alignment horizontal="center" vertical="center"/>
    </xf>
    <xf numFmtId="0" fontId="16" fillId="14" borderId="81" xfId="0" applyFont="1" applyFill="1" applyBorder="1" applyAlignment="1">
      <alignment horizontal="center" vertical="center"/>
    </xf>
    <xf numFmtId="0" fontId="16" fillId="14" borderId="49" xfId="0" applyFont="1" applyFill="1" applyBorder="1" applyAlignment="1">
      <alignment horizontal="center" vertical="center"/>
    </xf>
    <xf numFmtId="0" fontId="16" fillId="14" borderId="48" xfId="0" applyFont="1" applyFill="1" applyBorder="1" applyAlignment="1">
      <alignment horizontal="center" vertical="center"/>
    </xf>
    <xf numFmtId="0" fontId="16" fillId="14" borderId="82" xfId="0" applyFont="1" applyFill="1" applyBorder="1" applyAlignment="1">
      <alignment horizontal="center" vertical="center"/>
    </xf>
    <xf numFmtId="164" fontId="4" fillId="14" borderId="49" xfId="1" applyFont="1" applyFill="1" applyBorder="1" applyAlignment="1">
      <alignment horizontal="center" vertical="center"/>
    </xf>
    <xf numFmtId="164" fontId="4" fillId="14" borderId="48" xfId="1" applyFont="1" applyFill="1" applyBorder="1" applyAlignment="1">
      <alignment horizontal="center" vertical="center"/>
    </xf>
    <xf numFmtId="164" fontId="4" fillId="14" borderId="74" xfId="1" applyFont="1" applyFill="1" applyBorder="1" applyAlignment="1">
      <alignment horizontal="center" vertical="center"/>
    </xf>
    <xf numFmtId="0" fontId="19" fillId="14" borderId="51" xfId="0" applyFont="1" applyFill="1" applyBorder="1" applyAlignment="1">
      <alignment horizontal="center" vertical="center"/>
    </xf>
    <xf numFmtId="0" fontId="19" fillId="14" borderId="11" xfId="0" applyFont="1" applyFill="1" applyBorder="1" applyAlignment="1">
      <alignment horizontal="center" vertical="center"/>
    </xf>
    <xf numFmtId="0" fontId="19" fillId="14" borderId="50" xfId="0" applyFont="1" applyFill="1" applyBorder="1" applyAlignment="1">
      <alignment horizontal="center" vertical="center"/>
    </xf>
    <xf numFmtId="0" fontId="19" fillId="14" borderId="50" xfId="0" applyFont="1" applyFill="1" applyBorder="1" applyAlignment="1">
      <alignment horizontal="center" vertical="center" wrapText="1"/>
    </xf>
    <xf numFmtId="0" fontId="0" fillId="14" borderId="53" xfId="0" applyFill="1" applyBorder="1" applyAlignment="1">
      <alignment horizontal="center"/>
    </xf>
    <xf numFmtId="0" fontId="0" fillId="14" borderId="84" xfId="0" applyFill="1" applyBorder="1" applyAlignment="1">
      <alignment horizontal="center"/>
    </xf>
    <xf numFmtId="0" fontId="0" fillId="14" borderId="49" xfId="0" applyFill="1" applyBorder="1" applyAlignment="1">
      <alignment horizontal="center"/>
    </xf>
    <xf numFmtId="3" fontId="19" fillId="14" borderId="50" xfId="0" applyNumberFormat="1" applyFont="1" applyFill="1" applyBorder="1" applyAlignment="1">
      <alignment horizontal="center" vertical="center" wrapText="1"/>
    </xf>
    <xf numFmtId="3" fontId="19" fillId="14" borderId="70" xfId="0" applyNumberFormat="1" applyFont="1" applyFill="1" applyBorder="1" applyAlignment="1">
      <alignment horizontal="center" vertical="center" wrapText="1"/>
    </xf>
    <xf numFmtId="0" fontId="19" fillId="14" borderId="49" xfId="0" applyFont="1" applyFill="1" applyBorder="1" applyAlignment="1">
      <alignment horizontal="center" vertical="center"/>
    </xf>
    <xf numFmtId="0" fontId="19" fillId="14" borderId="48" xfId="0" applyFont="1" applyFill="1" applyBorder="1" applyAlignment="1">
      <alignment horizontal="center" vertical="center"/>
    </xf>
    <xf numFmtId="0" fontId="19" fillId="14" borderId="82" xfId="0" applyFont="1" applyFill="1" applyBorder="1" applyAlignment="1">
      <alignment horizontal="center" vertical="center"/>
    </xf>
    <xf numFmtId="3" fontId="19" fillId="14" borderId="11" xfId="0" applyNumberFormat="1" applyFont="1" applyFill="1" applyBorder="1" applyAlignment="1">
      <alignment horizontal="center" vertical="center" wrapText="1"/>
    </xf>
    <xf numFmtId="0" fontId="4" fillId="14" borderId="50"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69" xfId="0" applyFont="1" applyFill="1" applyBorder="1" applyAlignment="1">
      <alignment horizontal="center" vertical="center" wrapText="1"/>
    </xf>
    <xf numFmtId="0" fontId="19" fillId="14" borderId="24"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6" xfId="0" applyFont="1" applyFill="1" applyBorder="1" applyAlignment="1">
      <alignment horizontal="center" vertical="center" wrapText="1"/>
    </xf>
    <xf numFmtId="0" fontId="19" fillId="14" borderId="83" xfId="0" applyFont="1" applyFill="1" applyBorder="1" applyAlignment="1">
      <alignment horizontal="center" vertical="center" wrapText="1"/>
    </xf>
    <xf numFmtId="0" fontId="19" fillId="14" borderId="28" xfId="0" applyFont="1" applyFill="1" applyBorder="1" applyAlignment="1">
      <alignment horizontal="center" vertical="center" wrapText="1"/>
    </xf>
    <xf numFmtId="171" fontId="19" fillId="14" borderId="11" xfId="0" applyNumberFormat="1" applyFont="1" applyFill="1" applyBorder="1" applyAlignment="1">
      <alignment horizontal="center" vertical="center" wrapText="1"/>
    </xf>
    <xf numFmtId="171" fontId="19" fillId="14" borderId="50" xfId="0" applyNumberFormat="1" applyFont="1" applyFill="1" applyBorder="1" applyAlignment="1">
      <alignment horizontal="center" vertical="center" wrapText="1"/>
    </xf>
    <xf numFmtId="0" fontId="19" fillId="14" borderId="10" xfId="0" applyFont="1" applyFill="1" applyBorder="1" applyAlignment="1">
      <alignment horizontal="center" vertical="center" wrapText="1"/>
    </xf>
    <xf numFmtId="0" fontId="2" fillId="14" borderId="53" xfId="0" applyFont="1" applyFill="1" applyBorder="1" applyAlignment="1">
      <alignment horizontal="center"/>
    </xf>
    <xf numFmtId="0" fontId="2" fillId="14" borderId="84" xfId="0" applyFont="1" applyFill="1" applyBorder="1" applyAlignment="1">
      <alignment horizontal="center"/>
    </xf>
    <xf numFmtId="0" fontId="2" fillId="14" borderId="49" xfId="0" applyFont="1" applyFill="1" applyBorder="1" applyAlignment="1">
      <alignment horizontal="center"/>
    </xf>
    <xf numFmtId="0" fontId="19" fillId="14" borderId="65" xfId="0" applyFont="1" applyFill="1" applyBorder="1" applyAlignment="1">
      <alignment horizontal="center" vertical="center" wrapText="1"/>
    </xf>
    <xf numFmtId="0" fontId="19" fillId="14" borderId="66" xfId="0" applyFont="1" applyFill="1" applyBorder="1" applyAlignment="1">
      <alignment horizontal="center" vertical="center" wrapText="1"/>
    </xf>
    <xf numFmtId="0" fontId="19" fillId="14" borderId="65" xfId="0" applyFont="1" applyFill="1" applyBorder="1" applyAlignment="1">
      <alignment horizontal="center" vertical="center"/>
    </xf>
    <xf numFmtId="0" fontId="19" fillId="14" borderId="67" xfId="0" applyFont="1" applyFill="1" applyBorder="1" applyAlignment="1">
      <alignment horizontal="center" vertical="center"/>
    </xf>
    <xf numFmtId="0" fontId="19" fillId="14" borderId="76" xfId="0" applyFont="1" applyFill="1" applyBorder="1" applyAlignment="1">
      <alignment horizontal="center"/>
    </xf>
    <xf numFmtId="0" fontId="19" fillId="14" borderId="52" xfId="0" applyFont="1" applyFill="1" applyBorder="1" applyAlignment="1">
      <alignment horizontal="center" vertical="center" wrapText="1"/>
    </xf>
    <xf numFmtId="0" fontId="19" fillId="14" borderId="7" xfId="0" applyFont="1" applyFill="1" applyBorder="1" applyAlignment="1">
      <alignment horizontal="center" vertical="center" wrapText="1"/>
    </xf>
    <xf numFmtId="0" fontId="19" fillId="14" borderId="39" xfId="0" applyFont="1" applyFill="1" applyBorder="1" applyAlignment="1">
      <alignment horizontal="center" vertical="center" wrapText="1"/>
    </xf>
    <xf numFmtId="0" fontId="19" fillId="14" borderId="54" xfId="0" applyFont="1" applyFill="1" applyBorder="1" applyAlignment="1">
      <alignment horizontal="center" vertical="center" wrapText="1"/>
    </xf>
    <xf numFmtId="0" fontId="19" fillId="14" borderId="81" xfId="0" applyFont="1" applyFill="1" applyBorder="1" applyAlignment="1">
      <alignment horizontal="center" vertical="center" wrapText="1"/>
    </xf>
    <xf numFmtId="0" fontId="19" fillId="14" borderId="84" xfId="0" applyFont="1" applyFill="1" applyBorder="1" applyAlignment="1">
      <alignment horizontal="center" vertical="center"/>
    </xf>
    <xf numFmtId="0" fontId="19" fillId="14" borderId="0" xfId="0" applyFont="1" applyFill="1" applyAlignment="1">
      <alignment horizontal="center" vertical="center"/>
    </xf>
    <xf numFmtId="0" fontId="19" fillId="14" borderId="74" xfId="0" applyFont="1" applyFill="1" applyBorder="1" applyAlignment="1">
      <alignment horizontal="center"/>
    </xf>
    <xf numFmtId="0" fontId="19" fillId="14" borderId="34" xfId="0" applyFont="1" applyFill="1" applyBorder="1" applyAlignment="1">
      <alignment horizontal="center"/>
    </xf>
    <xf numFmtId="0" fontId="2" fillId="0" borderId="4" xfId="0" applyFont="1" applyBorder="1" applyAlignment="1">
      <alignment horizontal="left" vertical="center" wrapText="1"/>
    </xf>
    <xf numFmtId="0" fontId="2" fillId="0" borderId="2" xfId="0" applyFont="1" applyBorder="1" applyAlignment="1">
      <alignment horizontal="center" vertical="center"/>
    </xf>
    <xf numFmtId="0" fontId="19" fillId="14" borderId="49" xfId="0" applyFont="1" applyFill="1" applyBorder="1" applyAlignment="1">
      <alignment horizontal="center" vertical="center" wrapText="1"/>
    </xf>
    <xf numFmtId="0" fontId="19" fillId="14" borderId="48" xfId="0" applyFont="1" applyFill="1" applyBorder="1" applyAlignment="1">
      <alignment horizontal="center" vertical="center" wrapText="1"/>
    </xf>
    <xf numFmtId="0" fontId="19" fillId="14" borderId="82" xfId="0" applyFont="1" applyFill="1" applyBorder="1" applyAlignment="1">
      <alignment horizontal="center" vertical="center" wrapText="1"/>
    </xf>
    <xf numFmtId="42" fontId="19" fillId="14" borderId="11" xfId="8" applyFont="1" applyFill="1" applyBorder="1" applyAlignment="1">
      <alignment horizontal="center" vertical="center" wrapText="1"/>
    </xf>
    <xf numFmtId="0" fontId="19" fillId="14" borderId="53" xfId="0" applyFont="1" applyFill="1" applyBorder="1" applyAlignment="1">
      <alignment horizontal="center" vertical="center" wrapText="1"/>
    </xf>
    <xf numFmtId="0" fontId="19" fillId="14" borderId="51" xfId="0" applyFont="1" applyFill="1" applyBorder="1" applyAlignment="1">
      <alignment horizontal="center" vertical="center" wrapText="1"/>
    </xf>
    <xf numFmtId="0" fontId="19" fillId="14" borderId="24" xfId="0" applyFont="1" applyFill="1" applyBorder="1" applyAlignment="1">
      <alignment horizontal="left" vertical="center" wrapText="1"/>
    </xf>
    <xf numFmtId="0" fontId="19" fillId="14" borderId="26" xfId="0" applyFont="1" applyFill="1" applyBorder="1" applyAlignment="1">
      <alignment horizontal="left" vertical="center" wrapText="1"/>
    </xf>
    <xf numFmtId="0" fontId="19" fillId="14" borderId="1" xfId="0" applyFont="1" applyFill="1" applyBorder="1" applyAlignment="1">
      <alignment horizontal="left" vertical="center" wrapText="1"/>
    </xf>
    <xf numFmtId="0" fontId="19" fillId="14" borderId="18" xfId="0" applyFont="1" applyFill="1" applyBorder="1" applyAlignment="1">
      <alignment horizontal="left" vertical="center" wrapText="1"/>
    </xf>
    <xf numFmtId="0" fontId="19" fillId="14" borderId="19" xfId="0" applyFont="1" applyFill="1" applyBorder="1" applyAlignment="1">
      <alignment horizontal="left" vertical="center" wrapText="1"/>
    </xf>
    <xf numFmtId="0" fontId="19" fillId="14" borderId="21" xfId="0" applyFont="1" applyFill="1" applyBorder="1" applyAlignment="1">
      <alignment horizontal="left" vertical="center" wrapText="1"/>
    </xf>
    <xf numFmtId="0" fontId="19" fillId="14" borderId="81" xfId="0" applyFont="1" applyFill="1" applyBorder="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19" fillId="16" borderId="49" xfId="0" applyFont="1" applyFill="1" applyBorder="1" applyAlignment="1">
      <alignment horizontal="center" vertical="center" wrapText="1"/>
    </xf>
    <xf numFmtId="0" fontId="19" fillId="16" borderId="48" xfId="0" applyFont="1" applyFill="1" applyBorder="1" applyAlignment="1">
      <alignment horizontal="center" vertical="center" wrapText="1"/>
    </xf>
    <xf numFmtId="0" fontId="19" fillId="16" borderId="82" xfId="0" applyFont="1" applyFill="1" applyBorder="1" applyAlignment="1">
      <alignment horizontal="center" vertical="center" wrapText="1"/>
    </xf>
    <xf numFmtId="0" fontId="19" fillId="14" borderId="15" xfId="0" applyFont="1" applyFill="1" applyBorder="1" applyAlignment="1">
      <alignment horizontal="left" vertical="center" wrapText="1"/>
    </xf>
    <xf numFmtId="0" fontId="19" fillId="14" borderId="47" xfId="0" applyFont="1" applyFill="1" applyBorder="1" applyAlignment="1">
      <alignment horizontal="left" vertical="center" wrapText="1"/>
    </xf>
    <xf numFmtId="0" fontId="19" fillId="0" borderId="0" xfId="0" applyFont="1" applyAlignment="1">
      <alignment horizontal="center" vertical="center"/>
    </xf>
    <xf numFmtId="0" fontId="19" fillId="14" borderId="53" xfId="0" applyFont="1" applyFill="1" applyBorder="1" applyAlignment="1">
      <alignment horizontal="center" vertical="center"/>
    </xf>
    <xf numFmtId="0" fontId="19" fillId="14" borderId="14" xfId="0" applyFont="1" applyFill="1" applyBorder="1" applyAlignment="1">
      <alignment horizontal="center" vertical="center"/>
    </xf>
    <xf numFmtId="0" fontId="19" fillId="14" borderId="54" xfId="0" applyFont="1" applyFill="1" applyBorder="1" applyAlignment="1">
      <alignment horizontal="center" vertical="center"/>
    </xf>
    <xf numFmtId="0" fontId="19" fillId="14" borderId="11" xfId="0" applyFont="1" applyFill="1" applyBorder="1" applyAlignment="1">
      <alignment horizontal="center"/>
    </xf>
    <xf numFmtId="1" fontId="16" fillId="14" borderId="50" xfId="0" applyNumberFormat="1" applyFont="1" applyFill="1" applyBorder="1" applyAlignment="1">
      <alignment horizontal="center" vertical="center" wrapText="1"/>
    </xf>
    <xf numFmtId="1" fontId="16" fillId="14" borderId="70" xfId="0" applyNumberFormat="1" applyFont="1" applyFill="1" applyBorder="1" applyAlignment="1">
      <alignment horizontal="center" vertical="center" wrapText="1"/>
    </xf>
    <xf numFmtId="1" fontId="16" fillId="14" borderId="11" xfId="0" applyNumberFormat="1"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76" xfId="0" applyFont="1" applyFill="1" applyBorder="1" applyAlignment="1">
      <alignment horizontal="center" vertical="center" wrapText="1"/>
    </xf>
    <xf numFmtId="0" fontId="4" fillId="14" borderId="49" xfId="0" applyFont="1" applyFill="1" applyBorder="1" applyAlignment="1">
      <alignment horizontal="center"/>
    </xf>
    <xf numFmtId="0" fontId="4" fillId="14" borderId="48" xfId="0" applyFont="1" applyFill="1" applyBorder="1" applyAlignment="1">
      <alignment horizontal="center"/>
    </xf>
    <xf numFmtId="0" fontId="4" fillId="14" borderId="12"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76" xfId="0" applyFont="1" applyFill="1" applyBorder="1" applyAlignment="1">
      <alignment horizontal="center" vertical="center"/>
    </xf>
    <xf numFmtId="0" fontId="4" fillId="0" borderId="0" xfId="0" applyFont="1" applyAlignment="1">
      <alignment horizontal="center" vertical="center"/>
    </xf>
    <xf numFmtId="0" fontId="0" fillId="14" borderId="53" xfId="0" applyFont="1" applyFill="1" applyBorder="1" applyAlignment="1">
      <alignment horizontal="center"/>
    </xf>
    <xf numFmtId="0" fontId="0" fillId="14" borderId="84" xfId="0" applyFont="1" applyFill="1" applyBorder="1" applyAlignment="1">
      <alignment horizontal="center"/>
    </xf>
    <xf numFmtId="0" fontId="0" fillId="14" borderId="49" xfId="0" applyFont="1" applyFill="1" applyBorder="1" applyAlignment="1">
      <alignment horizontal="center"/>
    </xf>
    <xf numFmtId="0" fontId="4" fillId="14" borderId="24" xfId="0" applyFont="1" applyFill="1" applyBorder="1" applyAlignment="1">
      <alignment horizontal="left" vertical="center" wrapText="1"/>
    </xf>
    <xf numFmtId="0" fontId="4" fillId="14" borderId="26"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18" xfId="0" applyFont="1" applyFill="1" applyBorder="1" applyAlignment="1">
      <alignment horizontal="left" vertical="center" wrapText="1"/>
    </xf>
    <xf numFmtId="0" fontId="4" fillId="14" borderId="19" xfId="0" applyFont="1" applyFill="1" applyBorder="1" applyAlignment="1">
      <alignment horizontal="left" vertical="center" wrapText="1"/>
    </xf>
    <xf numFmtId="0" fontId="4" fillId="14" borderId="21" xfId="0" applyFont="1" applyFill="1" applyBorder="1" applyAlignment="1">
      <alignment horizontal="left" vertical="center" wrapText="1"/>
    </xf>
    <xf numFmtId="0" fontId="4" fillId="14" borderId="36" xfId="0" applyFont="1" applyFill="1" applyBorder="1" applyAlignment="1">
      <alignment horizontal="center" vertical="center" wrapText="1"/>
    </xf>
    <xf numFmtId="1" fontId="4" fillId="14" borderId="11" xfId="0" applyNumberFormat="1" applyFont="1" applyFill="1" applyBorder="1" applyAlignment="1">
      <alignment horizontal="center" vertical="center" wrapText="1"/>
    </xf>
    <xf numFmtId="1" fontId="4" fillId="14" borderId="50" xfId="0" applyNumberFormat="1" applyFont="1" applyFill="1" applyBorder="1" applyAlignment="1">
      <alignment horizontal="center" vertical="center" wrapText="1"/>
    </xf>
    <xf numFmtId="1" fontId="4" fillId="14" borderId="70" xfId="0" applyNumberFormat="1" applyFont="1" applyFill="1" applyBorder="1" applyAlignment="1">
      <alignment horizontal="center" vertical="center" wrapText="1"/>
    </xf>
    <xf numFmtId="0" fontId="4" fillId="14" borderId="8" xfId="0" applyFont="1" applyFill="1" applyBorder="1" applyAlignment="1">
      <alignment horizontal="center" vertical="center" wrapText="1"/>
    </xf>
    <xf numFmtId="0" fontId="19" fillId="14" borderId="74" xfId="0" applyFont="1" applyFill="1" applyBorder="1" applyAlignment="1">
      <alignment horizontal="center" vertical="center" wrapText="1"/>
    </xf>
    <xf numFmtId="0" fontId="16" fillId="14" borderId="12" xfId="0" applyFont="1" applyFill="1" applyBorder="1" applyAlignment="1">
      <alignment horizontal="center" vertical="center"/>
    </xf>
    <xf numFmtId="0" fontId="16" fillId="14" borderId="13" xfId="0" applyFont="1" applyFill="1" applyBorder="1" applyAlignment="1">
      <alignment horizontal="center" vertical="center"/>
    </xf>
    <xf numFmtId="0" fontId="16" fillId="14" borderId="76" xfId="0" applyFont="1" applyFill="1" applyBorder="1" applyAlignment="1">
      <alignment horizontal="center" vertical="center"/>
    </xf>
    <xf numFmtId="1" fontId="16" fillId="14" borderId="51" xfId="0" applyNumberFormat="1" applyFont="1" applyFill="1" applyBorder="1" applyAlignment="1">
      <alignment horizontal="center" vertical="center" wrapText="1"/>
    </xf>
    <xf numFmtId="0" fontId="16" fillId="14" borderId="74" xfId="0" applyFont="1" applyFill="1" applyBorder="1" applyAlignment="1">
      <alignment horizontal="center" vertical="center"/>
    </xf>
    <xf numFmtId="3" fontId="16" fillId="14" borderId="11" xfId="0" applyNumberFormat="1" applyFont="1" applyFill="1" applyBorder="1" applyAlignment="1">
      <alignment horizontal="center" vertical="center" wrapText="1"/>
    </xf>
    <xf numFmtId="3" fontId="16" fillId="14" borderId="50" xfId="0" applyNumberFormat="1" applyFont="1" applyFill="1" applyBorder="1" applyAlignment="1">
      <alignment horizontal="center" vertical="center" wrapText="1"/>
    </xf>
    <xf numFmtId="0" fontId="16" fillId="14" borderId="39" xfId="0" applyFont="1" applyFill="1" applyBorder="1" applyAlignment="1">
      <alignment horizontal="center" vertical="center"/>
    </xf>
    <xf numFmtId="0" fontId="16" fillId="14" borderId="8" xfId="0" applyFont="1" applyFill="1" applyBorder="1" applyAlignment="1">
      <alignment horizontal="center" vertical="center"/>
    </xf>
    <xf numFmtId="0" fontId="16" fillId="14" borderId="69" xfId="0" applyFont="1" applyFill="1" applyBorder="1" applyAlignment="1">
      <alignment horizontal="center" vertical="center"/>
    </xf>
    <xf numFmtId="0" fontId="16" fillId="14" borderId="11" xfId="0" applyFont="1" applyFill="1" applyBorder="1" applyAlignment="1">
      <alignment horizontal="center" vertical="center" wrapText="1"/>
    </xf>
    <xf numFmtId="0" fontId="16" fillId="14" borderId="50"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19" fillId="14" borderId="36" xfId="0" applyFont="1" applyFill="1" applyBorder="1" applyAlignment="1">
      <alignment horizontal="center" vertical="center" wrapText="1"/>
    </xf>
    <xf numFmtId="166" fontId="4" fillId="14" borderId="11" xfId="0" applyNumberFormat="1" applyFont="1" applyFill="1" applyBorder="1" applyAlignment="1">
      <alignment horizontal="center" vertical="center" wrapText="1"/>
    </xf>
    <xf numFmtId="166" fontId="4" fillId="14" borderId="50" xfId="0" applyNumberFormat="1" applyFont="1" applyFill="1" applyBorder="1" applyAlignment="1">
      <alignment horizontal="center" vertical="center" wrapText="1"/>
    </xf>
    <xf numFmtId="0" fontId="16" fillId="14" borderId="53"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54" xfId="0" applyFont="1" applyFill="1" applyBorder="1" applyAlignment="1">
      <alignment horizontal="center" vertical="center" wrapText="1"/>
    </xf>
    <xf numFmtId="0" fontId="16" fillId="14" borderId="84" xfId="0" applyFont="1" applyFill="1" applyBorder="1" applyAlignment="1">
      <alignment horizontal="center" vertical="center" wrapText="1"/>
    </xf>
    <xf numFmtId="0" fontId="16" fillId="14" borderId="0" xfId="0" applyFont="1" applyFill="1" applyAlignment="1">
      <alignment horizontal="center" vertical="center" wrapText="1"/>
    </xf>
    <xf numFmtId="0" fontId="16" fillId="14" borderId="81" xfId="0" applyFont="1" applyFill="1" applyBorder="1" applyAlignment="1">
      <alignment horizontal="center" vertical="center" wrapText="1"/>
    </xf>
    <xf numFmtId="0" fontId="16" fillId="14" borderId="49" xfId="0" applyFont="1" applyFill="1" applyBorder="1" applyAlignment="1">
      <alignment horizontal="center" vertical="center" wrapText="1"/>
    </xf>
    <xf numFmtId="0" fontId="16" fillId="14" borderId="48" xfId="0" applyFont="1" applyFill="1" applyBorder="1" applyAlignment="1">
      <alignment horizontal="center" vertical="center" wrapText="1"/>
    </xf>
    <xf numFmtId="0" fontId="16" fillId="14" borderId="82" xfId="0" applyFont="1" applyFill="1" applyBorder="1" applyAlignment="1">
      <alignment horizontal="center" vertical="center" wrapText="1"/>
    </xf>
    <xf numFmtId="0" fontId="4" fillId="14" borderId="82" xfId="0" applyFont="1" applyFill="1" applyBorder="1" applyAlignment="1">
      <alignment horizontal="center"/>
    </xf>
    <xf numFmtId="0" fontId="0" fillId="14" borderId="50" xfId="0" applyFill="1" applyBorder="1" applyAlignment="1">
      <alignment horizontal="center"/>
    </xf>
    <xf numFmtId="0" fontId="0" fillId="14" borderId="70" xfId="0" applyFill="1" applyBorder="1" applyAlignment="1">
      <alignment horizontal="center"/>
    </xf>
    <xf numFmtId="0" fontId="0" fillId="14" borderId="51" xfId="0" applyFill="1" applyBorder="1" applyAlignment="1">
      <alignment horizontal="center"/>
    </xf>
    <xf numFmtId="166" fontId="4" fillId="14" borderId="70" xfId="0" applyNumberFormat="1" applyFont="1" applyFill="1" applyBorder="1" applyAlignment="1">
      <alignment horizontal="center" vertical="center" wrapText="1"/>
    </xf>
    <xf numFmtId="166" fontId="4" fillId="14" borderId="51" xfId="0" applyNumberFormat="1" applyFont="1" applyFill="1" applyBorder="1" applyAlignment="1">
      <alignment horizontal="center" vertical="center" wrapText="1"/>
    </xf>
    <xf numFmtId="0" fontId="17" fillId="14" borderId="17" xfId="0" applyFont="1" applyFill="1" applyBorder="1" applyAlignment="1">
      <alignment horizontal="center"/>
    </xf>
    <xf numFmtId="0" fontId="17" fillId="14" borderId="37" xfId="0" applyFont="1" applyFill="1" applyBorder="1" applyAlignment="1">
      <alignment horizontal="center"/>
    </xf>
    <xf numFmtId="0" fontId="4" fillId="14" borderId="11" xfId="0" applyFont="1" applyFill="1" applyBorder="1" applyAlignment="1">
      <alignment horizontal="center" vertical="center"/>
    </xf>
    <xf numFmtId="0" fontId="4" fillId="14" borderId="11" xfId="0" applyFont="1" applyFill="1" applyBorder="1" applyAlignment="1">
      <alignment horizontal="center"/>
    </xf>
    <xf numFmtId="0" fontId="19" fillId="14" borderId="16" xfId="0" applyFont="1" applyFill="1" applyBorder="1" applyAlignment="1">
      <alignment horizontal="left" vertical="center" wrapText="1"/>
    </xf>
    <xf numFmtId="0" fontId="19" fillId="14" borderId="9" xfId="0" applyFont="1" applyFill="1" applyBorder="1" applyAlignment="1">
      <alignment horizontal="left" vertical="center" wrapText="1"/>
    </xf>
    <xf numFmtId="0" fontId="19" fillId="14" borderId="31" xfId="0" applyFont="1" applyFill="1" applyBorder="1" applyAlignment="1">
      <alignment horizontal="left" vertical="center" wrapText="1"/>
    </xf>
    <xf numFmtId="166" fontId="4" fillId="14" borderId="12" xfId="0" applyNumberFormat="1" applyFont="1" applyFill="1" applyBorder="1" applyAlignment="1">
      <alignment horizontal="center"/>
    </xf>
    <xf numFmtId="166" fontId="4" fillId="14" borderId="13" xfId="0" applyNumberFormat="1" applyFont="1" applyFill="1" applyBorder="1" applyAlignment="1">
      <alignment horizontal="center"/>
    </xf>
    <xf numFmtId="166" fontId="4" fillId="14" borderId="76" xfId="0" applyNumberFormat="1" applyFont="1" applyFill="1" applyBorder="1" applyAlignment="1">
      <alignment horizontal="center"/>
    </xf>
    <xf numFmtId="166" fontId="4" fillId="14" borderId="12" xfId="0" applyNumberFormat="1" applyFont="1" applyFill="1" applyBorder="1" applyAlignment="1">
      <alignment horizontal="center" vertical="center"/>
    </xf>
    <xf numFmtId="166" fontId="4" fillId="14" borderId="13" xfId="0" applyNumberFormat="1" applyFont="1" applyFill="1" applyBorder="1" applyAlignment="1">
      <alignment horizontal="center" vertical="center"/>
    </xf>
    <xf numFmtId="166" fontId="4" fillId="14" borderId="76" xfId="0" applyNumberFormat="1" applyFont="1" applyFill="1" applyBorder="1" applyAlignment="1">
      <alignment horizontal="center" vertical="center"/>
    </xf>
    <xf numFmtId="166" fontId="4" fillId="14" borderId="19" xfId="0" applyNumberFormat="1" applyFont="1" applyFill="1" applyBorder="1" applyAlignment="1">
      <alignment horizontal="center" vertical="center"/>
    </xf>
    <xf numFmtId="166" fontId="4" fillId="14" borderId="20" xfId="0" applyNumberFormat="1" applyFont="1" applyFill="1" applyBorder="1" applyAlignment="1">
      <alignment horizontal="center" vertical="center"/>
    </xf>
    <xf numFmtId="166" fontId="19" fillId="14" borderId="11" xfId="0" applyNumberFormat="1" applyFont="1" applyFill="1" applyBorder="1" applyAlignment="1">
      <alignment horizontal="center" vertical="center" wrapText="1"/>
    </xf>
    <xf numFmtId="166" fontId="19" fillId="14" borderId="50" xfId="0" applyNumberFormat="1" applyFont="1" applyFill="1" applyBorder="1" applyAlignment="1">
      <alignment horizontal="center" vertical="center" wrapText="1"/>
    </xf>
    <xf numFmtId="0" fontId="16" fillId="14" borderId="17" xfId="0" applyFont="1" applyFill="1" applyBorder="1" applyAlignment="1">
      <alignment horizontal="center"/>
    </xf>
    <xf numFmtId="0" fontId="16" fillId="14" borderId="37" xfId="0" applyFont="1" applyFill="1" applyBorder="1" applyAlignment="1">
      <alignment horizontal="center"/>
    </xf>
    <xf numFmtId="0" fontId="4" fillId="14" borderId="3" xfId="0" applyFont="1" applyFill="1" applyBorder="1" applyAlignment="1">
      <alignment horizontal="center" vertical="center" wrapText="1"/>
    </xf>
    <xf numFmtId="0" fontId="4" fillId="14" borderId="69" xfId="0" applyFont="1" applyFill="1" applyBorder="1" applyAlignment="1">
      <alignment horizontal="center" vertical="center" wrapText="1"/>
    </xf>
    <xf numFmtId="0" fontId="16" fillId="14" borderId="19" xfId="0" applyFont="1" applyFill="1" applyBorder="1" applyAlignment="1">
      <alignment horizontal="center"/>
    </xf>
    <xf numFmtId="0" fontId="16" fillId="14" borderId="20" xfId="0" applyFont="1" applyFill="1" applyBorder="1" applyAlignment="1">
      <alignment horizontal="center"/>
    </xf>
    <xf numFmtId="0" fontId="4" fillId="14" borderId="65" xfId="0" applyFont="1" applyFill="1" applyBorder="1" applyAlignment="1">
      <alignment horizontal="center" vertical="center" wrapText="1"/>
    </xf>
    <xf numFmtId="0" fontId="4" fillId="14" borderId="66"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3" fillId="14" borderId="50" xfId="0" applyFont="1" applyFill="1" applyBorder="1" applyAlignment="1">
      <alignment horizontal="center"/>
    </xf>
    <xf numFmtId="0" fontId="3" fillId="14" borderId="70" xfId="0" applyFont="1" applyFill="1" applyBorder="1" applyAlignment="1">
      <alignment horizontal="center"/>
    </xf>
    <xf numFmtId="0" fontId="3" fillId="14" borderId="51" xfId="0" applyFont="1" applyFill="1" applyBorder="1" applyAlignment="1">
      <alignment horizontal="center"/>
    </xf>
    <xf numFmtId="171" fontId="4" fillId="14" borderId="11" xfId="0" applyNumberFormat="1" applyFont="1" applyFill="1" applyBorder="1" applyAlignment="1">
      <alignment horizontal="center" vertical="center" wrapText="1"/>
    </xf>
    <xf numFmtId="0" fontId="4" fillId="14" borderId="36" xfId="0" applyFont="1" applyFill="1" applyBorder="1" applyAlignment="1">
      <alignment horizontal="center" vertical="center"/>
    </xf>
    <xf numFmtId="164" fontId="4" fillId="14" borderId="12" xfId="1" applyFont="1" applyFill="1" applyBorder="1" applyAlignment="1">
      <alignment horizontal="center" vertical="center" wrapText="1"/>
    </xf>
    <xf numFmtId="164" fontId="4" fillId="14" borderId="13" xfId="1" applyFont="1" applyFill="1" applyBorder="1" applyAlignment="1">
      <alignment horizontal="center" vertical="center" wrapText="1"/>
    </xf>
    <xf numFmtId="164" fontId="4" fillId="14" borderId="36" xfId="1" applyFont="1" applyFill="1" applyBorder="1" applyAlignment="1">
      <alignment horizontal="center" vertical="center" wrapText="1"/>
    </xf>
    <xf numFmtId="0" fontId="19" fillId="14" borderId="53" xfId="0" applyFont="1" applyFill="1" applyBorder="1" applyAlignment="1">
      <alignment horizontal="left" vertical="center" wrapText="1"/>
    </xf>
    <xf numFmtId="0" fontId="19" fillId="14" borderId="54" xfId="0" applyFont="1" applyFill="1" applyBorder="1" applyAlignment="1">
      <alignment horizontal="left" vertical="center" wrapText="1"/>
    </xf>
    <xf numFmtId="0" fontId="19" fillId="14" borderId="84" xfId="0" applyFont="1" applyFill="1" applyBorder="1" applyAlignment="1">
      <alignment horizontal="left" vertical="center" wrapText="1"/>
    </xf>
    <xf numFmtId="0" fontId="19" fillId="14" borderId="81" xfId="0" applyFont="1" applyFill="1" applyBorder="1" applyAlignment="1">
      <alignment horizontal="left" vertical="center" wrapText="1"/>
    </xf>
    <xf numFmtId="0" fontId="19" fillId="14" borderId="49" xfId="0" applyFont="1" applyFill="1" applyBorder="1" applyAlignment="1">
      <alignment horizontal="left" vertical="center" wrapText="1"/>
    </xf>
    <xf numFmtId="0" fontId="19" fillId="14" borderId="82" xfId="0" applyFont="1" applyFill="1" applyBorder="1" applyAlignment="1">
      <alignment horizontal="left" vertical="center" wrapText="1"/>
    </xf>
    <xf numFmtId="0" fontId="19" fillId="14" borderId="17" xfId="0" applyFont="1" applyFill="1" applyBorder="1" applyAlignment="1">
      <alignment horizontal="center" vertical="center" wrapText="1"/>
    </xf>
    <xf numFmtId="0" fontId="19" fillId="14" borderId="37" xfId="0" applyFont="1" applyFill="1" applyBorder="1" applyAlignment="1">
      <alignment horizontal="center" vertical="center" wrapText="1"/>
    </xf>
    <xf numFmtId="0" fontId="0" fillId="14" borderId="33" xfId="0" applyFill="1" applyBorder="1" applyAlignment="1">
      <alignment horizontal="center"/>
    </xf>
    <xf numFmtId="0" fontId="0" fillId="14" borderId="34" xfId="0" applyFill="1" applyBorder="1" applyAlignment="1">
      <alignment horizontal="center"/>
    </xf>
    <xf numFmtId="42" fontId="4" fillId="14" borderId="51" xfId="8" applyFont="1" applyFill="1" applyBorder="1" applyAlignment="1">
      <alignment horizontal="center" vertical="center" wrapText="1"/>
    </xf>
    <xf numFmtId="42" fontId="4" fillId="14" borderId="11" xfId="8" applyFont="1" applyFill="1" applyBorder="1" applyAlignment="1">
      <alignment horizontal="center" vertical="center" wrapText="1"/>
    </xf>
    <xf numFmtId="42" fontId="4" fillId="14" borderId="50" xfId="8" applyFont="1" applyFill="1" applyBorder="1" applyAlignment="1">
      <alignment horizontal="center" vertical="center" wrapText="1"/>
    </xf>
    <xf numFmtId="166" fontId="19" fillId="14" borderId="33" xfId="0" applyNumberFormat="1" applyFont="1" applyFill="1" applyBorder="1" applyAlignment="1">
      <alignment horizontal="center" vertical="center"/>
    </xf>
    <xf numFmtId="166" fontId="19" fillId="14" borderId="34" xfId="0" applyNumberFormat="1" applyFont="1" applyFill="1" applyBorder="1" applyAlignment="1">
      <alignment horizontal="center" vertical="center"/>
    </xf>
    <xf numFmtId="0" fontId="16" fillId="14" borderId="12" xfId="0" applyFont="1" applyFill="1" applyBorder="1" applyAlignment="1">
      <alignment horizontal="center"/>
    </xf>
    <xf numFmtId="0" fontId="16" fillId="14" borderId="13" xfId="0" applyFont="1" applyFill="1" applyBorder="1" applyAlignment="1">
      <alignment horizontal="center"/>
    </xf>
    <xf numFmtId="0" fontId="16" fillId="14" borderId="76" xfId="0" applyFont="1" applyFill="1" applyBorder="1" applyAlignment="1">
      <alignment horizontal="center"/>
    </xf>
    <xf numFmtId="164" fontId="4" fillId="14" borderId="33" xfId="1" applyFont="1" applyFill="1" applyBorder="1" applyAlignment="1">
      <alignment horizontal="center" vertical="center"/>
    </xf>
    <xf numFmtId="164" fontId="4" fillId="14" borderId="34" xfId="1" applyFont="1" applyFill="1" applyBorder="1" applyAlignment="1">
      <alignment horizontal="center" vertical="center"/>
    </xf>
    <xf numFmtId="171" fontId="4" fillId="14" borderId="70" xfId="0" applyNumberFormat="1" applyFont="1" applyFill="1" applyBorder="1" applyAlignment="1">
      <alignment horizontal="center" vertical="center" wrapText="1"/>
    </xf>
    <xf numFmtId="0" fontId="2" fillId="0" borderId="0" xfId="0" applyFont="1" applyAlignment="1">
      <alignment horizontal="left"/>
    </xf>
    <xf numFmtId="0" fontId="2" fillId="3" borderId="0" xfId="0" applyFont="1" applyFill="1" applyAlignment="1">
      <alignment horizontal="left"/>
    </xf>
    <xf numFmtId="0" fontId="19" fillId="14" borderId="33" xfId="0" applyFont="1" applyFill="1" applyBorder="1" applyAlignment="1">
      <alignment horizontal="center" vertical="center" wrapText="1"/>
    </xf>
    <xf numFmtId="0" fontId="19" fillId="14" borderId="34"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4" fillId="14" borderId="53" xfId="0" applyFont="1" applyFill="1" applyBorder="1" applyAlignment="1">
      <alignment horizontal="center"/>
    </xf>
    <xf numFmtId="0" fontId="4" fillId="14" borderId="14" xfId="0" applyFont="1" applyFill="1" applyBorder="1" applyAlignment="1">
      <alignment horizontal="center"/>
    </xf>
    <xf numFmtId="0" fontId="4" fillId="14" borderId="54" xfId="0" applyFont="1" applyFill="1" applyBorder="1" applyAlignment="1">
      <alignment horizontal="center"/>
    </xf>
    <xf numFmtId="0" fontId="8" fillId="14" borderId="12"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76" xfId="0" applyFont="1" applyFill="1" applyBorder="1" applyAlignment="1">
      <alignment horizontal="center" vertical="center" wrapText="1"/>
    </xf>
    <xf numFmtId="173" fontId="4" fillId="32" borderId="50" xfId="0" applyNumberFormat="1" applyFont="1" applyFill="1" applyBorder="1" applyAlignment="1">
      <alignment horizontal="center" vertical="center" wrapText="1"/>
    </xf>
    <xf numFmtId="173" fontId="4" fillId="32" borderId="51" xfId="0" applyNumberFormat="1" applyFont="1" applyFill="1" applyBorder="1" applyAlignment="1">
      <alignment horizontal="center" vertical="center" wrapText="1"/>
    </xf>
    <xf numFmtId="0" fontId="16" fillId="14" borderId="49" xfId="0" applyFont="1" applyFill="1" applyBorder="1" applyAlignment="1">
      <alignment horizontal="center"/>
    </xf>
    <xf numFmtId="0" fontId="16" fillId="14" borderId="48" xfId="0" applyFont="1" applyFill="1" applyBorder="1" applyAlignment="1">
      <alignment horizontal="center"/>
    </xf>
    <xf numFmtId="0" fontId="16" fillId="14" borderId="74" xfId="0" applyFont="1" applyFill="1" applyBorder="1" applyAlignment="1">
      <alignment horizontal="center"/>
    </xf>
    <xf numFmtId="0" fontId="4" fillId="14" borderId="50" xfId="0" applyFont="1" applyFill="1" applyBorder="1" applyAlignment="1">
      <alignment horizontal="center" vertical="center"/>
    </xf>
    <xf numFmtId="0" fontId="4" fillId="14" borderId="70" xfId="0" applyFont="1" applyFill="1" applyBorder="1" applyAlignment="1">
      <alignment horizontal="center" vertical="center"/>
    </xf>
    <xf numFmtId="0" fontId="4" fillId="14" borderId="51" xfId="0" applyFont="1" applyFill="1" applyBorder="1" applyAlignment="1">
      <alignment horizontal="center" vertical="center"/>
    </xf>
    <xf numFmtId="173" fontId="19" fillId="32" borderId="70" xfId="0" applyNumberFormat="1" applyFont="1" applyFill="1" applyBorder="1" applyAlignment="1">
      <alignment horizontal="center" vertical="center" wrapText="1"/>
    </xf>
    <xf numFmtId="0" fontId="19" fillId="14" borderId="48" xfId="0" applyFont="1" applyFill="1" applyBorder="1" applyAlignment="1">
      <alignment horizontal="left" vertical="center" wrapText="1"/>
    </xf>
    <xf numFmtId="0" fontId="19" fillId="14" borderId="0" xfId="0" applyFont="1" applyFill="1" applyAlignment="1">
      <alignment horizontal="left" vertical="center" wrapText="1"/>
    </xf>
    <xf numFmtId="0" fontId="19" fillId="14" borderId="14" xfId="0" applyFont="1" applyFill="1" applyBorder="1" applyAlignment="1">
      <alignment horizontal="left" vertical="center" wrapText="1"/>
    </xf>
    <xf numFmtId="0" fontId="19" fillId="14" borderId="49" xfId="0" applyFont="1" applyFill="1" applyBorder="1" applyAlignment="1">
      <alignment horizontal="center"/>
    </xf>
    <xf numFmtId="0" fontId="19" fillId="14" borderId="48" xfId="0" applyFont="1" applyFill="1" applyBorder="1" applyAlignment="1">
      <alignment horizontal="center"/>
    </xf>
    <xf numFmtId="0" fontId="19" fillId="14" borderId="82" xfId="0" applyFont="1" applyFill="1" applyBorder="1" applyAlignment="1">
      <alignment horizontal="center"/>
    </xf>
    <xf numFmtId="0" fontId="19" fillId="14" borderId="25" xfId="0" applyFont="1" applyFill="1" applyBorder="1" applyAlignment="1">
      <alignment horizontal="left" vertical="center" wrapText="1"/>
    </xf>
    <xf numFmtId="0" fontId="19" fillId="14" borderId="2" xfId="0" applyFont="1" applyFill="1" applyBorder="1" applyAlignment="1">
      <alignment horizontal="left" vertical="center" wrapText="1"/>
    </xf>
    <xf numFmtId="0" fontId="19" fillId="14" borderId="20" xfId="0" applyFont="1" applyFill="1" applyBorder="1" applyAlignment="1">
      <alignment horizontal="left" vertical="center" wrapText="1"/>
    </xf>
    <xf numFmtId="0" fontId="19" fillId="14" borderId="14" xfId="0" applyFont="1" applyFill="1" applyBorder="1" applyAlignment="1">
      <alignment horizontal="center" vertical="center" wrapText="1"/>
    </xf>
    <xf numFmtId="0" fontId="19" fillId="0" borderId="0" xfId="0" applyFont="1" applyAlignment="1">
      <alignment horizontal="left" vertical="center" wrapText="1"/>
    </xf>
    <xf numFmtId="0" fontId="4" fillId="14" borderId="51"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4" fillId="14" borderId="50" xfId="0" applyFont="1" applyFill="1" applyBorder="1" applyAlignment="1">
      <alignment horizontal="left" vertical="center" wrapText="1"/>
    </xf>
    <xf numFmtId="166" fontId="4" fillId="14" borderId="12" xfId="0" applyNumberFormat="1" applyFont="1" applyFill="1" applyBorder="1" applyAlignment="1">
      <alignment horizontal="center" vertical="center" wrapText="1"/>
    </xf>
    <xf numFmtId="166" fontId="4" fillId="14" borderId="13" xfId="0" applyNumberFormat="1" applyFont="1" applyFill="1" applyBorder="1" applyAlignment="1">
      <alignment horizontal="center" vertical="center" wrapText="1"/>
    </xf>
    <xf numFmtId="166" fontId="4" fillId="14" borderId="76" xfId="0" applyNumberFormat="1" applyFont="1" applyFill="1" applyBorder="1" applyAlignment="1">
      <alignment horizontal="center" vertical="center" wrapText="1"/>
    </xf>
    <xf numFmtId="166" fontId="4" fillId="14" borderId="50" xfId="0" applyNumberFormat="1" applyFont="1" applyFill="1" applyBorder="1" applyAlignment="1">
      <alignment horizontal="right" vertical="center" wrapText="1"/>
    </xf>
    <xf numFmtId="166" fontId="4" fillId="14" borderId="70" xfId="0" applyNumberFormat="1" applyFont="1" applyFill="1" applyBorder="1" applyAlignment="1">
      <alignment horizontal="right" vertical="center" wrapText="1"/>
    </xf>
    <xf numFmtId="166" fontId="4" fillId="14" borderId="94" xfId="6" applyNumberFormat="1" applyFont="1" applyFill="1" applyBorder="1" applyAlignment="1">
      <alignment horizontal="center" vertical="center" wrapText="1"/>
    </xf>
    <xf numFmtId="166" fontId="4" fillId="14" borderId="79" xfId="6" applyNumberFormat="1" applyFont="1" applyFill="1" applyBorder="1" applyAlignment="1">
      <alignment horizontal="center" vertical="center" wrapText="1"/>
    </xf>
    <xf numFmtId="0" fontId="4" fillId="14" borderId="78" xfId="0" applyFont="1" applyFill="1" applyBorder="1" applyAlignment="1">
      <alignment horizontal="center" vertical="center" wrapText="1"/>
    </xf>
    <xf numFmtId="166" fontId="4" fillId="14" borderId="49" xfId="0" applyNumberFormat="1" applyFont="1" applyFill="1" applyBorder="1" applyAlignment="1">
      <alignment horizontal="center" vertical="center" wrapText="1"/>
    </xf>
    <xf numFmtId="166" fontId="4" fillId="14" borderId="48" xfId="0" applyNumberFormat="1" applyFont="1" applyFill="1" applyBorder="1" applyAlignment="1">
      <alignment horizontal="center" vertical="center" wrapText="1"/>
    </xf>
    <xf numFmtId="166" fontId="4" fillId="14" borderId="82" xfId="0" applyNumberFormat="1" applyFont="1" applyFill="1" applyBorder="1" applyAlignment="1">
      <alignment horizontal="center" vertical="center" wrapText="1"/>
    </xf>
    <xf numFmtId="0" fontId="4" fillId="14" borderId="33" xfId="0" applyFont="1" applyFill="1" applyBorder="1" applyAlignment="1">
      <alignment horizontal="center" vertical="center"/>
    </xf>
    <xf numFmtId="0" fontId="4" fillId="14" borderId="34" xfId="0" applyFont="1" applyFill="1" applyBorder="1" applyAlignment="1">
      <alignment horizontal="center" vertical="center"/>
    </xf>
  </cellXfs>
  <cellStyles count="142">
    <cellStyle name="Millares" xfId="6" builtinId="3"/>
    <cellStyle name="Millares [0]" xfId="1" builtinId="6"/>
    <cellStyle name="Millares [0] 2" xfId="3"/>
    <cellStyle name="Millares [0] 2 2" xfId="11"/>
    <cellStyle name="Millares [0] 2 2 2" xfId="37"/>
    <cellStyle name="Millares [0] 2 2 2 2" xfId="103"/>
    <cellStyle name="Millares [0] 2 2 3" xfId="77"/>
    <cellStyle name="Millares [0] 2 3" xfId="14"/>
    <cellStyle name="Millares [0] 2 3 2" xfId="40"/>
    <cellStyle name="Millares [0] 2 3 2 2" xfId="106"/>
    <cellStyle name="Millares [0] 2 3 3" xfId="80"/>
    <cellStyle name="Millares [0] 2 4" xfId="19"/>
    <cellStyle name="Millares [0] 2 4 2" xfId="45"/>
    <cellStyle name="Millares [0] 2 4 2 2" xfId="111"/>
    <cellStyle name="Millares [0] 2 4 3" xfId="85"/>
    <cellStyle name="Millares [0] 2 5" xfId="32"/>
    <cellStyle name="Millares [0] 2 5 2" xfId="98"/>
    <cellStyle name="Millares [0] 2 6" xfId="71"/>
    <cellStyle name="Millares [0] 3" xfId="65"/>
    <cellStyle name="Millares 10" xfId="24"/>
    <cellStyle name="Millares 10 2" xfId="50"/>
    <cellStyle name="Millares 10 2 2" xfId="116"/>
    <cellStyle name="Millares 10 3" xfId="90"/>
    <cellStyle name="Millares 11" xfId="25"/>
    <cellStyle name="Millares 11 2" xfId="51"/>
    <cellStyle name="Millares 11 2 2" xfId="117"/>
    <cellStyle name="Millares 11 3" xfId="91"/>
    <cellStyle name="Millares 12" xfId="27"/>
    <cellStyle name="Millares 12 2" xfId="53"/>
    <cellStyle name="Millares 12 2 2" xfId="119"/>
    <cellStyle name="Millares 12 3" xfId="93"/>
    <cellStyle name="Millares 13" xfId="26"/>
    <cellStyle name="Millares 13 2" xfId="52"/>
    <cellStyle name="Millares 13 2 2" xfId="118"/>
    <cellStyle name="Millares 13 3" xfId="92"/>
    <cellStyle name="Millares 14" xfId="23"/>
    <cellStyle name="Millares 14 2" xfId="49"/>
    <cellStyle name="Millares 14 2 2" xfId="115"/>
    <cellStyle name="Millares 14 3" xfId="89"/>
    <cellStyle name="Millares 15" xfId="28"/>
    <cellStyle name="Millares 15 2" xfId="54"/>
    <cellStyle name="Millares 15 2 2" xfId="120"/>
    <cellStyle name="Millares 15 3" xfId="94"/>
    <cellStyle name="Millares 16" xfId="29"/>
    <cellStyle name="Millares 16 2" xfId="55"/>
    <cellStyle name="Millares 16 2 2" xfId="121"/>
    <cellStyle name="Millares 16 3" xfId="95"/>
    <cellStyle name="Millares 17" xfId="30"/>
    <cellStyle name="Millares 17 2" xfId="56"/>
    <cellStyle name="Millares 17 2 2" xfId="122"/>
    <cellStyle name="Millares 17 3" xfId="96"/>
    <cellStyle name="Millares 18" xfId="31"/>
    <cellStyle name="Millares 18 2" xfId="57"/>
    <cellStyle name="Millares 18 2 2" xfId="123"/>
    <cellStyle name="Millares 18 3" xfId="97"/>
    <cellStyle name="Millares 19" xfId="33"/>
    <cellStyle name="Millares 19 2" xfId="99"/>
    <cellStyle name="Millares 2" xfId="4"/>
    <cellStyle name="Millares 2 2" xfId="12"/>
    <cellStyle name="Millares 2 2 2" xfId="38"/>
    <cellStyle name="Millares 2 2 2 2" xfId="104"/>
    <cellStyle name="Millares 2 2 3" xfId="78"/>
    <cellStyle name="Millares 2 3" xfId="72"/>
    <cellStyle name="Millares 20" xfId="58"/>
    <cellStyle name="Millares 20 2" xfId="124"/>
    <cellStyle name="Millares 21" xfId="61"/>
    <cellStyle name="Millares 21 2" xfId="127"/>
    <cellStyle name="Millares 22" xfId="62"/>
    <cellStyle name="Millares 22 2" xfId="128"/>
    <cellStyle name="Millares 23" xfId="73"/>
    <cellStyle name="Millares 24" xfId="66"/>
    <cellStyle name="Millares 25" xfId="64"/>
    <cellStyle name="Millares 26" xfId="134"/>
    <cellStyle name="Millares 27" xfId="68"/>
    <cellStyle name="Millares 28" xfId="133"/>
    <cellStyle name="Millares 29" xfId="139"/>
    <cellStyle name="Millares 3" xfId="13"/>
    <cellStyle name="Millares 3 2" xfId="39"/>
    <cellStyle name="Millares 3 2 2" xfId="105"/>
    <cellStyle name="Millares 3 3" xfId="79"/>
    <cellStyle name="Millares 30" xfId="140"/>
    <cellStyle name="Millares 31" xfId="136"/>
    <cellStyle name="Millares 4" xfId="10"/>
    <cellStyle name="Millares 4 2" xfId="36"/>
    <cellStyle name="Millares 4 2 2" xfId="102"/>
    <cellStyle name="Millares 4 3" xfId="76"/>
    <cellStyle name="Millares 5" xfId="15"/>
    <cellStyle name="Millares 5 2" xfId="41"/>
    <cellStyle name="Millares 5 2 2" xfId="107"/>
    <cellStyle name="Millares 5 3" xfId="81"/>
    <cellStyle name="Millares 6" xfId="17"/>
    <cellStyle name="Millares 6 2" xfId="43"/>
    <cellStyle name="Millares 6 2 2" xfId="109"/>
    <cellStyle name="Millares 6 3" xfId="83"/>
    <cellStyle name="Millares 7" xfId="18"/>
    <cellStyle name="Millares 7 2" xfId="44"/>
    <cellStyle name="Millares 7 2 2" xfId="110"/>
    <cellStyle name="Millares 7 3" xfId="84"/>
    <cellStyle name="Millares 8" xfId="20"/>
    <cellStyle name="Millares 8 2" xfId="46"/>
    <cellStyle name="Millares 8 2 2" xfId="112"/>
    <cellStyle name="Millares 8 3" xfId="86"/>
    <cellStyle name="Millares 9" xfId="22"/>
    <cellStyle name="Millares 9 2" xfId="48"/>
    <cellStyle name="Millares 9 2 2" xfId="114"/>
    <cellStyle name="Millares 9 3" xfId="88"/>
    <cellStyle name="Moneda" xfId="7" builtinId="4"/>
    <cellStyle name="Moneda [0]" xfId="8" builtinId="7"/>
    <cellStyle name="Moneda [0] 2" xfId="35"/>
    <cellStyle name="Moneda [0] 2 2" xfId="101"/>
    <cellStyle name="Moneda [0] 3" xfId="75"/>
    <cellStyle name="Moneda [0] 4" xfId="70"/>
    <cellStyle name="Moneda 10" xfId="130"/>
    <cellStyle name="Moneda 11" xfId="135"/>
    <cellStyle name="Moneda 12" xfId="131"/>
    <cellStyle name="Moneda 13" xfId="137"/>
    <cellStyle name="Moneda 14" xfId="138"/>
    <cellStyle name="Moneda 15" xfId="141"/>
    <cellStyle name="Moneda 16" xfId="132"/>
    <cellStyle name="Moneda 2" xfId="16"/>
    <cellStyle name="Moneda 2 2" xfId="42"/>
    <cellStyle name="Moneda 2 2 2" xfId="108"/>
    <cellStyle name="Moneda 2 3" xfId="82"/>
    <cellStyle name="Moneda 3" xfId="21"/>
    <cellStyle name="Moneda 3 2" xfId="47"/>
    <cellStyle name="Moneda 3 2 2" xfId="113"/>
    <cellStyle name="Moneda 3 3" xfId="87"/>
    <cellStyle name="Moneda 4" xfId="34"/>
    <cellStyle name="Moneda 4 2" xfId="100"/>
    <cellStyle name="Moneda 5" xfId="59"/>
    <cellStyle name="Moneda 5 2" xfId="125"/>
    <cellStyle name="Moneda 6" xfId="60"/>
    <cellStyle name="Moneda 6 2" xfId="126"/>
    <cellStyle name="Moneda 7" xfId="63"/>
    <cellStyle name="Moneda 7 2" xfId="129"/>
    <cellStyle name="Moneda 8" xfId="74"/>
    <cellStyle name="Moneda 9" xfId="69"/>
    <cellStyle name="Normal" xfId="0" builtinId="0"/>
    <cellStyle name="Normal 2" xfId="9"/>
    <cellStyle name="Normal 2 2" xfId="2"/>
    <cellStyle name="Normal 4" xfId="67"/>
    <cellStyle name="Porcentaje" xfId="5" builtinId="5"/>
  </cellStyles>
  <dxfs count="13">
    <dxf>
      <font>
        <color rgb="FF9C0006"/>
      </font>
      <fill>
        <patternFill>
          <bgColor rgb="FFFFC7CE"/>
        </patternFill>
      </fill>
    </dxf>
    <dxf>
      <alignment wrapText="1" readingOrder="0"/>
    </dxf>
    <dxf>
      <alignment wrapText="1" readingOrder="0"/>
    </dxf>
    <dxf>
      <alignment wrapText="1" readingOrder="0"/>
    </dxf>
    <dxf>
      <alignment wrapText="1" readingOrder="0"/>
    </dxf>
    <dxf>
      <numFmt numFmtId="170" formatCode="_-&quot;$&quot;\ * #,##0_-;\-&quot;$&quot;\ * #,##0_-;_-&quot;$&quot;\ * &quot;-&quot;??_-;_-@_-"/>
    </dxf>
    <dxf>
      <numFmt numFmtId="170" formatCode="_-&quot;$&quot;\ * #,##0_-;\-&quot;$&quot;\ * #,##0_-;_-&quot;$&quot;\ * &quot;-&quot;??_-;_-@_-"/>
    </dxf>
    <dxf>
      <numFmt numFmtId="170" formatCode="_-&quot;$&quot;\ * #,##0_-;\-&quot;$&quot;\ * #,##0_-;_-&quot;$&quot;\ * &quot;-&quot;??_-;_-@_-"/>
    </dxf>
    <dxf>
      <numFmt numFmtId="176" formatCode="_-&quot;$&quot;\ * #,##0.0_-;\-&quot;$&quot;\ * #,##0.0_-;_-&quot;$&quot;\ * &quot;-&quot;??_-;_-@_-"/>
    </dxf>
    <dxf>
      <numFmt numFmtId="176" formatCode="_-&quot;$&quot;\ * #,##0.0_-;\-&quot;$&quot;\ * #,##0.0_-;_-&quot;$&quot;\ * &quot;-&quot;??_-;_-@_-"/>
    </dxf>
    <dxf>
      <numFmt numFmtId="176" formatCode="_-&quot;$&quot;\ * #,##0.0_-;\-&quot;$&quot;\ * #,##0.0_-;_-&quot;$&quot;\ * &quot;-&quot;??_-;_-@_-"/>
    </dxf>
    <dxf>
      <alignment wrapText="1" readingOrder="0"/>
    </dxf>
    <dxf>
      <alignment wrapText="1" readingOrder="0"/>
    </dxf>
  </dxfs>
  <tableStyles count="0" defaultTableStyle="TableStyleMedium2" defaultPivotStyle="PivotStyleLight16"/>
  <colors>
    <mruColors>
      <color rgb="FF02D7E2"/>
      <color rgb="FFFF66CC"/>
      <color rgb="FFFFCCFF"/>
      <color rgb="FFFFFFCC"/>
      <color rgb="FFFF7C80"/>
      <color rgb="FF66FF33"/>
      <color rgb="FFFFFCF3"/>
      <color rgb="FFFFFFFF"/>
      <color rgb="FFF5FED2"/>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INICIAL COMPARADO (2020-2023)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Lit>
              <c:formatCode>General</c:formatCode>
              <c:ptCount val="3"/>
              <c:pt idx="0">
                <c:v>23755585130</c:v>
              </c:pt>
              <c:pt idx="1">
                <c:v>24873867190</c:v>
              </c:pt>
              <c:pt idx="2">
                <c:v>27934280541</c:v>
              </c:pt>
            </c:numLit>
          </c:val>
          <c:extLst>
            <c:ext xmlns:c15="http://schemas.microsoft.com/office/drawing/2012/chart" uri="{02D57815-91ED-43cb-92C2-25804820EDAC}">
              <c15:filteredCategoryTitle>
                <c15:cat>
                  <c:numLit>
                    <c:formatCode>General</c:formatCode>
                    <c:ptCount val="3"/>
                    <c:pt idx="0">
                      <c:v>2020</c:v>
                    </c:pt>
                    <c:pt idx="1">
                      <c:v>2021</c:v>
                    </c:pt>
                    <c:pt idx="2">
                      <c:v>2022</c:v>
                    </c:pt>
                  </c:numLit>
                </c15:cat>
              </c15:filteredCategoryTitle>
            </c:ext>
            <c:ext xmlns:c16="http://schemas.microsoft.com/office/drawing/2014/chart" uri="{C3380CC4-5D6E-409C-BE32-E72D297353CC}">
              <c16:uniqueId val="{00000000-AAE7-457D-97AD-9802E8CC676E}"/>
            </c:ext>
          </c:extLst>
        </c:ser>
        <c:dLbls>
          <c:dLblPos val="outEnd"/>
          <c:showLegendKey val="0"/>
          <c:showVal val="1"/>
          <c:showCatName val="0"/>
          <c:showSerName val="0"/>
          <c:showPercent val="0"/>
          <c:showBubbleSize val="0"/>
        </c:dLbls>
        <c:gapWidth val="219"/>
        <c:overlap val="-27"/>
        <c:axId val="-253775328"/>
        <c:axId val="-253772608"/>
      </c:barChart>
      <c:catAx>
        <c:axId val="-25377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772608"/>
        <c:crosses val="autoZero"/>
        <c:auto val="1"/>
        <c:lblAlgn val="ctr"/>
        <c:lblOffset val="100"/>
        <c:noMultiLvlLbl val="0"/>
      </c:catAx>
      <c:valAx>
        <c:axId val="-2537726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775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320101: DESARROLLO SECTORIAL SOSTENIBLE</a:t>
            </a:r>
            <a:endParaRPr lang="es-CO" sz="900" b="1">
              <a:effectLst/>
            </a:endParaRPr>
          </a:p>
        </c:rich>
      </c:tx>
      <c:layout>
        <c:manualLayout>
          <c:xMode val="edge"/>
          <c:yMode val="edge"/>
          <c:x val="0.23692586238491947"/>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COMP.INDIC'!$H$6:$P$6</c:f>
              <c:numCache>
                <c:formatCode>0%</c:formatCode>
                <c:ptCount val="9"/>
                <c:pt idx="0" formatCode="_-* #,##0_-;\-* #,##0_-;_-* &quot;-&quot;??_-;_-@_-">
                  <c:v>92397396</c:v>
                </c:pt>
                <c:pt idx="1">
                  <c:v>2.2583075826076309</c:v>
                </c:pt>
                <c:pt idx="2" formatCode="_-* #,##0_-;\-* #,##0_-;_-* &quot;-&quot;??_-;_-@_-">
                  <c:v>301059136</c:v>
                </c:pt>
                <c:pt idx="3">
                  <c:v>0.86488171214309206</c:v>
                </c:pt>
                <c:pt idx="4" formatCode="_-* #,##0_-;\-* #,##0_-;_-* &quot;-&quot;??_-;_-@_-">
                  <c:v>561439677</c:v>
                </c:pt>
                <c:pt idx="5">
                  <c:v>2.9932098422035818</c:v>
                </c:pt>
                <c:pt idx="6" formatCode="_-* #,##0_-;\-* #,##0_-;_-* &quot;-&quot;??_-;_-@_-">
                  <c:v>2241946444</c:v>
                </c:pt>
                <c:pt idx="7">
                  <c:v>0</c:v>
                </c:pt>
                <c:pt idx="8" formatCode="_-* #,##0_-;\-* #,##0_-;_-* &quot;-&quot;??_-;_-@_-">
                  <c:v>0</c:v>
                </c:pt>
              </c:numCache>
            </c:numRef>
          </c:val>
          <c:extLst>
            <c:ext xmlns:c16="http://schemas.microsoft.com/office/drawing/2014/chart" uri="{C3380CC4-5D6E-409C-BE32-E72D297353CC}">
              <c16:uniqueId val="{00000006-E7C1-4EAC-8D97-D4BD88C2945F}"/>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320102: NEGOCIOS VERDES</a:t>
            </a:r>
            <a:endParaRPr lang="es-CO" sz="900" b="1">
              <a:effectLst/>
            </a:endParaRPr>
          </a:p>
        </c:rich>
      </c:tx>
      <c:layout>
        <c:manualLayout>
          <c:xMode val="edge"/>
          <c:yMode val="edge"/>
          <c:x val="0.34041565335676649"/>
          <c:y val="4.987232546451519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COMP.INDIC'!$H$9:$P$9</c:f>
              <c:numCache>
                <c:formatCode>0%</c:formatCode>
                <c:ptCount val="9"/>
                <c:pt idx="0" formatCode="_-* #,##0_-;\-* #,##0_-;_-* &quot;-&quot;??_-;_-@_-">
                  <c:v>130991497</c:v>
                </c:pt>
                <c:pt idx="1">
                  <c:v>1.9162198215049027</c:v>
                </c:pt>
                <c:pt idx="2" formatCode="_-* #,##0_-;\-* #,##0_-;_-* &quot;-&quot;??_-;_-@_-">
                  <c:v>382000000</c:v>
                </c:pt>
                <c:pt idx="3">
                  <c:v>0.11992375130890053</c:v>
                </c:pt>
                <c:pt idx="4" formatCode="_-* #,##0_-;\-* #,##0_-;_-* &quot;-&quot;??_-;_-@_-">
                  <c:v>427810873</c:v>
                </c:pt>
                <c:pt idx="5">
                  <c:v>2.6907472685950178</c:v>
                </c:pt>
                <c:pt idx="6" formatCode="_-* #,##0_-;\-* #,##0_-;_-* &quot;-&quot;??_-;_-@_-">
                  <c:v>1578941811</c:v>
                </c:pt>
                <c:pt idx="7">
                  <c:v>-0.2191504381125455</c:v>
                </c:pt>
                <c:pt idx="8" formatCode="_-* #,##0_-;\-* #,##0_-;_-* &quot;-&quot;??_-;_-@_-">
                  <c:v>1232916021.365134</c:v>
                </c:pt>
              </c:numCache>
            </c:numRef>
          </c:val>
          <c:extLst>
            <c:ext xmlns:c16="http://schemas.microsoft.com/office/drawing/2014/chart" uri="{C3380CC4-5D6E-409C-BE32-E72D297353CC}">
              <c16:uniqueId val="{00000000-2FCC-4D07-8B6B-FC033EB937F3}"/>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320103: CONTROL Y VIGILANCIA DEL DESARROLLO SECTORIAL SOSTENIBLE</a:t>
            </a:r>
            <a:endParaRPr lang="es-CO" sz="900" b="1">
              <a:effectLst/>
            </a:endParaRPr>
          </a:p>
        </c:rich>
      </c:tx>
      <c:layout>
        <c:manualLayout>
          <c:xMode val="edge"/>
          <c:yMode val="edge"/>
          <c:x val="0.18024051853672518"/>
          <c:y val="3.5561058027118529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COMP.INDIC'!$H$12:$P$12</c:f>
              <c:numCache>
                <c:formatCode>0%</c:formatCode>
                <c:ptCount val="9"/>
                <c:pt idx="0" formatCode="_-* #,##0_-;\-* #,##0_-;_-* &quot;-&quot;??_-;_-@_-">
                  <c:v>999121714.77999997</c:v>
                </c:pt>
                <c:pt idx="1">
                  <c:v>2.8912637835281938</c:v>
                </c:pt>
                <c:pt idx="2" formatCode="_-* #,##0_-;\-* #,##0_-;_-* &quot;-&quot;??_-;_-@_-">
                  <c:v>3887846144.0599999</c:v>
                </c:pt>
                <c:pt idx="3">
                  <c:v>0.11985251698499547</c:v>
                </c:pt>
                <c:pt idx="4" formatCode="_-* #,##0_-;\-* #,##0_-;_-* &quot;-&quot;??_-;_-@_-">
                  <c:v>4353814290.0760002</c:v>
                </c:pt>
                <c:pt idx="5">
                  <c:v>5.3576925744328874E-2</c:v>
                </c:pt>
                <c:pt idx="6" formatCode="_-* #,##0_-;\-* #,##0_-;_-* &quot;-&quot;??_-;_-@_-">
                  <c:v>4587078275</c:v>
                </c:pt>
                <c:pt idx="7">
                  <c:v>0</c:v>
                </c:pt>
                <c:pt idx="8" formatCode="_-* #,##0_-;\-* #,##0_-;_-* &quot;-&quot;??_-;_-@_-">
                  <c:v>0</c:v>
                </c:pt>
              </c:numCache>
            </c:numRef>
          </c:val>
          <c:extLst>
            <c:ext xmlns:c16="http://schemas.microsoft.com/office/drawing/2014/chart" uri="{C3380CC4-5D6E-409C-BE32-E72D297353CC}">
              <c16:uniqueId val="{00000000-1126-4CF4-AE36-A55CDC05CC17}"/>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320201: GESTIÓN DE LA BIODIVERSIDAD Y SUS SERVICIOS ECOSISTÉMICOS</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COMP.INDIC'!$H$26:$P$26</c:f>
              <c:numCache>
                <c:formatCode>0%</c:formatCode>
                <c:ptCount val="9"/>
                <c:pt idx="0" formatCode="_-* #,##0_-;\-* #,##0_-;_-* &quot;-&quot;??_-;_-@_-">
                  <c:v>3990284306</c:v>
                </c:pt>
                <c:pt idx="1">
                  <c:v>8.484148208861983E-2</c:v>
                </c:pt>
                <c:pt idx="2" formatCode="_-* #,##0_-;\-* #,##0_-;_-* &quot;-&quot;??_-;_-@_-">
                  <c:v>4328825940.4759998</c:v>
                </c:pt>
                <c:pt idx="3">
                  <c:v>0.14102407207365616</c:v>
                </c:pt>
                <c:pt idx="4" formatCode="_-* #,##0_-;\-* #,##0_-;_-* &quot;-&quot;??_-;_-@_-">
                  <c:v>4939294601.8999996</c:v>
                </c:pt>
                <c:pt idx="5">
                  <c:v>0.24216710998365698</c:v>
                </c:pt>
                <c:pt idx="6" formatCode="_-* #,##0_-;\-* #,##0_-;_-* &quot;-&quot;??_-;_-@_-">
                  <c:v>6135429301</c:v>
                </c:pt>
                <c:pt idx="7">
                  <c:v>0</c:v>
                </c:pt>
                <c:pt idx="8" formatCode="_-* #,##0_-;\-* #,##0_-;_-* &quot;-&quot;??_-;_-@_-">
                  <c:v>0</c:v>
                </c:pt>
              </c:numCache>
            </c:numRef>
          </c:val>
          <c:extLst>
            <c:ext xmlns:c16="http://schemas.microsoft.com/office/drawing/2014/chart" uri="{C3380CC4-5D6E-409C-BE32-E72D297353CC}">
              <c16:uniqueId val="{00000000-0C8E-4618-985F-F3F4E3BEBF86}"/>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320202: CONTROL, SEGUIMIENTO Y MONITOREO AL USO Y MANEJO DE RECURSOS DE LA OFERTA NATURAL</a:t>
            </a:r>
            <a:endParaRPr lang="es-CO" sz="900" b="1">
              <a:effectLst/>
            </a:endParaRPr>
          </a:p>
        </c:rich>
      </c:tx>
      <c:layout>
        <c:manualLayout>
          <c:xMode val="edge"/>
          <c:yMode val="edge"/>
          <c:x val="0.23318878368511203"/>
          <c:y val="2.1681006731930062E-3"/>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COMP.INDIC'!$H$37:$P$37</c:f>
              <c:numCache>
                <c:formatCode>0%</c:formatCode>
                <c:ptCount val="9"/>
                <c:pt idx="0" formatCode="_-* #,##0_-;\-* #,##0_-;_-* &quot;-&quot;??_-;_-@_-">
                  <c:v>1216211306</c:v>
                </c:pt>
                <c:pt idx="1">
                  <c:v>-0.18706340106659064</c:v>
                </c:pt>
                <c:pt idx="2" formatCode="_-* #,##0_-;\-* #,##0_-;_-* &quot;-&quot;??_-;_-@_-">
                  <c:v>988702682.68400002</c:v>
                </c:pt>
                <c:pt idx="3">
                  <c:v>0.34941582137490307</c:v>
                </c:pt>
                <c:pt idx="4" formatCode="_-* #,##0_-;\-* #,##0_-;_-* &quot;-&quot;??_-;_-@_-">
                  <c:v>1334171042.6496</c:v>
                </c:pt>
                <c:pt idx="5">
                  <c:v>3.5784265903107883E-2</c:v>
                </c:pt>
                <c:pt idx="6" formatCode="_-* #,##0_-;\-* #,##0_-;_-* &quot;-&quot;??_-;_-@_-">
                  <c:v>1381913374</c:v>
                </c:pt>
                <c:pt idx="7">
                  <c:v>0</c:v>
                </c:pt>
                <c:pt idx="8" formatCode="_-* #,##0_-;\-* #,##0_-;_-* &quot;-&quot;??_-;_-@_-">
                  <c:v>0</c:v>
                </c:pt>
              </c:numCache>
            </c:numRef>
          </c:val>
          <c:extLst>
            <c:ext xmlns:c16="http://schemas.microsoft.com/office/drawing/2014/chart" uri="{C3380CC4-5D6E-409C-BE32-E72D297353CC}">
              <c16:uniqueId val="{00000000-42FC-4AB4-B655-155353451C51}"/>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320203: RESTAURACIÓN, REFORESTACIÓN Y PROTECCIÓN DE ECOSISTEMAS ESTRATÉGICOS EN CUENCAS HIDROGRÁFICAS</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COMP.INDIC'!$H$41:$P$41</c:f>
              <c:numCache>
                <c:formatCode>0%</c:formatCode>
                <c:ptCount val="9"/>
                <c:pt idx="0" formatCode="_-* #,##0_-;\-* #,##0_-;_-* &quot;-&quot;??_-;_-@_-">
                  <c:v>1863599822.5</c:v>
                </c:pt>
                <c:pt idx="1">
                  <c:v>-0.49404037572020104</c:v>
                </c:pt>
                <c:pt idx="2" formatCode="_-* #,##0_-;\-* #,##0_-;_-* &quot;-&quot;??_-;_-@_-">
                  <c:v>942906266</c:v>
                </c:pt>
                <c:pt idx="3">
                  <c:v>0.2262427737435356</c:v>
                </c:pt>
                <c:pt idx="4" formatCode="_-* #,##0_-;\-* #,##0_-;_-* &quot;-&quot;??_-;_-@_-">
                  <c:v>1156231995</c:v>
                </c:pt>
                <c:pt idx="5">
                  <c:v>0.14635210297912574</c:v>
                </c:pt>
                <c:pt idx="6" formatCode="_-* #,##0_-;\-* #,##0_-;_-* &quot;-&quot;??_-;_-@_-">
                  <c:v>1325448979</c:v>
                </c:pt>
                <c:pt idx="7">
                  <c:v>0</c:v>
                </c:pt>
                <c:pt idx="8" formatCode="_-* #,##0_-;\-* #,##0_-;_-* &quot;-&quot;??_-;_-@_-">
                  <c:v>0</c:v>
                </c:pt>
              </c:numCache>
            </c:numRef>
          </c:val>
          <c:extLst>
            <c:ext xmlns:c16="http://schemas.microsoft.com/office/drawing/2014/chart" uri="{C3380CC4-5D6E-409C-BE32-E72D297353CC}">
              <c16:uniqueId val="{00000000-614A-4B8D-8B4C-04626A5E0E7F}"/>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320301: CONSERVACIÓN Y USO EFICIENTE DEL RECURSO HÍDRICO</a:t>
            </a:r>
            <a:endParaRPr lang="es-CO" sz="900" b="1">
              <a:effectLst/>
            </a:endParaRPr>
          </a:p>
        </c:rich>
      </c:tx>
      <c:layout>
        <c:manualLayout>
          <c:xMode val="edge"/>
          <c:yMode val="edge"/>
          <c:x val="0.115258556763705"/>
          <c:y val="2.60202130688541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COMP.INDIC'!$H$48:$P$48</c:f>
              <c:numCache>
                <c:formatCode>0%</c:formatCode>
                <c:ptCount val="9"/>
                <c:pt idx="0" formatCode="_-* #,##0_-;\-* #,##0_-;_-* &quot;-&quot;??_-;_-@_-">
                  <c:v>8870865331.7999992</c:v>
                </c:pt>
                <c:pt idx="1">
                  <c:v>0.15647592327031115</c:v>
                </c:pt>
                <c:pt idx="2" formatCode="_-* #,##0_-;\-* #,##0_-;_-* &quot;-&quot;??_-;_-@_-">
                  <c:v>10258942174.799999</c:v>
                </c:pt>
                <c:pt idx="3">
                  <c:v>1.233332636485733E-3</c:v>
                </c:pt>
                <c:pt idx="4" formatCode="_-* #,##0_-;\-* #,##0_-;_-* &quot;-&quot;??_-;_-@_-">
                  <c:v>10271594863</c:v>
                </c:pt>
                <c:pt idx="5">
                  <c:v>-7.7743476904108502E-2</c:v>
                </c:pt>
                <c:pt idx="6" formatCode="_-* #,##0_-;\-* #,##0_-;_-* &quot;-&quot;??_-;_-@_-">
                  <c:v>9473045365</c:v>
                </c:pt>
                <c:pt idx="7">
                  <c:v>0</c:v>
                </c:pt>
                <c:pt idx="8" formatCode="_-* #,##0_-;\-* #,##0_-;_-* &quot;-&quot;??_-;_-@_-">
                  <c:v>0</c:v>
                </c:pt>
              </c:numCache>
            </c:numRef>
          </c:val>
          <c:extLst>
            <c:ext xmlns:c16="http://schemas.microsoft.com/office/drawing/2014/chart" uri="{C3380CC4-5D6E-409C-BE32-E72D297353CC}">
              <c16:uniqueId val="{00000000-F546-4703-BDC7-5484609C6012}"/>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320302: ADMINISTRACIÓN DEL RECURSO HÍDRICO</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COMP.INDIC'!$H$52:$P$52</c:f>
              <c:numCache>
                <c:formatCode>0%</c:formatCode>
                <c:ptCount val="9"/>
                <c:pt idx="0" formatCode="_-* #,##0_-;\-* #,##0_-;_-* &quot;-&quot;??_-;_-@_-">
                  <c:v>2750155284</c:v>
                </c:pt>
                <c:pt idx="1">
                  <c:v>0.14155983884435822</c:v>
                </c:pt>
                <c:pt idx="2" formatCode="_-* #,##0_-;\-* #,##0_-;_-* &quot;-&quot;??_-;_-@_-">
                  <c:v>3139466822.8000002</c:v>
                </c:pt>
                <c:pt idx="3">
                  <c:v>-0.15000082067438375</c:v>
                </c:pt>
                <c:pt idx="4" formatCode="_-* #,##0_-;\-* #,##0_-;_-* &quot;-&quot;??_-;_-@_-">
                  <c:v>2668544222.9000001</c:v>
                </c:pt>
                <c:pt idx="5">
                  <c:v>8.2336208714287262E-2</c:v>
                </c:pt>
                <c:pt idx="6" formatCode="_-* #,##0_-;\-* #,##0_-;_-* &quot;-&quot;??_-;_-@_-">
                  <c:v>2888262037</c:v>
                </c:pt>
                <c:pt idx="7">
                  <c:v>0</c:v>
                </c:pt>
                <c:pt idx="8" formatCode="_-* #,##0_-;\-* #,##0_-;_-* &quot;-&quot;??_-;_-@_-">
                  <c:v>0</c:v>
                </c:pt>
              </c:numCache>
            </c:numRef>
          </c:val>
          <c:extLst>
            <c:ext xmlns:c16="http://schemas.microsoft.com/office/drawing/2014/chart" uri="{C3380CC4-5D6E-409C-BE32-E72D297353CC}">
              <c16:uniqueId val="{00000000-60F2-4539-9359-1AC7ABD2BC74}"/>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320401: INFORMACIÓN Y CONOCIMIENTO AMBIENTAL</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COMP.INDIC'!$H$61:$P$61</c:f>
              <c:numCache>
                <c:formatCode>0%</c:formatCode>
                <c:ptCount val="9"/>
                <c:pt idx="0" formatCode="_-* #,##0_-;\-* #,##0_-;_-* &quot;-&quot;??_-;_-@_-">
                  <c:v>227759591</c:v>
                </c:pt>
                <c:pt idx="1">
                  <c:v>0.18300395964444807</c:v>
                </c:pt>
                <c:pt idx="2" formatCode="_-* #,##0_-;\-* #,##0_-;_-* &quot;-&quot;??_-;_-@_-">
                  <c:v>269440498</c:v>
                </c:pt>
                <c:pt idx="3">
                  <c:v>-5.1257596799720744E-2</c:v>
                </c:pt>
                <c:pt idx="4" formatCode="_-* #,##0_-;\-* #,##0_-;_-* &quot;-&quot;??_-;_-@_-">
                  <c:v>255629625.59200004</c:v>
                </c:pt>
                <c:pt idx="5">
                  <c:v>0.38990430071309851</c:v>
                </c:pt>
                <c:pt idx="6" formatCode="_-* #,##0_-;\-* #,##0_-;_-* &quot;-&quot;??_-;_-@_-">
                  <c:v>355300716</c:v>
                </c:pt>
                <c:pt idx="7">
                  <c:v>0.49593526797170867</c:v>
                </c:pt>
                <c:pt idx="8" formatCode="_-* #,##0_-;\-* #,##0_-;_-* &quot;-&quot;??_-;_-@_-">
                  <c:v>531506871.79999995</c:v>
                </c:pt>
              </c:numCache>
            </c:numRef>
          </c:val>
          <c:extLst>
            <c:ext xmlns:c16="http://schemas.microsoft.com/office/drawing/2014/chart" uri="{C3380CC4-5D6E-409C-BE32-E72D297353CC}">
              <c16:uniqueId val="{00000000-2432-4E43-9F64-044C8563A90E}"/>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320501: FORTALECIMIENTO DE LOS PROCESOS DE ORENAMIENTO Y PLANIFICACIÓN TERRITORIAL</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COMP.INDIC'!$H$65:$P$65</c:f>
              <c:numCache>
                <c:formatCode>0%</c:formatCode>
                <c:ptCount val="9"/>
                <c:pt idx="0" formatCode="_-* #,##0_-;\-* #,##0_-;_-* &quot;-&quot;??_-;_-@_-">
                  <c:v>139387741</c:v>
                </c:pt>
                <c:pt idx="1">
                  <c:v>0.65080339453955283</c:v>
                </c:pt>
                <c:pt idx="2" formatCode="_-* #,##0_-;\-* #,##0_-;_-* &quot;-&quot;??_-;_-@_-">
                  <c:v>230101756</c:v>
                </c:pt>
                <c:pt idx="3">
                  <c:v>1.5924571866370285</c:v>
                </c:pt>
                <c:pt idx="4" formatCode="_-* #,##0_-;\-* #,##0_-;_-* &quot;-&quot;??_-;_-@_-">
                  <c:v>596528951</c:v>
                </c:pt>
                <c:pt idx="5">
                  <c:v>-0.28885328987159248</c:v>
                </c:pt>
                <c:pt idx="6" formatCode="_-* #,##0_-;\-* #,##0_-;_-* &quot;-&quot;??_-;_-@_-">
                  <c:v>424219601</c:v>
                </c:pt>
                <c:pt idx="7">
                  <c:v>0</c:v>
                </c:pt>
                <c:pt idx="8" formatCode="_-* #,##0_-;\-* #,##0_-;_-* &quot;-&quot;??_-;_-@_-">
                  <c:v>0</c:v>
                </c:pt>
              </c:numCache>
            </c:numRef>
          </c:val>
          <c:extLst>
            <c:ext xmlns:c16="http://schemas.microsoft.com/office/drawing/2014/chart" uri="{C3380CC4-5D6E-409C-BE32-E72D297353CC}">
              <c16:uniqueId val="{00000000-E7E9-4ADE-BD66-DCB65A5F9472}"/>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320502: GESTIÓN DEL CONOCIMIENTO Y GESTIÓN DEL RIESGO DE DESASTRES</a:t>
            </a:r>
            <a:endParaRPr lang="es-CO" sz="900" b="1">
              <a:effectLst/>
            </a:endParaRPr>
          </a:p>
        </c:rich>
      </c:tx>
      <c:layout>
        <c:manualLayout>
          <c:xMode val="edge"/>
          <c:yMode val="edge"/>
          <c:x val="0.18746073651150524"/>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COMP.INDIC'!$H$68:$P$68</c:f>
              <c:numCache>
                <c:formatCode>0%</c:formatCode>
                <c:ptCount val="9"/>
                <c:pt idx="0" formatCode="_-* #,##0_-;\-* #,##0_-;_-* &quot;-&quot;??_-;_-@_-">
                  <c:v>1604055594</c:v>
                </c:pt>
                <c:pt idx="1">
                  <c:v>0.13077246560819636</c:v>
                </c:pt>
                <c:pt idx="2" formatCode="_-* #,##0_-;\-* #,##0_-;_-* &quot;-&quot;??_-;_-@_-">
                  <c:v>1813821899</c:v>
                </c:pt>
                <c:pt idx="3">
                  <c:v>0.54033037727702504</c:v>
                </c:pt>
                <c:pt idx="4" formatCode="_-* #,##0_-;\-* #,##0_-;_-* &quot;-&quot;??_-;_-@_-">
                  <c:v>2793884970</c:v>
                </c:pt>
                <c:pt idx="5">
                  <c:v>0.17664800458839219</c:v>
                </c:pt>
                <c:pt idx="6" formatCode="_-* #,##0_-;\-* #,##0_-;_-* &quot;-&quot;??_-;_-@_-">
                  <c:v>3287419175</c:v>
                </c:pt>
                <c:pt idx="7">
                  <c:v>0</c:v>
                </c:pt>
                <c:pt idx="8" formatCode="_-* #,##0_-;\-* #,##0_-;_-* &quot;-&quot;??_-;_-@_-">
                  <c:v>0</c:v>
                </c:pt>
              </c:numCache>
            </c:numRef>
          </c:val>
          <c:extLst>
            <c:ext xmlns:c16="http://schemas.microsoft.com/office/drawing/2014/chart" uri="{C3380CC4-5D6E-409C-BE32-E72D297353CC}">
              <c16:uniqueId val="{00000000-B353-46BE-8420-9C041250A82E}"/>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320503: GESTIÓN AMBIENTAL CON COMUNIDADES ÉTNICAS</a:t>
            </a:r>
            <a:endParaRPr lang="es-CO" sz="900" b="1">
              <a:effectLst/>
            </a:endParaRPr>
          </a:p>
        </c:rich>
      </c:tx>
      <c:layout>
        <c:manualLayout>
          <c:xMode val="edge"/>
          <c:yMode val="edge"/>
          <c:x val="0.13932595001297177"/>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COMP.INDIC'!$H$71:$P$71</c:f>
              <c:numCache>
                <c:formatCode>0%</c:formatCode>
                <c:ptCount val="9"/>
                <c:pt idx="0" formatCode="_-* #,##0_-;\-* #,##0_-;_-* &quot;-&quot;??_-;_-@_-">
                  <c:v>200000000</c:v>
                </c:pt>
                <c:pt idx="1">
                  <c:v>0.65</c:v>
                </c:pt>
                <c:pt idx="2" formatCode="_-* #,##0_-;\-* #,##0_-;_-* &quot;-&quot;??_-;_-@_-">
                  <c:v>330000000</c:v>
                </c:pt>
                <c:pt idx="3">
                  <c:v>0.2895390575757576</c:v>
                </c:pt>
                <c:pt idx="4" formatCode="_-* #,##0_-;\-* #,##0_-;_-* &quot;-&quot;??_-;_-@_-">
                  <c:v>425547889</c:v>
                </c:pt>
                <c:pt idx="5">
                  <c:v>0.5740540167501571</c:v>
                </c:pt>
                <c:pt idx="6" formatCode="_-* #,##0_-;\-* #,##0_-;_-* &quot;-&quot;??_-;_-@_-">
                  <c:v>669835364</c:v>
                </c:pt>
                <c:pt idx="7">
                  <c:v>0</c:v>
                </c:pt>
                <c:pt idx="8" formatCode="_-* #,##0_-;\-* #,##0_-;_-* &quot;-&quot;??_-;_-@_-">
                  <c:v>0</c:v>
                </c:pt>
              </c:numCache>
            </c:numRef>
          </c:val>
          <c:extLst>
            <c:ext xmlns:c16="http://schemas.microsoft.com/office/drawing/2014/chart" uri="{C3380CC4-5D6E-409C-BE32-E72D297353CC}">
              <c16:uniqueId val="{00000000-29F0-44A5-A68E-AF139DEFF7FF}"/>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320601: GESTIÓN DEL CAMBIO CLIMÁTICO</a:t>
            </a:r>
            <a:endParaRPr lang="es-CO" sz="900" b="1">
              <a:effectLst/>
            </a:endParaRPr>
          </a:p>
        </c:rich>
      </c:tx>
      <c:layout>
        <c:manualLayout>
          <c:xMode val="edge"/>
          <c:yMode val="edge"/>
          <c:x val="0.13932595001297177"/>
          <c:y val="3.07906355479863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COMP.INDIC'!$H$76:$P$76</c:f>
              <c:numCache>
                <c:formatCode>0%</c:formatCode>
                <c:ptCount val="9"/>
                <c:pt idx="0" formatCode="_-* #,##0_-;\-* #,##0_-;_-* &quot;-&quot;??_-;_-@_-">
                  <c:v>160416014</c:v>
                </c:pt>
                <c:pt idx="1">
                  <c:v>1.67024890046202</c:v>
                </c:pt>
                <c:pt idx="2" formatCode="_-* #,##0_-;\-* #,##0_-;_-* &quot;-&quot;??_-;_-@_-">
                  <c:v>428350685</c:v>
                </c:pt>
                <c:pt idx="3">
                  <c:v>-0.35158268744218302</c:v>
                </c:pt>
                <c:pt idx="4" formatCode="_-* #,##0_-;\-* #,##0_-;_-* &quot;-&quot;??_-;_-@_-">
                  <c:v>277750000</c:v>
                </c:pt>
                <c:pt idx="5">
                  <c:v>18.176831603960395</c:v>
                </c:pt>
                <c:pt idx="6" formatCode="_-* #,##0_-;\-* #,##0_-;_-* &quot;-&quot;??_-;_-@_-">
                  <c:v>5326364978</c:v>
                </c:pt>
                <c:pt idx="7">
                  <c:v>-6.7241704496202814E-2</c:v>
                </c:pt>
                <c:pt idx="8" formatCode="_-* #,##0_-;\-* #,##0_-;_-* &quot;-&quot;??_-;_-@_-">
                  <c:v>4968211118.1104002</c:v>
                </c:pt>
              </c:numCache>
            </c:numRef>
          </c:val>
          <c:extLst>
            <c:ext xmlns:c16="http://schemas.microsoft.com/office/drawing/2014/chart" uri="{C3380CC4-5D6E-409C-BE32-E72D297353CC}">
              <c16:uniqueId val="{00000000-4411-47D9-B983-97A54A16B762}"/>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320801: EDUCACIÓN Y CULTURA AMBIENTAL</a:t>
            </a:r>
            <a:endParaRPr lang="es-CO" sz="200" b="1">
              <a:effectLst/>
            </a:endParaRPr>
          </a:p>
        </c:rich>
      </c:tx>
      <c:layout>
        <c:manualLayout>
          <c:xMode val="edge"/>
          <c:yMode val="edge"/>
          <c:x val="0.20430791178599195"/>
          <c:y val="3.816337983305775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COMP.INDIC'!$H$80:$P$80</c:f>
              <c:numCache>
                <c:formatCode>0%</c:formatCode>
                <c:ptCount val="9"/>
                <c:pt idx="0" formatCode="_-* #,##0_-;\-* #,##0_-;_-* &quot;-&quot;??_-;_-@_-">
                  <c:v>726656802</c:v>
                </c:pt>
                <c:pt idx="1">
                  <c:v>0.50571535336704942</c:v>
                </c:pt>
                <c:pt idx="2" formatCode="_-* #,##0_-;\-* #,##0_-;_-* &quot;-&quot;??_-;_-@_-">
                  <c:v>1094138303.4000001</c:v>
                </c:pt>
                <c:pt idx="3">
                  <c:v>0.2862615164422182</c:v>
                </c:pt>
                <c:pt idx="4" formatCode="_-* #,##0_-;\-* #,##0_-;_-* &quot;-&quot;??_-;_-@_-">
                  <c:v>1407347993.3288</c:v>
                </c:pt>
                <c:pt idx="5">
                  <c:v>3.3570991020466008</c:v>
                </c:pt>
                <c:pt idx="6" formatCode="_-* #,##0_-;\-* #,##0_-;_-* &quot;-&quot;??_-;_-@_-">
                  <c:v>6131954678</c:v>
                </c:pt>
                <c:pt idx="7">
                  <c:v>0</c:v>
                </c:pt>
                <c:pt idx="8" formatCode="_-* #,##0_-;\-* #,##0_-;_-* &quot;-&quot;??_-;_-@_-">
                  <c:v>0</c:v>
                </c:pt>
              </c:numCache>
            </c:numRef>
          </c:val>
          <c:extLst>
            <c:ext xmlns:c16="http://schemas.microsoft.com/office/drawing/2014/chart" uri="{C3380CC4-5D6E-409C-BE32-E72D297353CC}">
              <c16:uniqueId val="{00000000-9C4A-4AF1-8332-86E6E08679AA}"/>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PROYECTO 329901: FORTALECIMIENTO INSTITUCIONAL PARA LA GESTIÓN AMBIENTAL</a:t>
            </a:r>
            <a:endParaRPr lang="es-CO" sz="900" b="1">
              <a:effectLst/>
            </a:endParaRPr>
          </a:p>
        </c:rich>
      </c:tx>
      <c:layout>
        <c:manualLayout>
          <c:xMode val="edge"/>
          <c:yMode val="edge"/>
          <c:x val="0.20430791178599195"/>
          <c:y val="3.816337983305775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 COMP.INDIC'!$H$3:$P$4</c:f>
              <c:strCache>
                <c:ptCount val="9"/>
                <c:pt idx="0">
                  <c:v>2020</c:v>
                </c:pt>
                <c:pt idx="1">
                  <c:v>%</c:v>
                </c:pt>
                <c:pt idx="2">
                  <c:v>2021</c:v>
                </c:pt>
                <c:pt idx="3">
                  <c:v>%</c:v>
                </c:pt>
                <c:pt idx="4">
                  <c:v>2022</c:v>
                </c:pt>
                <c:pt idx="5">
                  <c:v>%</c:v>
                </c:pt>
                <c:pt idx="6">
                  <c:v>2023</c:v>
                </c:pt>
                <c:pt idx="7">
                  <c:v>%</c:v>
                </c:pt>
                <c:pt idx="8">
                  <c:v>2024</c:v>
                </c:pt>
              </c:strCache>
            </c:strRef>
          </c:cat>
          <c:val>
            <c:numRef>
              <c:f>'7. COMP.INDIC'!$H$84:$P$84</c:f>
              <c:numCache>
                <c:formatCode>0%</c:formatCode>
                <c:ptCount val="9"/>
                <c:pt idx="0" formatCode="_-* #,##0_-;\-* #,##0_-;_-* &quot;-&quot;??_-;_-@_-">
                  <c:v>877773853</c:v>
                </c:pt>
                <c:pt idx="1">
                  <c:v>2.0183984044920056</c:v>
                </c:pt>
                <c:pt idx="2" formatCode="_-* #,##0_-;\-* #,##0_-;_-* &quot;-&quot;??_-;_-@_-">
                  <c:v>2649471197.4000001</c:v>
                </c:pt>
                <c:pt idx="3">
                  <c:v>-0.17601581956075521</c:v>
                </c:pt>
                <c:pt idx="4" formatCode="_-* #,##0_-;\-* #,##0_-;_-* &quot;-&quot;??_-;_-@_-">
                  <c:v>2183122353.1870236</c:v>
                </c:pt>
                <c:pt idx="5">
                  <c:v>-6.5664757166609786E-2</c:v>
                </c:pt>
                <c:pt idx="6" formatCode="_-* #,##0_-;\-* #,##0_-;_-* &quot;-&quot;??_-;_-@_-">
                  <c:v>2039768154</c:v>
                </c:pt>
                <c:pt idx="7">
                  <c:v>0</c:v>
                </c:pt>
                <c:pt idx="8" formatCode="_-* #,##0_-;\-* #,##0_-;_-* &quot;-&quot;??_-;_-@_-">
                  <c:v>0</c:v>
                </c:pt>
              </c:numCache>
            </c:numRef>
          </c:val>
          <c:extLst>
            <c:ext xmlns:c16="http://schemas.microsoft.com/office/drawing/2014/chart" uri="{C3380CC4-5D6E-409C-BE32-E72D297353CC}">
              <c16:uniqueId val="{00000000-6006-4673-95D7-0AB6ED07D734}"/>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b="1" i="0" u="none" strike="noStrike" baseline="0">
                <a:solidFill>
                  <a:srgbClr val="000000"/>
                </a:solidFill>
                <a:latin typeface="Arial"/>
                <a:ea typeface="Arial"/>
                <a:cs typeface="Arial"/>
              </a:defRPr>
            </a:pPr>
            <a:r>
              <a:rPr lang="es-CO" sz="900" b="1" i="0" baseline="0">
                <a:effectLst/>
              </a:rPr>
              <a:t>PRESUPUESTO INICIAL COMPARADO 2020-2023</a:t>
            </a:r>
            <a:endParaRPr lang="es-CO" sz="900" b="1">
              <a:effectLst/>
            </a:endParaRPr>
          </a:p>
        </c:rich>
      </c:tx>
      <c:layout>
        <c:manualLayout>
          <c:xMode val="edge"/>
          <c:yMode val="edge"/>
          <c:x val="0.34542049950676113"/>
          <c:y val="2.2195294450469142E-2"/>
        </c:manualLayout>
      </c:layout>
      <c:overlay val="1"/>
      <c:spPr>
        <a:noFill/>
        <a:ln w="25400">
          <a:noFill/>
        </a:ln>
      </c:spPr>
    </c:title>
    <c:autoTitleDeleted val="0"/>
    <c:view3D>
      <c:rotX val="15"/>
      <c:rotY val="20"/>
      <c:depthPercent val="100"/>
      <c:rAngAx val="1"/>
    </c:view3D>
    <c:floor>
      <c:thickness val="0"/>
      <c:spPr>
        <a:solidFill>
          <a:srgbClr val="1F497D">
            <a:lumMod val="20000"/>
            <a:lumOff val="80000"/>
            <a:alpha val="20000"/>
          </a:srgbClr>
        </a:solidFill>
      </c:spPr>
    </c:floor>
    <c:sideWall>
      <c:thickness val="0"/>
      <c:spPr>
        <a:solidFill>
          <a:srgbClr val="1F497D">
            <a:lumMod val="20000"/>
            <a:lumOff val="80000"/>
            <a:alpha val="45000"/>
          </a:srgbClr>
        </a:solidFill>
        <a:ln w="25400">
          <a:solidFill>
            <a:schemeClr val="tx2">
              <a:lumMod val="20000"/>
              <a:lumOff val="80000"/>
            </a:schemeClr>
          </a:solidFill>
        </a:ln>
      </c:spPr>
    </c:sideWall>
    <c:backWall>
      <c:thickness val="0"/>
      <c:spPr>
        <a:solidFill>
          <a:schemeClr val="tx2">
            <a:lumMod val="40000"/>
            <a:lumOff val="60000"/>
            <a:alpha val="45000"/>
          </a:schemeClr>
        </a:solidFill>
        <a:ln w="25400">
          <a:solidFill>
            <a:schemeClr val="tx2">
              <a:lumMod val="20000"/>
              <a:lumOff val="80000"/>
            </a:schemeClr>
          </a:solidFill>
        </a:ln>
      </c:spPr>
    </c:backWall>
    <c:plotArea>
      <c:layout>
        <c:manualLayout>
          <c:layoutTarget val="inner"/>
          <c:xMode val="edge"/>
          <c:yMode val="edge"/>
          <c:x val="8.4769581433899704E-2"/>
          <c:y val="0.13424949927324895"/>
          <c:w val="0.89310139522033427"/>
          <c:h val="0.71166791843327293"/>
        </c:manualLayout>
      </c:layout>
      <c:bar3DChart>
        <c:barDir val="col"/>
        <c:grouping val="clustered"/>
        <c:varyColors val="0"/>
        <c:ser>
          <c:idx val="0"/>
          <c:order val="0"/>
          <c:spPr>
            <a:solidFill>
              <a:schemeClr val="accent4"/>
            </a:solidFill>
          </c:spPr>
          <c:invertIfNegative val="0"/>
          <c:dLbls>
            <c:dLbl>
              <c:idx val="0"/>
              <c:layout>
                <c:manualLayout>
                  <c:x val="5.427408412483006E-3"/>
                  <c:y val="-6.7864271457085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11-4FF7-9E69-528F7F323697}"/>
                </c:ext>
              </c:extLst>
            </c:dLbl>
            <c:dLbl>
              <c:idx val="1"/>
              <c:layout>
                <c:manualLayout>
                  <c:x val="2.5327905924920849E-2"/>
                  <c:y val="-9.9800399201596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11-4FF7-9E69-528F7F323697}"/>
                </c:ext>
              </c:extLst>
            </c:dLbl>
            <c:dLbl>
              <c:idx val="2"/>
              <c:layout>
                <c:manualLayout>
                  <c:x val="1.8091361374943399E-2"/>
                  <c:y val="-7.185628742514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1-4FF7-9E69-528F7F323697}"/>
                </c:ext>
              </c:extLst>
            </c:dLbl>
            <c:dLbl>
              <c:idx val="3"/>
              <c:layout>
                <c:manualLayout>
                  <c:x val="3.6182722749886929E-3"/>
                  <c:y val="-5.58882235528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1-4FF7-9E69-528F7F3236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 COMP.INDIC'!$H$3,'7. COMP.INDIC'!$J$3,'7. COMP.INDIC'!$L$3,'7. COMP.INDIC'!$P$3)</c:f>
              <c:numCache>
                <c:formatCode>General</c:formatCode>
                <c:ptCount val="4"/>
                <c:pt idx="0">
                  <c:v>2020</c:v>
                </c:pt>
                <c:pt idx="1">
                  <c:v>2021</c:v>
                </c:pt>
                <c:pt idx="2">
                  <c:v>2022</c:v>
                </c:pt>
                <c:pt idx="3">
                  <c:v>2024</c:v>
                </c:pt>
              </c:numCache>
            </c:numRef>
          </c:cat>
          <c:val>
            <c:numRef>
              <c:f>('7. COMP.INDIC'!$H$91,'7. COMP.INDIC'!$J$91,'7. COMP.INDIC'!$L$91,'7. COMP.INDIC'!$P$91)</c:f>
              <c:numCache>
                <c:formatCode>_-* #,##0_-;\-* #,##0_-;_-* "-"??_-;_-@_-</c:formatCode>
                <c:ptCount val="4"/>
                <c:pt idx="0">
                  <c:v>23849676253.079998</c:v>
                </c:pt>
                <c:pt idx="1">
                  <c:v>34971739605.619995</c:v>
                </c:pt>
                <c:pt idx="2">
                  <c:v>36089425606.633423</c:v>
                </c:pt>
                <c:pt idx="3">
                  <c:v>0</c:v>
                </c:pt>
              </c:numCache>
              <c:extLst/>
            </c:numRef>
          </c:val>
          <c:extLst>
            <c:ext xmlns:c16="http://schemas.microsoft.com/office/drawing/2014/chart" uri="{C3380CC4-5D6E-409C-BE32-E72D297353CC}">
              <c16:uniqueId val="{00000000-1F11-4FF7-9E69-528F7F323697}"/>
            </c:ext>
          </c:extLst>
        </c:ser>
        <c:dLbls>
          <c:showLegendKey val="0"/>
          <c:showVal val="1"/>
          <c:showCatName val="0"/>
          <c:showSerName val="0"/>
          <c:showPercent val="0"/>
          <c:showBubbleSize val="0"/>
        </c:dLbls>
        <c:gapWidth val="150"/>
        <c:shape val="cylinder"/>
        <c:axId val="348541760"/>
        <c:axId val="348542544"/>
        <c:axId val="0"/>
      </c:bar3DChart>
      <c:catAx>
        <c:axId val="34854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348542544"/>
        <c:crosses val="autoZero"/>
        <c:auto val="0"/>
        <c:lblAlgn val="ctr"/>
        <c:lblOffset val="100"/>
        <c:tickLblSkip val="1"/>
        <c:tickMarkSkip val="1"/>
        <c:noMultiLvlLbl val="0"/>
      </c:catAx>
      <c:valAx>
        <c:axId val="348542544"/>
        <c:scaling>
          <c:orientation val="minMax"/>
        </c:scaling>
        <c:delete val="1"/>
        <c:axPos val="l"/>
        <c:majorGridlines/>
        <c:numFmt formatCode="0.0" sourceLinked="0"/>
        <c:majorTickMark val="out"/>
        <c:minorTickMark val="none"/>
        <c:tickLblPos val="nextTo"/>
        <c:crossAx val="348541760"/>
        <c:crosses val="autoZero"/>
        <c:crossBetween val="between"/>
      </c:valAx>
      <c:spPr>
        <a:noFill/>
        <a:ln w="25400">
          <a:noFill/>
        </a:ln>
      </c:spPr>
    </c:plotArea>
    <c:plotVisOnly val="1"/>
    <c:dispBlanksAs val="gap"/>
    <c:showDLblsOverMax val="0"/>
  </c:chart>
  <c:spPr>
    <a:solidFill>
      <a:srgbClr val="FFFFFF"/>
    </a:solidFill>
    <a:ln w="9525">
      <a:solidFill>
        <a:schemeClr val="bg1">
          <a:lumMod val="65000"/>
        </a:schemeClr>
      </a:solid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0144" l="0.70000000000000062" r="0.70000000000000062" t="0.75000000000000144"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923925</xdr:colOff>
      <xdr:row>97</xdr:row>
      <xdr:rowOff>123825</xdr:rowOff>
    </xdr:from>
    <xdr:to>
      <xdr:col>3</xdr:col>
      <xdr:colOff>409575</xdr:colOff>
      <xdr:row>113</xdr:row>
      <xdr:rowOff>9525</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6335375" y="276225"/>
    <xdr:ext cx="5276849" cy="2662238"/>
    <xdr:graphicFrame macro="">
      <xdr:nvGraphicFramePr>
        <xdr:cNvPr id="19" name="1 Gráfico">
          <a:extLst>
            <a:ext uri="{FF2B5EF4-FFF2-40B4-BE49-F238E27FC236}">
              <a16:creationId xmlns:a16="http://schemas.microsoft.com/office/drawing/2014/main" id="{00000000-0008-0000-0600-00001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9831050" y="1543050"/>
    <xdr:ext cx="5276849" cy="2662238"/>
    <xdr:graphicFrame macro="">
      <xdr:nvGraphicFramePr>
        <xdr:cNvPr id="20" name="1 Gráfico">
          <a:extLst>
            <a:ext uri="{FF2B5EF4-FFF2-40B4-BE49-F238E27FC236}">
              <a16:creationId xmlns:a16="http://schemas.microsoft.com/office/drawing/2014/main" id="{00000000-0008-0000-06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6640175" y="4438650"/>
    <xdr:ext cx="5276849" cy="2662238"/>
    <xdr:graphicFrame macro="">
      <xdr:nvGraphicFramePr>
        <xdr:cNvPr id="21" name="1 Gráfico">
          <a:extLst>
            <a:ext uri="{FF2B5EF4-FFF2-40B4-BE49-F238E27FC236}">
              <a16:creationId xmlns:a16="http://schemas.microsoft.com/office/drawing/2014/main" id="{00000000-0008-0000-0600-00001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18002250" y="8924925"/>
    <xdr:ext cx="5276849" cy="2662238"/>
    <xdr:graphicFrame macro="">
      <xdr:nvGraphicFramePr>
        <xdr:cNvPr id="22" name="1 Gráfico">
          <a:extLst>
            <a:ext uri="{FF2B5EF4-FFF2-40B4-BE49-F238E27FC236}">
              <a16:creationId xmlns:a16="http://schemas.microsoft.com/office/drawing/2014/main" id="{00000000-0008-0000-0600-00001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16211550" y="14782800"/>
    <xdr:ext cx="5276849" cy="2662238"/>
    <xdr:graphicFrame macro="">
      <xdr:nvGraphicFramePr>
        <xdr:cNvPr id="23" name="1 Gráfico">
          <a:extLst>
            <a:ext uri="{FF2B5EF4-FFF2-40B4-BE49-F238E27FC236}">
              <a16:creationId xmlns:a16="http://schemas.microsoft.com/office/drawing/2014/main" id="{00000000-0008-0000-0600-00001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6249650" y="17678400"/>
    <xdr:ext cx="5276849" cy="2662238"/>
    <xdr:graphicFrame macro="">
      <xdr:nvGraphicFramePr>
        <xdr:cNvPr id="24" name="1 Gráfico">
          <a:extLst>
            <a:ext uri="{FF2B5EF4-FFF2-40B4-BE49-F238E27FC236}">
              <a16:creationId xmlns:a16="http://schemas.microsoft.com/office/drawing/2014/main" id="{00000000-0008-0000-0600-00001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19688175" y="20554950"/>
    <xdr:ext cx="5276849" cy="2662238"/>
    <xdr:graphicFrame macro="">
      <xdr:nvGraphicFramePr>
        <xdr:cNvPr id="25" name="1 Gráfico">
          <a:extLst>
            <a:ext uri="{FF2B5EF4-FFF2-40B4-BE49-F238E27FC236}">
              <a16:creationId xmlns:a16="http://schemas.microsoft.com/office/drawing/2014/main" id="{00000000-0008-0000-0600-000019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absoluteAnchor>
    <xdr:pos x="17240250" y="23507700"/>
    <xdr:ext cx="5276849" cy="2662238"/>
    <xdr:graphicFrame macro="">
      <xdr:nvGraphicFramePr>
        <xdr:cNvPr id="26" name="1 Gráfico">
          <a:extLst>
            <a:ext uri="{FF2B5EF4-FFF2-40B4-BE49-F238E27FC236}">
              <a16:creationId xmlns:a16="http://schemas.microsoft.com/office/drawing/2014/main" id="{00000000-0008-0000-0600-00001A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absoluteAnchor>
    <xdr:pos x="16754475" y="26765250"/>
    <xdr:ext cx="5276849" cy="2662238"/>
    <xdr:graphicFrame macro="">
      <xdr:nvGraphicFramePr>
        <xdr:cNvPr id="27" name="1 Gráfico">
          <a:extLst>
            <a:ext uri="{FF2B5EF4-FFF2-40B4-BE49-F238E27FC236}">
              <a16:creationId xmlns:a16="http://schemas.microsoft.com/office/drawing/2014/main" id="{00000000-0008-0000-0600-00001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absoluteAnchor>
  <xdr:absoluteAnchor>
    <xdr:pos x="20259675" y="26774775"/>
    <xdr:ext cx="5276849" cy="2662238"/>
    <xdr:graphicFrame macro="">
      <xdr:nvGraphicFramePr>
        <xdr:cNvPr id="28" name="1 Gráfico">
          <a:extLst>
            <a:ext uri="{FF2B5EF4-FFF2-40B4-BE49-F238E27FC236}">
              <a16:creationId xmlns:a16="http://schemas.microsoft.com/office/drawing/2014/main" id="{00000000-0008-0000-0600-00001C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absoluteAnchor>
  <xdr:absoluteAnchor>
    <xdr:pos x="16173450" y="29517975"/>
    <xdr:ext cx="5276849" cy="2662238"/>
    <xdr:graphicFrame macro="">
      <xdr:nvGraphicFramePr>
        <xdr:cNvPr id="29" name="1 Gráfico">
          <a:extLst>
            <a:ext uri="{FF2B5EF4-FFF2-40B4-BE49-F238E27FC236}">
              <a16:creationId xmlns:a16="http://schemas.microsoft.com/office/drawing/2014/main" id="{00000000-0008-0000-0600-00001D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absoluteAnchor>
  <xdr:absoluteAnchor>
    <xdr:pos x="20250150" y="29670375"/>
    <xdr:ext cx="5276849" cy="2662238"/>
    <xdr:graphicFrame macro="">
      <xdr:nvGraphicFramePr>
        <xdr:cNvPr id="31" name="1 Gráfico">
          <a:extLst>
            <a:ext uri="{FF2B5EF4-FFF2-40B4-BE49-F238E27FC236}">
              <a16:creationId xmlns:a16="http://schemas.microsoft.com/office/drawing/2014/main" id="{00000000-0008-0000-0600-00001F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absoluteAnchor>
  <xdr:absoluteAnchor>
    <xdr:pos x="16611600" y="33166050"/>
    <xdr:ext cx="5276849" cy="2662238"/>
    <xdr:graphicFrame macro="">
      <xdr:nvGraphicFramePr>
        <xdr:cNvPr id="32" name="1 Gráfico">
          <a:extLst>
            <a:ext uri="{FF2B5EF4-FFF2-40B4-BE49-F238E27FC236}">
              <a16:creationId xmlns:a16="http://schemas.microsoft.com/office/drawing/2014/main" id="{00000000-0008-0000-06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absoluteAnchor>
  <xdr:absoluteAnchor>
    <xdr:pos x="20469225" y="32889825"/>
    <xdr:ext cx="5276849" cy="2662238"/>
    <xdr:graphicFrame macro="">
      <xdr:nvGraphicFramePr>
        <xdr:cNvPr id="33" name="1 Gráfico">
          <a:extLst>
            <a:ext uri="{FF2B5EF4-FFF2-40B4-BE49-F238E27FC236}">
              <a16:creationId xmlns:a16="http://schemas.microsoft.com/office/drawing/2014/main" id="{00000000-0008-0000-06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absoluteAnchor>
  <xdr:absoluteAnchor>
    <xdr:pos x="16716375" y="36957000"/>
    <xdr:ext cx="5276849" cy="2662238"/>
    <xdr:graphicFrame macro="">
      <xdr:nvGraphicFramePr>
        <xdr:cNvPr id="35" name="1 Gráfico">
          <a:extLst>
            <a:ext uri="{FF2B5EF4-FFF2-40B4-BE49-F238E27FC236}">
              <a16:creationId xmlns:a16="http://schemas.microsoft.com/office/drawing/2014/main" id="{00000000-0008-0000-0600-00002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absoluteAnchor>
  <xdr:absoluteAnchor>
    <xdr:pos x="16964025" y="39900225"/>
    <xdr:ext cx="7019925" cy="3181350"/>
    <xdr:graphicFrame macro="">
      <xdr:nvGraphicFramePr>
        <xdr:cNvPr id="36" name="1 Gráfico">
          <a:extLst>
            <a:ext uri="{FF2B5EF4-FFF2-40B4-BE49-F238E27FC236}">
              <a16:creationId xmlns:a16="http://schemas.microsoft.com/office/drawing/2014/main" id="{00000000-0008-0000-0600-00002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723900</xdr:colOff>
      <xdr:row>0</xdr:row>
      <xdr:rowOff>0</xdr:rowOff>
    </xdr:from>
    <xdr:to>
      <xdr:col>1</xdr:col>
      <xdr:colOff>2114550</xdr:colOff>
      <xdr:row>2</xdr:row>
      <xdr:rowOff>127000</xdr:rowOff>
    </xdr:to>
    <xdr:pic>
      <xdr:nvPicPr>
        <xdr:cNvPr id="4" name="Imagen 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381125" y="0"/>
          <a:ext cx="1390650"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4" name="Imagen 1">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6325850" y="4581525"/>
          <a:ext cx="1428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5</xdr:row>
      <xdr:rowOff>39158</xdr:rowOff>
    </xdr:to>
    <xdr:pic>
      <xdr:nvPicPr>
        <xdr:cNvPr id="5" name="Imagen 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62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0</xdr:row>
      <xdr:rowOff>0</xdr:rowOff>
    </xdr:from>
    <xdr:to>
      <xdr:col>2</xdr:col>
      <xdr:colOff>2009775</xdr:colOff>
      <xdr:row>3</xdr:row>
      <xdr:rowOff>0</xdr:rowOff>
    </xdr:to>
    <xdr:pic>
      <xdr:nvPicPr>
        <xdr:cNvPr id="6" name="Imagen 1">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0</xdr:row>
      <xdr:rowOff>0</xdr:rowOff>
    </xdr:from>
    <xdr:to>
      <xdr:col>1</xdr:col>
      <xdr:colOff>1438275</xdr:colOff>
      <xdr:row>3</xdr:row>
      <xdr:rowOff>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47625" y="0"/>
          <a:ext cx="13906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7" name="Imagen 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1382375" y="0"/>
          <a:ext cx="1095375" cy="58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2" name="Imagen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2" name="Imagen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55257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5918656" y="0"/>
          <a:ext cx="400050" cy="89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5" name="Imagen 1">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9145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3" name="Imagen 1">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3" name="Imagen 1">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8" name="Imagen 1">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143125"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762000</xdr:colOff>
      <xdr:row>2</xdr:row>
      <xdr:rowOff>0</xdr:rowOff>
    </xdr:from>
    <xdr:to>
      <xdr:col>0</xdr:col>
      <xdr:colOff>2152650</xdr:colOff>
      <xdr:row>5</xdr:row>
      <xdr:rowOff>39158</xdr:rowOff>
    </xdr:to>
    <xdr:pic>
      <xdr:nvPicPr>
        <xdr:cNvPr id="2" name="Imagen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762000</xdr:colOff>
      <xdr:row>0</xdr:row>
      <xdr:rowOff>0</xdr:rowOff>
    </xdr:from>
    <xdr:to>
      <xdr:col>0</xdr:col>
      <xdr:colOff>2152650</xdr:colOff>
      <xdr:row>3</xdr:row>
      <xdr:rowOff>39158</xdr:rowOff>
    </xdr:to>
    <xdr:pic>
      <xdr:nvPicPr>
        <xdr:cNvPr id="3" name="Imagen 1">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0</xdr:row>
      <xdr:rowOff>0</xdr:rowOff>
    </xdr:from>
    <xdr:to>
      <xdr:col>1</xdr:col>
      <xdr:colOff>2152650</xdr:colOff>
      <xdr:row>3</xdr:row>
      <xdr:rowOff>39158</xdr:rowOff>
    </xdr:to>
    <xdr:pic>
      <xdr:nvPicPr>
        <xdr:cNvPr id="4" name="Imagen 1">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39158</xdr:rowOff>
    </xdr:to>
    <xdr:pic>
      <xdr:nvPicPr>
        <xdr:cNvPr id="2" name="Imagen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495425"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762000</xdr:colOff>
      <xdr:row>0</xdr:row>
      <xdr:rowOff>0</xdr:rowOff>
    </xdr:from>
    <xdr:to>
      <xdr:col>1</xdr:col>
      <xdr:colOff>2152650</xdr:colOff>
      <xdr:row>3</xdr:row>
      <xdr:rowOff>0</xdr:rowOff>
    </xdr:to>
    <xdr:pic>
      <xdr:nvPicPr>
        <xdr:cNvPr id="3" name="Imagen 1">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286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39158</xdr:rowOff>
    </xdr:to>
    <xdr:pic>
      <xdr:nvPicPr>
        <xdr:cNvPr id="5" name="Imagen 1">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620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762000</xdr:colOff>
      <xdr:row>0</xdr:row>
      <xdr:rowOff>0</xdr:rowOff>
    </xdr:from>
    <xdr:to>
      <xdr:col>1</xdr:col>
      <xdr:colOff>2152650</xdr:colOff>
      <xdr:row>3</xdr:row>
      <xdr:rowOff>39158</xdr:rowOff>
    </xdr:to>
    <xdr:pic>
      <xdr:nvPicPr>
        <xdr:cNvPr id="6" name="Imagen 1">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2639675" y="581025"/>
          <a:ext cx="1019175"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39158</xdr:rowOff>
    </xdr:to>
    <xdr:pic>
      <xdr:nvPicPr>
        <xdr:cNvPr id="2" name="Imagen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409700" y="0"/>
          <a:ext cx="1390650" cy="620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762000</xdr:colOff>
      <xdr:row>0</xdr:row>
      <xdr:rowOff>0</xdr:rowOff>
    </xdr:from>
    <xdr:to>
      <xdr:col>1</xdr:col>
      <xdr:colOff>2152650</xdr:colOff>
      <xdr:row>3</xdr:row>
      <xdr:rowOff>0</xdr:rowOff>
    </xdr:to>
    <xdr:pic>
      <xdr:nvPicPr>
        <xdr:cNvPr id="3" name="Imagen 1">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762000" y="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762000</xdr:colOff>
      <xdr:row>0</xdr:row>
      <xdr:rowOff>0</xdr:rowOff>
    </xdr:from>
    <xdr:to>
      <xdr:col>2</xdr:col>
      <xdr:colOff>2152650</xdr:colOff>
      <xdr:row>3</xdr:row>
      <xdr:rowOff>0</xdr:rowOff>
    </xdr:to>
    <xdr:pic>
      <xdr:nvPicPr>
        <xdr:cNvPr id="5" name="Imagen 1">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18240994" y="0"/>
          <a:ext cx="1076325" cy="60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619125</xdr:colOff>
      <xdr:row>0</xdr:row>
      <xdr:rowOff>0</xdr:rowOff>
    </xdr:from>
    <xdr:to>
      <xdr:col>1</xdr:col>
      <xdr:colOff>2009775</xdr:colOff>
      <xdr:row>3</xdr:row>
      <xdr:rowOff>0</xdr:rowOff>
    </xdr:to>
    <xdr:pic>
      <xdr:nvPicPr>
        <xdr:cNvPr id="2" name="Imagen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619125</xdr:colOff>
      <xdr:row>0</xdr:row>
      <xdr:rowOff>0</xdr:rowOff>
    </xdr:from>
    <xdr:to>
      <xdr:col>2</xdr:col>
      <xdr:colOff>2009775</xdr:colOff>
      <xdr:row>3</xdr:row>
      <xdr:rowOff>0</xdr:rowOff>
    </xdr:to>
    <xdr:pic>
      <xdr:nvPicPr>
        <xdr:cNvPr id="6" name="Imagen 1">
          <a:extLst>
            <a:ext uri="{FF2B5EF4-FFF2-40B4-BE49-F238E27FC236}">
              <a16:creationId xmlns:a16="http://schemas.microsoft.com/office/drawing/2014/main" id="{00000000-0008-0000-25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619125" y="0"/>
          <a:ext cx="13906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sus Octavio Vargas" id="{4662A1F9-D101-4B77-92DF-BDB5F5E97379}" userId="7ad1cdb52f065c2d" providerId="Windows Live"/>
  <person displayName="jp365-2024.12@outlook.com" id="{088A2116-FD7B-43BD-ACB5-842FE4F3E399}" userId="9f2c02e86b019dce"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idy Lorena Montes Cabrera" refreshedDate="45260.372144097222" createdVersion="6" refreshedVersion="6" minRefreshableVersion="3" recordCount="62">
  <cacheSource type="worksheet">
    <worksheetSource ref="A1:H63" sheet="3. PPTOS INICIALES"/>
  </cacheSource>
  <cacheFields count="8">
    <cacheField name="No PROGRAMA" numFmtId="0">
      <sharedItems/>
    </cacheField>
    <cacheField name="PROGRAMA" numFmtId="0">
      <sharedItems/>
    </cacheField>
    <cacheField name="PROYECTO" numFmtId="9">
      <sharedItems count="15">
        <s v="DESARROLLO SECTORIAL SOSTENIBLE"/>
        <s v="NEGOCIOS VERDES "/>
        <s v="CONTROL Y VIGILANCIA AL DESARROLLO SECTORIAL SOSTENIBLE"/>
        <s v="GESTIÓN INTEGRAL DE LA BIODIVERSIDAD Y SUS SERVICIOS ECOSISTÉMICOS"/>
        <s v="CONTROL, SEGUIMIENTO Y MONITOREO AL USO Y MANEJO DE RECURSOS DE LA OFERTA NATURAL"/>
        <s v="RESTAURACIÓN, REFORESTACIÓN Y PROTECCIÓN DE ECOSISTEMAS ESTRATÉGICOS EN CUENCAS HIDROGRÁFICAS"/>
        <s v="CONSERVACIÓN Y USO EFICIENTE DEL RECURSO HÍDRICO"/>
        <s v="ADMINISTRACIÓN DEL RECURSO HIDRICO "/>
        <s v="INFORMACIÓN Y CONOCIMIENTO AMBIENTAL"/>
        <s v="FORTALECIMIENTO DE LOS PROCESOS DE ORDENAMIENTO Y PLANIFICACIÓN TERRITORIAL"/>
        <s v="GESTIÓN DEL CONOCIMIENTO Y REDUCCIÓN DEL  RIESGO DE DESASTRES"/>
        <s v="GESTIÓN AMBIENTAL CON COMUNIDADES ETNICAS "/>
        <s v="GESTIÓN DEL CAMBIO CLIMÁTICO"/>
        <s v="EDUCACIÓN Y CULTURA AMBIENTAL"/>
        <s v="FORTALECIMIENTO INSTITUCIONAL PARA LA GESTIÓN AMBIENTAL"/>
      </sharedItems>
    </cacheField>
    <cacheField name="No." numFmtId="0">
      <sharedItems containsSemiMixedTypes="0" containsString="0" containsNumber="1" containsInteger="1" minValue="320101" maxValue="329901" count="15">
        <n v="320101"/>
        <n v="320102"/>
        <n v="320103"/>
        <n v="320201"/>
        <n v="320202"/>
        <n v="320203"/>
        <n v="320301"/>
        <n v="320302"/>
        <n v="320401"/>
        <n v="320501"/>
        <n v="320502"/>
        <n v="320503"/>
        <n v="320601"/>
        <n v="320801"/>
        <n v="329901"/>
      </sharedItems>
    </cacheField>
    <cacheField name="No INDICADOR" numFmtId="167">
      <sharedItems containsSemiMixedTypes="0" containsString="0" containsNumber="1" containsInteger="1" minValue="101" maxValue="162"/>
    </cacheField>
    <cacheField name="NOMBRE INDICADOR" numFmtId="9">
      <sharedItems longText="1"/>
    </cacheField>
    <cacheField name="PRESUPUESTO INICIAL 2023 Acuerdo 020 de 2022" numFmtId="167">
      <sharedItems containsSemiMixedTypes="0" containsString="0" containsNumber="1" minValue="0" maxValue="4792692430.0400009"/>
    </cacheField>
    <cacheField name="PRESUPUESTO INCIAL 2024" numFmtId="170">
      <sharedItems containsSemiMixedTypes="0" containsString="0" containsNumber="1" minValue="0" maxValue="5375042318.79999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
  <r>
    <s v="3201"/>
    <s v="Fortalecimiento del desempeño ambiental de los sectores productivos"/>
    <x v="0"/>
    <x v="0"/>
    <n v="101"/>
    <s v="Porcentaje de sectores con acompañamiento para la reconversión hacia sistemas sostenibles de producción (IM 18)"/>
    <n v="142804064"/>
    <n v="1503102943.1385601"/>
  </r>
  <r>
    <s v="3201"/>
    <s v="Fortalecimiento del desempeño ambiental de los sectores productivos"/>
    <x v="0"/>
    <x v="0"/>
    <n v="102"/>
    <s v="Apoyo a la  Gestión, Operación, Administración y Promoción del Proyecto"/>
    <n v="108794263"/>
    <n v="123713718.94513361"/>
  </r>
  <r>
    <s v="3201"/>
    <s v="Fortalecimiento del desempeño ambiental de los sectores productivos"/>
    <x v="1"/>
    <x v="1"/>
    <n v="103"/>
    <s v="Implementación del Programa Regional de Negocios Verdes por la autoridad ambiental (IM 20)"/>
    <n v="319505329"/>
    <n v="350643385.60000002"/>
  </r>
  <r>
    <s v="3201"/>
    <s v="Fortalecimiento del desempeño ambiental de los sectores productivos"/>
    <x v="1"/>
    <x v="1"/>
    <n v="104"/>
    <s v="Apoyo a la  Gestión, Operación, Administración y Promoción del Proyecto"/>
    <n v="125180743"/>
    <n v="141833718.94513363"/>
  </r>
  <r>
    <s v="3201"/>
    <s v="Fortalecimiento del desempeño ambiental de los sectores productivos"/>
    <x v="2"/>
    <x v="2"/>
    <n v="105"/>
    <s v="Porcentaje de Planes de Gestión Integral de Residuos Sólidos (PGIRS) con seguimiento a metas de aprovechamiento (IM 17)"/>
    <n v="23286249.100800004"/>
    <n v="4346416.4000000004"/>
  </r>
  <r>
    <s v="3201"/>
    <s v="Fortalecimiento del desempeño ambiental de los sectores productivos"/>
    <x v="2"/>
    <x v="2"/>
    <n v="106"/>
    <s v="Porcentaje de asistencia técnica, seguimiento y control a generadores de residuos o desechos peligrosos – RESPEL y especiales"/>
    <n v="77614758.143999994"/>
    <n v="86928328"/>
  </r>
  <r>
    <s v="3201"/>
    <s v="Fortalecimiento del desempeño ambiental de los sectores productivos"/>
    <x v="2"/>
    <x v="2"/>
    <n v="107"/>
    <s v="Porcentaje de autorizaciones ambientales con seguimiento (IM 22)"/>
    <n v="335453812.69822085"/>
    <n v="728314435.41199994"/>
  </r>
  <r>
    <s v="3201"/>
    <s v="Fortalecimiento del desempeño ambiental de los sectores productivos"/>
    <x v="2"/>
    <x v="2"/>
    <n v="108"/>
    <s v="Tiempo promedio de trámite para la resolución de autorizaciones ambientales otorgadas por la Corporación. (IM 21)"/>
    <n v="0"/>
    <n v="0"/>
  </r>
  <r>
    <s v="3201"/>
    <s v="Fortalecimiento del desempeño ambiental de los sectores productivos"/>
    <x v="2"/>
    <x v="2"/>
    <n v="109"/>
    <s v="Porcentaje de solicitudes de licencias y permisos ambientales resueltos."/>
    <n v="369147978.6007216"/>
    <n v="548372397.37800014"/>
  </r>
  <r>
    <s v="3201"/>
    <s v="Fortalecimiento del desempeño ambiental de los sectores productivos"/>
    <x v="2"/>
    <x v="2"/>
    <n v="110"/>
    <s v="Porcentaje de procesos sancionatorios resueltos (IM 23)"/>
    <n v="545353389.8513242"/>
    <n v="688184169.59999967"/>
  </r>
  <r>
    <s v="3201"/>
    <s v="Fortalecimiento del desempeño ambiental de los sectores productivos"/>
    <x v="2"/>
    <x v="2"/>
    <n v="111"/>
    <s v="No. Fuentes móviles de emisiones atmosféricas (via publica y empresas transportadoras - Laboratorio de fuentes moviles) con seguimiento, monitoreo y control"/>
    <n v="7911917.8104141001"/>
    <n v="0"/>
  </r>
  <r>
    <s v="3201"/>
    <s v="Fortalecimiento del desempeño ambiental de los sectores productivos"/>
    <x v="2"/>
    <x v="2"/>
    <n v="112"/>
    <s v="No. Redes de vigilancia y monitoreo de la calidad del aire implementada"/>
    <n v="0"/>
    <n v="0"/>
  </r>
  <r>
    <s v="3201"/>
    <s v="Fortalecimiento del desempeño ambiental de los sectores productivos"/>
    <x v="2"/>
    <x v="2"/>
    <n v="113"/>
    <s v="No. Mapas de ruido y planes de descontaminación actualizados"/>
    <n v="0"/>
    <n v="0"/>
  </r>
  <r>
    <s v="3201"/>
    <s v="Fortalecimiento del desempeño ambiental de los sectores productivos"/>
    <x v="2"/>
    <x v="2"/>
    <n v="114"/>
    <s v="% de Generadores y gestores de Residuos de Construcción y Demolición - RCD con seguimiento"/>
    <n v="22761475.814400002"/>
    <n v="8692832.8000000007"/>
  </r>
  <r>
    <s v="3201"/>
    <s v="Fortalecimiento del desempeño ambiental de los sectores productivos"/>
    <x v="2"/>
    <x v="2"/>
    <n v="115"/>
    <s v="% de Empresas obligadas a conformar el Departamento de Gestión Ambiental con seguimiento"/>
    <n v="7911917.8104141001"/>
    <n v="4346416.4000000004"/>
  </r>
  <r>
    <s v="3201"/>
    <s v="Fortalecimiento del desempeño ambiental de los sectores productivos"/>
    <x v="2"/>
    <x v="2"/>
    <n v="116"/>
    <s v="Gestión, Operación, Administración y Promoción del Proyecto apoyados"/>
    <n v="2542534399.1708388"/>
    <n v="2870871193.9600253"/>
  </r>
  <r>
    <s v="3201"/>
    <s v="Fortalecimiento del desempeño ambiental de los sectores productivos"/>
    <x v="3"/>
    <x v="3"/>
    <n v="117"/>
    <s v="No. predios apoyados para su caracterización y/o gestión como reserva natural de la sociedad civil"/>
    <n v="278003467"/>
    <n v="213543623.01454544"/>
  </r>
  <r>
    <s v="3201"/>
    <s v="Fortalecimiento del desempeño ambiental de los sectores productivos"/>
    <x v="3"/>
    <x v="3"/>
    <n v="118"/>
    <s v="No. ecosistemas compartidos planificados y/o gestionados por la Corporación"/>
    <n v="351400000"/>
    <n v="544922470.88"/>
  </r>
  <r>
    <s v="3201"/>
    <s v="Fortalecimiento del desempeño ambiental de los sectores productivos"/>
    <x v="3"/>
    <x v="3"/>
    <n v="119"/>
    <s v="No.de áreas estratégicas con desarrollo de actividades de investigacion-monitoreo y estudios de caracterización de la biodiversidad con participación comunitaria"/>
    <n v="100851037"/>
    <n v="190638371.42399997"/>
  </r>
  <r>
    <s v="3201"/>
    <s v="Fortalecimiento del desempeño ambiental de los sectores productivos"/>
    <x v="3"/>
    <x v="3"/>
    <n v="120"/>
    <s v="No. De estudios formulados  y/o actualizados de planes de manejo ambiental (PMA) de áreas protegidas"/>
    <n v="649326723"/>
    <n v="194000000"/>
  </r>
  <r>
    <s v="3201"/>
    <s v="Fortalecimiento del desempeño ambiental de los sectores productivos"/>
    <x v="3"/>
    <x v="3"/>
    <n v="121"/>
    <s v="% de estudios elaborados  en ejecución de la Política Ambiental"/>
    <n v="55287656"/>
    <n v="0"/>
  </r>
  <r>
    <s v="3201"/>
    <s v="Fortalecimiento del desempeño ambiental de los sectores productivos"/>
    <x v="3"/>
    <x v="3"/>
    <n v="122"/>
    <s v="Porcentaje de especies  invasoras con medidas de prevención, control y manejo en ejecución (IM 14)"/>
    <n v="6146575"/>
    <n v="55827007"/>
  </r>
  <r>
    <s v="3201"/>
    <s v="Fortalecimiento del desempeño ambiental de los sectores productivos"/>
    <x v="3"/>
    <x v="3"/>
    <n v="123"/>
    <s v="Porcentaje de áreas protegidas con planes de manejo en ejecución (IM 12)"/>
    <n v="1168515989"/>
    <n v="1509529798.2119997"/>
  </r>
  <r>
    <s v="3201"/>
    <s v="Fortalecimiento del desempeño ambiental de los sectores productivos"/>
    <x v="3"/>
    <x v="3"/>
    <n v="124"/>
    <s v="Porcentaje de áreas de ecosistemas en restauración, rehabilitación y reforestación (IM 15)"/>
    <n v="210098681"/>
    <n v="279991651.70960003"/>
  </r>
  <r>
    <s v="3201"/>
    <s v="Fortalecimiento del desempeño ambiental de los sectores productivos"/>
    <x v="3"/>
    <x v="3"/>
    <n v="125"/>
    <s v="Porcentaje de especies amenazadas con medidas de conservación y manejo en ejecución (IM 13)"/>
    <n v="281976970"/>
    <n v="744826170.55999994"/>
  </r>
  <r>
    <s v="3201"/>
    <s v="Fortalecimiento del desempeño ambiental de los sectores productivos"/>
    <x v="3"/>
    <x v="3"/>
    <n v="126"/>
    <s v="Gestión, Operación, Administración y Promoción del Proyecto apoyados"/>
    <n v="247527159"/>
    <n v="248680194.85251135"/>
  </r>
  <r>
    <s v="3201"/>
    <s v="Fortalecimiento del desempeño ambiental de los sectores productivos"/>
    <x v="4"/>
    <x v="4"/>
    <n v="127"/>
    <s v="No. De Estrategias de control implementadas para extracción  ilegal de los recursos naturales. RED DE CONTROL AMBIENTAL RECAM"/>
    <n v="457440441.13502723"/>
    <n v="697348822.29999995"/>
  </r>
  <r>
    <s v="3201"/>
    <s v="Fortalecimiento del desempeño ambiental de los sectores productivos"/>
    <x v="4"/>
    <x v="4"/>
    <n v="128"/>
    <s v="Estrategias de control a la deforestacion y conservacion y uso sostenible de los bosques en el departamento del Huila implementada"/>
    <n v="380100130.90246326"/>
    <n v="477640851.72900003"/>
  </r>
  <r>
    <s v="3201"/>
    <s v="Fortalecimiento del desempeño ambiental de los sectores productivos"/>
    <x v="4"/>
    <x v="4"/>
    <n v="129"/>
    <s v="Estrategia para la preservación, conservación, rehabilitación y/o reintroducción, control y seguimiento a la fauna silvestre formulada e implementada"/>
    <n v="207523079.19840002"/>
    <n v="436982576.5"/>
  </r>
  <r>
    <s v="3201"/>
    <s v="Fortalecimiento del desempeño ambiental de los sectores productivos"/>
    <x v="5"/>
    <x v="5"/>
    <n v="130"/>
    <s v="Porcentaje de suelos degradados en recuperación o rehabilitacón (IM 8)"/>
    <n v="160000000"/>
    <n v="120000000"/>
  </r>
  <r>
    <s v="3201"/>
    <s v="Fortalecimiento del desempeño ambiental de los sectores productivos"/>
    <x v="5"/>
    <x v="5"/>
    <n v="131"/>
    <s v="Porcentaje de áreas reforestadas gestionadas y con mantenimiento para la protección de cuencas abastecedoras."/>
    <n v="432943201.10000002"/>
    <n v="327604813.22500002"/>
  </r>
  <r>
    <s v="3201"/>
    <s v="Fortalecimiento del desempeño ambiental de los sectores productivos"/>
    <x v="5"/>
    <x v="5"/>
    <n v="132"/>
    <s v="Ha. revegetalizadas naturalmente para la protección de cuencas abastecedoras"/>
    <n v="238852117"/>
    <n v="91771680"/>
  </r>
  <r>
    <s v="3201"/>
    <s v="Fortalecimiento del desempeño ambiental de los sectores productivos"/>
    <x v="5"/>
    <x v="5"/>
    <n v="133"/>
    <s v="Porcentaje de áreas revegetalizadas naturalmente para la protección de cuencas abastecedoras con mantenimiento."/>
    <n v="284467505.60000002"/>
    <n v="379500480"/>
  </r>
  <r>
    <s v="3201"/>
    <s v="Fortalecimiento del desempeño ambiental de los sectores productivos"/>
    <x v="5"/>
    <x v="5"/>
    <n v="134"/>
    <s v="Ha. adquiridas y administradas para la restauración  y conservación de áreas estratégicas en cuencas hidrográficas abastecedoras de acueductos municipales y/o veredales"/>
    <n v="0"/>
    <n v="0"/>
  </r>
  <r>
    <s v="3203"/>
    <s v="Gestión integral del recurso hídrico"/>
    <x v="6"/>
    <x v="6"/>
    <n v="135"/>
    <s v="Porcentaje de avance en la formulación y/o ajustes de los  Planes de Ordenación y Manejo de Cuencas (POMCAS), Planes de Manejo de Acuíferos (PMA) y Planes de Manejo de Microcuencas (PMM). (IM 1)"/>
    <n v="1478641236.8199999"/>
    <n v="321842670.9635765"/>
  </r>
  <r>
    <s v="3203"/>
    <s v="Gestión integral del recurso hídrico"/>
    <x v="6"/>
    <x v="6"/>
    <n v="136"/>
    <s v="Porcentaje de Planes de Ordenación y Manejo de Cuencas (POMCAS), Planes de Manejo de Acuíferos (PMA) y Planes de Manejo de Microcuencas (PMM) en ejecución (IM 6)"/>
    <n v="4792692430.0400009"/>
    <n v="5375042318.7999992"/>
  </r>
  <r>
    <s v="3203"/>
    <s v="Gestión integral del recurso hídrico"/>
    <x v="6"/>
    <x v="6"/>
    <n v="137"/>
    <s v="No. De convenios  para cofinanciar la construcción  y seguimiento a proyectos de saneamiento ambiental hídrico como: interceptores, emisarios finales,  sistemas de tratamiento de aguas residuales domésticas y/o estudios y diseños asociados a estas obras."/>
    <n v="2155298058"/>
    <n v="937224539.98184013"/>
  </r>
  <r>
    <s v="3203"/>
    <s v="Gestión integral del recurso hídrico"/>
    <x v="7"/>
    <x v="7"/>
    <n v="138"/>
    <s v="Porcentaje de Programas de Uso Eficiente y Ahorro del Agua (PUEAA) con seguimiento (IM 5)"/>
    <n v="7761475.8144000005"/>
    <n v="4346416.4000000004"/>
  </r>
  <r>
    <s v="3203"/>
    <s v="Gestión integral del recurso hídrico"/>
    <x v="7"/>
    <x v="7"/>
    <n v="139"/>
    <s v="Porcentaje de Planes de Saneamiento y Manejo de Vertimientos –PSMV- con seguimiento (IM 3)"/>
    <n v="7761475.8144000005"/>
    <n v="4346416.4000000004"/>
  </r>
  <r>
    <s v="3203"/>
    <s v="Gestión integral del recurso hídrico"/>
    <x v="7"/>
    <x v="7"/>
    <n v="140"/>
    <s v="Porcentaje de cuerpos de agua con reglamentación por uso de las aguas (IM 4)"/>
    <n v="154001216.162"/>
    <n v="250000000"/>
  </r>
  <r>
    <s v="3203"/>
    <s v="Gestión integral del recurso hídrico"/>
    <x v="7"/>
    <x v="7"/>
    <n v="141"/>
    <s v="Porcentaje de cuerpos de agua con plan de ordenamiento del recurso hídrico (PORH) adoptados (IM 2)"/>
    <n v="154001216.162"/>
    <n v="250000000"/>
  </r>
  <r>
    <s v="3203"/>
    <s v="Gestión integral del recurso hídrico"/>
    <x v="7"/>
    <x v="7"/>
    <n v="142"/>
    <s v="Implementación del Programa Institucional Regional de monitoreo del agua - PIRMA en aguas superficial y subterráneas"/>
    <n v="1922131439.9790401"/>
    <n v="1995362384.0340002"/>
  </r>
  <r>
    <s v="3203"/>
    <s v="Gestión integral del recurso hídrico"/>
    <x v="7"/>
    <x v="7"/>
    <n v="143"/>
    <s v="Estudios Ambientales del recurso hídrico Evaluación Regional del Agua - ERA) elaborados"/>
    <n v="324103857.46816003"/>
    <n v="193950310.40000001"/>
  </r>
  <r>
    <s v="3203"/>
    <s v="Gestión integral del recurso hídrico"/>
    <x v="7"/>
    <x v="7"/>
    <n v="144"/>
    <s v="Porcentaje de ejecución de acciones en gestión ambiental urbana (IM 19)"/>
    <n v="0"/>
    <n v="40000000"/>
  </r>
  <r>
    <s v="3204"/>
    <s v="Gestión de la información y el conocimiento ambiental"/>
    <x v="8"/>
    <x v="8"/>
    <n v="145"/>
    <s v="Porcentaje de Optimización y seguimiento de los aplicativos en línea de trámites ambientales (CITA, RUIA, SUNL, LOFL, SILAMC - VITAL)."/>
    <n v="225957274.87051016"/>
    <n v="418728641.60000002"/>
  </r>
  <r>
    <s v="3204"/>
    <s v="Gestión de la información y el conocimiento ambiental"/>
    <x v="8"/>
    <x v="8"/>
    <n v="146"/>
    <s v="Porcentaje de actualización y reporte de la información en el SIAC (IM 26)"/>
    <n v="45010129.020289861"/>
    <n v="56503413.200000003"/>
  </r>
  <r>
    <s v="3205"/>
    <s v="Ordenamiento ambiental territorial"/>
    <x v="9"/>
    <x v="9"/>
    <n v="147"/>
    <s v="Porcentaje de municipios asesorados o asistidos en la inclusión del componente ambiental en los procesos de planificación y ordenamiento territorial, con énfasis en la incorporación de las determinantes ambientales para la revisión y ajuste de los POT (IM 24)"/>
    <n v="315425338.37479997"/>
    <n v="282109790.50848001"/>
  </r>
  <r>
    <s v="3205"/>
    <s v="Ordenamiento ambiental territorial"/>
    <x v="9"/>
    <x v="9"/>
    <n v="148"/>
    <s v="Apoyo a la  Gestión, Operación, Administración y Promoción del Proyecto"/>
    <n v="108794262.88113163"/>
    <n v="126713718.94513361"/>
  </r>
  <r>
    <s v="3205"/>
    <s v="Ordenamiento ambiental territorial"/>
    <x v="10"/>
    <x v="10"/>
    <n v="149"/>
    <s v="CONOCIMIENTO DEL RIESGO DE DESASTRES GESTIONADO"/>
    <n v="589718895.25524259"/>
    <n v="214451294.76000002"/>
  </r>
  <r>
    <s v="3205"/>
    <s v="Ordenamiento ambiental territorial"/>
    <x v="10"/>
    <x v="10"/>
    <n v="150"/>
    <s v="REDUCCIÓN DEL RIESGO DE DESASTRES GESTIONADO"/>
    <n v="2856646767.7447572"/>
    <n v="4087580569"/>
  </r>
  <r>
    <s v="3205"/>
    <s v="Ordenamiento ambiental territorial"/>
    <x v="11"/>
    <x v="11"/>
    <n v="151"/>
    <s v="Comunidades Indígenas apoyadas en temas de competencia de la Corporación"/>
    <n v="299999999.88704002"/>
    <n v="511846400"/>
  </r>
  <r>
    <s v="3205"/>
    <s v="Ordenamiento ambiental territorial"/>
    <x v="11"/>
    <x v="11"/>
    <n v="152"/>
    <s v="Apoyo a la Gestión, Operación, Administración y Promoción del Proyecto"/>
    <n v="138973148"/>
    <n v="157146830.54850653"/>
  </r>
  <r>
    <s v="3206"/>
    <s v="Gestión del cambio climático para un desarrollo bajo en carbono y resiliente al clima"/>
    <x v="12"/>
    <x v="12"/>
    <n v="153"/>
    <s v="Porcentaje de entes territoriales asesorados en la incorporación, planificación y ejecución de acciones relacionadas con cambio climático en el marco de los instrumentos de planificación territorial (IM 7)"/>
    <n v="70541306"/>
    <n v="36055585.350400001"/>
  </r>
  <r>
    <s v="3206"/>
    <s v="Gestión del cambio climático para un desarrollo bajo en carbono y resiliente al clima"/>
    <x v="12"/>
    <x v="12"/>
    <n v="154"/>
    <s v="Identificación, promoción y aplicación de energías alternativas y/o utilización de sistemas ecoeficientes de combustión en sectores productivos y/o para uso doméstico"/>
    <n v="2462937296"/>
    <n v="1047857858.76"/>
  </r>
  <r>
    <s v="3208"/>
    <s v="Educación ambiental"/>
    <x v="13"/>
    <x v="13"/>
    <n v="155"/>
    <s v="Ejecución de acciones en Educación Ambiental (IM 27)"/>
    <n v="881501375.32191992"/>
    <n v="1237698982.658"/>
  </r>
  <r>
    <s v="3208"/>
    <s v="Educación ambiental"/>
    <x v="13"/>
    <x v="13"/>
    <n v="156"/>
    <s v="Apoyo a la Gestión, Operación, Administración y Promoción del Proyecto"/>
    <n v="118794263"/>
    <n v="158713718.94513363"/>
  </r>
  <r>
    <s v="3299"/>
    <s v="Fortalecimiento de la gestión y dirección del sector ambiente y desarrollo sostenible"/>
    <x v="14"/>
    <x v="14"/>
    <n v="157"/>
    <s v="Porcentaje de Consolidación y fortalecimiento del Modelo Integrado de Planeación y Gestión - MIPG"/>
    <n v="385260730.41344005"/>
    <n v="541509266.85450244"/>
  </r>
  <r>
    <s v="3299"/>
    <s v="Fortalecimiento de la gestión y dirección del sector ambiente y desarrollo sostenible"/>
    <x v="14"/>
    <x v="14"/>
    <n v="158"/>
    <s v="Porcentaje de la Política de servicio al ciudadano implementada"/>
    <n v="23614080"/>
    <n v="55414374"/>
  </r>
  <r>
    <s v="3299"/>
    <s v="Fortalecimiento de la gestión y dirección del sector ambiente y desarrollo sostenible"/>
    <x v="14"/>
    <x v="14"/>
    <n v="159"/>
    <s v="Porcentaje de actualización e implementación del Plan Estratégico Tecnológico de la CAM para el período 2020-2023"/>
    <n v="546629581"/>
    <n v="695794217.98399997"/>
  </r>
  <r>
    <s v="3299"/>
    <s v="Fortalecimiento de la gestión y dirección del sector ambiente y desarrollo sostenible"/>
    <x v="14"/>
    <x v="14"/>
    <n v="160"/>
    <s v="Porcentaje de actualización e Implementacion del programa de gestión documental"/>
    <n v="89880262.133760005"/>
    <n v="361464752"/>
  </r>
  <r>
    <s v="3299"/>
    <s v="Fortalecimiento de la gestión y dirección del sector ambiente y desarrollo sostenible"/>
    <x v="14"/>
    <x v="14"/>
    <n v="161"/>
    <s v="Porcentaje de sedes Diseñadas y/o construidas y/o adecuadas, como ejemplo de sostenibilidad ambiental y armonía con el ambiente"/>
    <n v="201151449.30400002"/>
    <n v="215252811.67360002"/>
  </r>
  <r>
    <s v="3299"/>
    <s v="Fortalecimiento de la gestión y dirección del sector ambiente y desarrollo sostenible"/>
    <x v="14"/>
    <x v="14"/>
    <n v="162"/>
    <s v="Apoyo a la Gestión, Operación, Administración y Promoción del Proyecto"/>
    <n v="327894154"/>
    <n v="385119448.856764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7" applyNumberFormats="0" applyBorderFormats="0" applyFontFormats="0" applyPatternFormats="0" applyAlignmentFormats="0" applyWidthHeightFormats="1" dataCaption="Valores" updatedVersion="6" minRefreshableVersion="3" showDrill="0" itemPrintTitles="1" createdVersion="6" indent="0" compact="0" compactData="0" multipleFieldFilters="0">
  <location ref="K2:M18" firstHeaderRow="0" firstDataRow="1" firstDataCol="1"/>
  <pivotFields count="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5">
        <item x="7"/>
        <item x="6"/>
        <item x="2"/>
        <item x="4"/>
        <item x="0"/>
        <item x="13"/>
        <item x="9"/>
        <item x="14"/>
        <item x="11"/>
        <item x="12"/>
        <item x="10"/>
        <item x="3"/>
        <item x="8"/>
        <item x="1"/>
        <item x="5"/>
      </items>
      <extLst>
        <ext xmlns:x14="http://schemas.microsoft.com/office/spreadsheetml/2009/9/main" uri="{2946ED86-A175-432a-8AC1-64E0C546D7DE}">
          <x14:pivotField fillDownLabels="1"/>
        </ext>
      </extLst>
    </pivotField>
    <pivotField axis="axisRow" compact="0" outline="0" showAll="0" defaultSubtotal="0">
      <items count="15">
        <item x="0"/>
        <item x="1"/>
        <item x="2"/>
        <item x="3"/>
        <item x="4"/>
        <item x="5"/>
        <item x="6"/>
        <item x="7"/>
        <item x="8"/>
        <item x="9"/>
        <item x="10"/>
        <item x="11"/>
        <item x="12"/>
        <item x="13"/>
        <item x="14"/>
      </items>
      <extLst>
        <ext xmlns:x14="http://schemas.microsoft.com/office/spreadsheetml/2009/9/main" uri="{2946ED86-A175-432a-8AC1-64E0C546D7DE}">
          <x14:pivotField fillDownLabels="1"/>
        </ext>
      </extLst>
    </pivotField>
    <pivotField compact="0" numFmtId="167"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7" outline="0" showAll="0" defaultSubtotal="0">
      <extLst>
        <ext xmlns:x14="http://schemas.microsoft.com/office/spreadsheetml/2009/9/main" uri="{2946ED86-A175-432a-8AC1-64E0C546D7DE}">
          <x14:pivotField fillDownLabels="1"/>
        </ext>
      </extLst>
    </pivotField>
    <pivotField dataField="1" compact="0" numFmtId="170" outline="0" showAll="0" defaultSubtotal="0">
      <extLst>
        <ext xmlns:x14="http://schemas.microsoft.com/office/spreadsheetml/2009/9/main" uri="{2946ED86-A175-432a-8AC1-64E0C546D7DE}">
          <x14:pivotField fillDownLabels="1"/>
        </ext>
      </extLst>
    </pivotField>
  </pivotFields>
  <rowFields count="1">
    <field x="3"/>
  </rowFields>
  <rowItems count="16">
    <i>
      <x/>
    </i>
    <i>
      <x v="1"/>
    </i>
    <i>
      <x v="2"/>
    </i>
    <i>
      <x v="3"/>
    </i>
    <i>
      <x v="4"/>
    </i>
    <i>
      <x v="5"/>
    </i>
    <i>
      <x v="6"/>
    </i>
    <i>
      <x v="7"/>
    </i>
    <i>
      <x v="8"/>
    </i>
    <i>
      <x v="9"/>
    </i>
    <i>
      <x v="10"/>
    </i>
    <i>
      <x v="11"/>
    </i>
    <i>
      <x v="12"/>
    </i>
    <i>
      <x v="13"/>
    </i>
    <i>
      <x v="14"/>
    </i>
    <i t="grand">
      <x/>
    </i>
  </rowItems>
  <colFields count="1">
    <field x="-2"/>
  </colFields>
  <colItems count="2">
    <i>
      <x/>
    </i>
    <i i="1">
      <x v="1"/>
    </i>
  </colItems>
  <dataFields count="2">
    <dataField name="Suma de PRESUPUESTO INICIAL 2023 Acuerdo 020 de 2022" fld="6" baseField="0" baseItem="0" numFmtId="170"/>
    <dataField name="Suma de PRESUPUESTO INCIAL 2024" fld="7" baseField="0" baseItem="0"/>
  </dataFields>
  <formats count="12">
    <format dxfId="12">
      <pivotArea field="2" type="button" dataOnly="0" labelOnly="1" outline="0"/>
    </format>
    <format dxfId="11">
      <pivotArea dataOnly="0" labelOnly="1" grandRow="1" outline="0" fieldPosition="0"/>
    </format>
    <format dxfId="10">
      <pivotArea outline="0" collapsedLevelsAreSubtotals="1" fieldPosition="0"/>
    </format>
    <format dxfId="9">
      <pivotArea dataOnly="0" labelOnly="1" outline="0" axis="axisValues" fieldPosition="0"/>
    </format>
    <format dxfId="8">
      <pivotArea dataOnly="0" labelOnly="1" outline="0" axis="axisValues" fieldPosition="0"/>
    </format>
    <format dxfId="7">
      <pivotArea outline="0" collapsedLevelsAreSubtotals="1" fieldPosition="0"/>
    </format>
    <format dxfId="6">
      <pivotArea dataOnly="0" labelOnly="1" outline="0" axis="axisValues" fieldPosition="0"/>
    </format>
    <format dxfId="5">
      <pivotArea dataOnly="0" labelOnly="1" outline="0" axis="axisValues" fieldPosition="0"/>
    </format>
    <format dxfId="4">
      <pivotArea dataOnly="0" labelOnly="1" outline="0" axis="axisValues" fieldPosition="0"/>
    </format>
    <format dxfId="3">
      <pivotArea dataOnly="0" labelOnly="1" outline="0" axis="axisValues" fieldPosition="0"/>
    </format>
    <format dxfId="2">
      <pivotArea dataOnly="0" labelOnly="1" outline="0" fieldPosition="0">
        <references count="1">
          <reference field="4294967294" count="1">
            <x v="1"/>
          </reference>
        </references>
      </pivotArea>
    </format>
    <format dxfId="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 dT="2024-05-23T12:33:11.54" personId="{088A2116-FD7B-43BD-ACB5-842FE4F3E399}" id="{A2DBE99D-7D2F-45CE-917B-0B13362BEF71}">
    <text>Se traslada para proyecto 14 Compra de equipos</text>
  </threadedComment>
</ThreadedComments>
</file>

<file path=xl/threadedComments/threadedComment2.xml><?xml version="1.0" encoding="utf-8"?>
<ThreadedComments xmlns="http://schemas.microsoft.com/office/spreadsheetml/2018/threadedcomments" xmlns:x="http://schemas.openxmlformats.org/spreadsheetml/2006/main">
  <threadedComment ref="J18" dT="2024-05-23T13:13:46.99" personId="{088A2116-FD7B-43BD-ACB5-842FE4F3E399}" id="{0F0F58DE-7A1C-4B70-BE30-79D784CE6D10}">
    <text>Se sacan 10000000 para interventoria hornillas P12</text>
  </threadedComment>
</ThreadedComments>
</file>

<file path=xl/threadedComments/threadedComment3.xml><?xml version="1.0" encoding="utf-8"?>
<ThreadedComments xmlns="http://schemas.microsoft.com/office/spreadsheetml/2018/threadedcomments" xmlns:x="http://schemas.openxmlformats.org/spreadsheetml/2006/main">
  <threadedComment ref="L20" dT="2024-04-01T16:45:27.51" personId="{4662A1F9-D101-4B77-92DF-BDB5F5E97379}" id="{31C148FA-5C45-4CDC-9DFD-1D5C350ED8BA}">
    <text>Mas $5.020.000 que aporta la SPOT</text>
  </threadedComment>
  <threadedComment ref="L21" dT="2024-04-01T16:45:27.51" personId="{4662A1F9-D101-4B77-92DF-BDB5F5E97379}" id="{CC3FC3CB-D4A0-4113-A8E8-034754408681}">
    <text>Mas $5.020.000 que aporta la SPOT</text>
  </threadedComment>
  <threadedComment ref="L26" dT="2024-04-01T16:45:27.51" personId="{4662A1F9-D101-4B77-92DF-BDB5F5E97379}" id="{D8E6420B-5EAC-4651-8CBC-FB9801C72EF3}">
    <text>Mas $5.020.000 que aporta la SPOT</text>
  </threadedComment>
  <threadedComment ref="L27" dT="2024-04-01T16:45:27.51" personId="{4662A1F9-D101-4B77-92DF-BDB5F5E97379}" id="{FCABBA4E-A801-486F-84E0-0708712AAB4E}">
    <text>Mas $5.020.000 que aporta la SPOT</text>
  </threadedComment>
</ThreadedComments>
</file>

<file path=xl/threadedComments/threadedComment4.xml><?xml version="1.0" encoding="utf-8"?>
<ThreadedComments xmlns="http://schemas.microsoft.com/office/spreadsheetml/2018/threadedcomments" xmlns:x="http://schemas.openxmlformats.org/spreadsheetml/2006/main">
  <threadedComment ref="L19" dT="2024-05-23T12:35:35.10" personId="{088A2116-FD7B-43BD-ACB5-842FE4F3E399}" id="{5B17A223-C870-4229-84F9-10D391DCE594}">
    <text>Se traslada a P14 Compra de equipos</text>
  </threadedComment>
</ThreadedComments>
</file>

<file path=xl/threadedComments/threadedComment5.xml><?xml version="1.0" encoding="utf-8"?>
<ThreadedComments xmlns="http://schemas.microsoft.com/office/spreadsheetml/2018/threadedcomments" xmlns:x="http://schemas.openxmlformats.org/spreadsheetml/2006/main">
  <threadedComment ref="I17" dT="2024-05-23T13:19:39.33" personId="{088A2116-FD7B-43BD-ACB5-842FE4F3E399}" id="{EA50677B-E3B5-494A-B3B8-21031BAE91FF}">
    <text>Viene de P14 Compra de equipos y de P4 Fase 2 plataforma biodiversidad</text>
  </threadedComment>
</ThreadedComments>
</file>

<file path=xl/threadedComments/threadedComment6.xml><?xml version="1.0" encoding="utf-8"?>
<ThreadedComments xmlns="http://schemas.microsoft.com/office/spreadsheetml/2018/threadedcomments" xmlns:x="http://schemas.openxmlformats.org/spreadsheetml/2006/main">
  <threadedComment ref="M40" dT="2024-05-23T12:34:46.25" personId="{088A2116-FD7B-43BD-ACB5-842FE4F3E399}" id="{41C4B8CA-98BF-4E76-87FE-BDE8796A4368}">
    <text xml:space="preserve">Se trae saldo de P1 - Profesional de asistencia técnica apicultura con autorización Ing. Laura. Se adiciona saldo de P9 - Ordenamiento Territorial. Se resta 30649200 para P12 interventoría hornillas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microsoft.com/office/2017/10/relationships/threadedComment" Target="../threadedComments/threadedComment2.xml"/><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microsoft.com/office/2017/10/relationships/threadedComment" Target="../threadedComments/threadedComment3.xml"/><Relationship Id="rId4" Type="http://schemas.openxmlformats.org/officeDocument/2006/relationships/comments" Target="../comments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4.bin"/><Relationship Id="rId5" Type="http://schemas.microsoft.com/office/2017/10/relationships/threadedComment" Target="../threadedComments/threadedComment4.xml"/><Relationship Id="rId4" Type="http://schemas.openxmlformats.org/officeDocument/2006/relationships/comments" Target="../comments1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8.bin"/><Relationship Id="rId5" Type="http://schemas.microsoft.com/office/2017/10/relationships/threadedComment" Target="../threadedComments/threadedComment5.xml"/><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9.xml"/><Relationship Id="rId1" Type="http://schemas.openxmlformats.org/officeDocument/2006/relationships/printerSettings" Target="../printerSettings/printerSettings31.bin"/><Relationship Id="rId5" Type="http://schemas.microsoft.com/office/2017/10/relationships/threadedComment" Target="../threadedComments/threadedComment6.xml"/><Relationship Id="rId4" Type="http://schemas.openxmlformats.org/officeDocument/2006/relationships/comments" Target="../comments23.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20"/>
  <sheetViews>
    <sheetView workbookViewId="0"/>
  </sheetViews>
  <sheetFormatPr baseColWidth="10" defaultRowHeight="15"/>
  <cols>
    <col min="2" max="2" width="35.5703125" customWidth="1"/>
    <col min="3" max="3" width="11.85546875" customWidth="1"/>
    <col min="4" max="4" width="49.42578125" customWidth="1"/>
    <col min="5" max="5" width="9.42578125" customWidth="1"/>
    <col min="9" max="9" width="25" customWidth="1"/>
    <col min="11" max="11" width="40.42578125" customWidth="1"/>
    <col min="12" max="12" width="17.140625" customWidth="1"/>
  </cols>
  <sheetData>
    <row r="1" spans="1:13" ht="27.75" customHeight="1" thickBot="1">
      <c r="A1" s="323" t="s">
        <v>703</v>
      </c>
      <c r="B1" s="324"/>
      <c r="C1" s="324"/>
      <c r="D1" s="324"/>
      <c r="E1" s="325"/>
      <c r="H1" s="1977" t="s">
        <v>702</v>
      </c>
      <c r="I1" s="1978"/>
      <c r="J1" s="1978"/>
      <c r="K1" s="1978"/>
      <c r="L1" s="1978"/>
      <c r="M1" s="1978"/>
    </row>
    <row r="2" spans="1:13" ht="19.5" customHeight="1">
      <c r="A2" s="56" t="s">
        <v>254</v>
      </c>
      <c r="B2" s="55" t="s">
        <v>127</v>
      </c>
      <c r="C2" s="55" t="s">
        <v>254</v>
      </c>
      <c r="D2" s="55" t="s">
        <v>14</v>
      </c>
      <c r="E2" s="55" t="s">
        <v>270</v>
      </c>
      <c r="H2" s="58" t="s">
        <v>69</v>
      </c>
      <c r="I2" s="59" t="s">
        <v>13</v>
      </c>
      <c r="J2" s="59" t="s">
        <v>69</v>
      </c>
      <c r="K2" s="59" t="s">
        <v>14</v>
      </c>
      <c r="L2" s="59"/>
      <c r="M2" s="60" t="s">
        <v>275</v>
      </c>
    </row>
    <row r="3" spans="1:13" ht="42" customHeight="1">
      <c r="A3" s="228">
        <v>3201</v>
      </c>
      <c r="B3" s="229" t="s">
        <v>246</v>
      </c>
      <c r="C3" s="230">
        <v>320101</v>
      </c>
      <c r="D3" s="69" t="s">
        <v>255</v>
      </c>
      <c r="E3" s="66">
        <v>2</v>
      </c>
      <c r="H3" s="1987">
        <v>1</v>
      </c>
      <c r="I3" s="1981" t="s">
        <v>271</v>
      </c>
      <c r="J3" s="331" t="s">
        <v>15</v>
      </c>
      <c r="K3" s="71" t="s">
        <v>125</v>
      </c>
      <c r="L3" s="72">
        <v>3980276606</v>
      </c>
      <c r="M3" s="332">
        <v>10</v>
      </c>
    </row>
    <row r="4" spans="1:13" ht="15" customHeight="1">
      <c r="A4" s="318"/>
      <c r="B4" s="326"/>
      <c r="C4" s="230">
        <v>320102</v>
      </c>
      <c r="D4" s="69" t="s">
        <v>256</v>
      </c>
      <c r="E4" s="66">
        <v>2</v>
      </c>
      <c r="H4" s="1988"/>
      <c r="I4" s="1990"/>
      <c r="J4" s="1979" t="s">
        <v>16</v>
      </c>
      <c r="K4" s="1981" t="s">
        <v>17</v>
      </c>
      <c r="L4" s="1983">
        <v>10236150965</v>
      </c>
      <c r="M4" s="1985">
        <v>8</v>
      </c>
    </row>
    <row r="5" spans="1:13" ht="28.5">
      <c r="A5" s="319"/>
      <c r="B5" s="327"/>
      <c r="C5" s="230">
        <v>320103</v>
      </c>
      <c r="D5" s="69" t="s">
        <v>257</v>
      </c>
      <c r="E5" s="66">
        <v>12</v>
      </c>
      <c r="H5" s="1989"/>
      <c r="I5" s="1982"/>
      <c r="J5" s="1980"/>
      <c r="K5" s="1982"/>
      <c r="L5" s="1984"/>
      <c r="M5" s="1986"/>
    </row>
    <row r="6" spans="1:13" ht="28.5" customHeight="1">
      <c r="A6" s="320">
        <v>3202</v>
      </c>
      <c r="B6" s="328" t="s">
        <v>247</v>
      </c>
      <c r="C6" s="36">
        <v>320201</v>
      </c>
      <c r="D6" s="63" t="s">
        <v>258</v>
      </c>
      <c r="E6" s="67">
        <v>10</v>
      </c>
      <c r="H6" s="2003">
        <v>2</v>
      </c>
      <c r="I6" s="1996" t="s">
        <v>272</v>
      </c>
      <c r="J6" s="1994" t="s">
        <v>18</v>
      </c>
      <c r="K6" s="1996" t="s">
        <v>19</v>
      </c>
      <c r="L6" s="1998">
        <v>300000000</v>
      </c>
      <c r="M6" s="1991">
        <v>3</v>
      </c>
    </row>
    <row r="7" spans="1:13" ht="28.5">
      <c r="A7" s="321"/>
      <c r="B7" s="329"/>
      <c r="C7" s="36">
        <v>320202</v>
      </c>
      <c r="D7" s="63" t="s">
        <v>259</v>
      </c>
      <c r="E7" s="67">
        <v>3</v>
      </c>
      <c r="H7" s="2004"/>
      <c r="I7" s="2006"/>
      <c r="J7" s="1995"/>
      <c r="K7" s="1997"/>
      <c r="L7" s="1999"/>
      <c r="M7" s="1993"/>
    </row>
    <row r="8" spans="1:13" ht="42.75">
      <c r="A8" s="322"/>
      <c r="B8" s="330"/>
      <c r="C8" s="36">
        <v>320203</v>
      </c>
      <c r="D8" s="63" t="s">
        <v>260</v>
      </c>
      <c r="E8" s="67">
        <v>5</v>
      </c>
      <c r="H8" s="2005"/>
      <c r="I8" s="1997"/>
      <c r="J8" s="230" t="s">
        <v>20</v>
      </c>
      <c r="K8" s="57" t="s">
        <v>21</v>
      </c>
      <c r="L8" s="73">
        <v>300000000</v>
      </c>
      <c r="M8" s="333">
        <v>2</v>
      </c>
    </row>
    <row r="9" spans="1:13" ht="42.75" customHeight="1">
      <c r="A9" s="228">
        <v>3203</v>
      </c>
      <c r="B9" s="229" t="s">
        <v>248</v>
      </c>
      <c r="C9" s="230">
        <v>320301</v>
      </c>
      <c r="D9" s="69" t="s">
        <v>261</v>
      </c>
      <c r="E9" s="66">
        <v>3</v>
      </c>
      <c r="H9" s="1987">
        <v>3</v>
      </c>
      <c r="I9" s="1981" t="s">
        <v>273</v>
      </c>
      <c r="J9" s="1979" t="s">
        <v>22</v>
      </c>
      <c r="K9" s="1979" t="s">
        <v>23</v>
      </c>
      <c r="L9" s="1983">
        <v>612138303</v>
      </c>
      <c r="M9" s="1985">
        <v>4</v>
      </c>
    </row>
    <row r="10" spans="1:13">
      <c r="A10" s="319"/>
      <c r="B10" s="327"/>
      <c r="C10" s="230">
        <v>320302</v>
      </c>
      <c r="D10" s="69" t="s">
        <v>262</v>
      </c>
      <c r="E10" s="66">
        <v>7</v>
      </c>
      <c r="H10" s="1988"/>
      <c r="I10" s="1990"/>
      <c r="J10" s="2000"/>
      <c r="K10" s="2000"/>
      <c r="L10" s="2001"/>
      <c r="M10" s="2002"/>
    </row>
    <row r="11" spans="1:13" ht="28.5">
      <c r="A11" s="61">
        <v>3204</v>
      </c>
      <c r="B11" s="54" t="s">
        <v>249</v>
      </c>
      <c r="C11" s="36">
        <v>320401</v>
      </c>
      <c r="D11" s="63" t="s">
        <v>263</v>
      </c>
      <c r="E11" s="67">
        <v>2</v>
      </c>
      <c r="H11" s="1988"/>
      <c r="I11" s="1990"/>
      <c r="J11" s="1980"/>
      <c r="K11" s="1980"/>
      <c r="L11" s="1984"/>
      <c r="M11" s="1986"/>
    </row>
    <row r="12" spans="1:13" ht="42.75">
      <c r="A12" s="228">
        <v>3205</v>
      </c>
      <c r="B12" s="229" t="s">
        <v>250</v>
      </c>
      <c r="C12" s="230">
        <v>320501</v>
      </c>
      <c r="D12" s="69" t="s">
        <v>264</v>
      </c>
      <c r="E12" s="66">
        <v>2</v>
      </c>
      <c r="H12" s="1988"/>
      <c r="I12" s="1990"/>
      <c r="J12" s="331" t="s">
        <v>24</v>
      </c>
      <c r="K12" s="71" t="s">
        <v>126</v>
      </c>
      <c r="L12" s="72">
        <v>1671309671</v>
      </c>
      <c r="M12" s="332">
        <v>2</v>
      </c>
    </row>
    <row r="13" spans="1:13" ht="28.5">
      <c r="A13" s="318"/>
      <c r="B13" s="326"/>
      <c r="C13" s="230">
        <v>320502</v>
      </c>
      <c r="D13" s="69" t="s">
        <v>265</v>
      </c>
      <c r="E13" s="66">
        <v>2</v>
      </c>
      <c r="H13" s="1989"/>
      <c r="I13" s="1982"/>
      <c r="J13" s="331" t="s">
        <v>25</v>
      </c>
      <c r="K13" s="71" t="s">
        <v>26</v>
      </c>
      <c r="L13" s="72">
        <v>250000000</v>
      </c>
      <c r="M13" s="332">
        <v>2</v>
      </c>
    </row>
    <row r="14" spans="1:13" ht="28.5" customHeight="1">
      <c r="A14" s="319"/>
      <c r="B14" s="327"/>
      <c r="C14" s="230">
        <v>320503</v>
      </c>
      <c r="D14" s="69" t="s">
        <v>266</v>
      </c>
      <c r="E14" s="66">
        <v>2</v>
      </c>
      <c r="H14" s="2003">
        <v>4</v>
      </c>
      <c r="I14" s="1996" t="s">
        <v>274</v>
      </c>
      <c r="J14" s="1994" t="s">
        <v>27</v>
      </c>
      <c r="K14" s="1996" t="s">
        <v>28</v>
      </c>
      <c r="L14" s="1998">
        <v>5862664120</v>
      </c>
      <c r="M14" s="1991">
        <v>23</v>
      </c>
    </row>
    <row r="15" spans="1:13" ht="42.75">
      <c r="A15" s="61">
        <v>3206</v>
      </c>
      <c r="B15" s="54" t="s">
        <v>251</v>
      </c>
      <c r="C15" s="36">
        <v>320601</v>
      </c>
      <c r="D15" s="63" t="s">
        <v>267</v>
      </c>
      <c r="E15" s="67">
        <v>2</v>
      </c>
      <c r="H15" s="2004"/>
      <c r="I15" s="2006"/>
      <c r="J15" s="2010"/>
      <c r="K15" s="2006"/>
      <c r="L15" s="2011"/>
      <c r="M15" s="1992"/>
    </row>
    <row r="16" spans="1:13">
      <c r="A16" s="232">
        <v>3208</v>
      </c>
      <c r="B16" s="231" t="s">
        <v>252</v>
      </c>
      <c r="C16" s="230">
        <v>320801</v>
      </c>
      <c r="D16" s="69" t="s">
        <v>268</v>
      </c>
      <c r="E16" s="66">
        <v>2</v>
      </c>
      <c r="H16" s="2004"/>
      <c r="I16" s="2006"/>
      <c r="J16" s="2010"/>
      <c r="K16" s="2006"/>
      <c r="L16" s="2011"/>
      <c r="M16" s="1992"/>
    </row>
    <row r="17" spans="1:13" ht="42.75">
      <c r="A17" s="61">
        <v>3299</v>
      </c>
      <c r="B17" s="54" t="s">
        <v>253</v>
      </c>
      <c r="C17" s="36">
        <v>329901</v>
      </c>
      <c r="D17" s="63" t="s">
        <v>269</v>
      </c>
      <c r="E17" s="67">
        <v>6</v>
      </c>
      <c r="H17" s="2004"/>
      <c r="I17" s="2006"/>
      <c r="J17" s="1995"/>
      <c r="K17" s="1997"/>
      <c r="L17" s="1999"/>
      <c r="M17" s="1993"/>
    </row>
    <row r="18" spans="1:13" ht="29.25" thickBot="1">
      <c r="A18" s="64"/>
      <c r="B18" s="65"/>
      <c r="C18" s="65"/>
      <c r="D18" s="65"/>
      <c r="E18" s="68">
        <f>SUM(E3:E17)</f>
        <v>62</v>
      </c>
      <c r="H18" s="2004"/>
      <c r="I18" s="2006"/>
      <c r="J18" s="230" t="s">
        <v>29</v>
      </c>
      <c r="K18" s="57" t="s">
        <v>30</v>
      </c>
      <c r="L18" s="73">
        <v>921189222</v>
      </c>
      <c r="M18" s="333">
        <v>6</v>
      </c>
    </row>
    <row r="19" spans="1:13">
      <c r="H19" s="2005"/>
      <c r="I19" s="1997"/>
      <c r="J19" s="230" t="s">
        <v>31</v>
      </c>
      <c r="K19" s="57" t="s">
        <v>32</v>
      </c>
      <c r="L19" s="73">
        <v>740138303</v>
      </c>
      <c r="M19" s="333">
        <v>2</v>
      </c>
    </row>
    <row r="20" spans="1:13" ht="15.75" thickBot="1">
      <c r="H20" s="2007"/>
      <c r="I20" s="2008"/>
      <c r="J20" s="2008"/>
      <c r="K20" s="2009"/>
      <c r="L20" s="62">
        <f>SUM(L3:L19)</f>
        <v>24873867190</v>
      </c>
      <c r="M20" s="70">
        <f>SUM(M3:M19)</f>
        <v>62</v>
      </c>
    </row>
  </sheetData>
  <mergeCells count="26">
    <mergeCell ref="H20:K20"/>
    <mergeCell ref="I14:I19"/>
    <mergeCell ref="J14:J17"/>
    <mergeCell ref="K14:K17"/>
    <mergeCell ref="L14:L17"/>
    <mergeCell ref="H6:H8"/>
    <mergeCell ref="H9:H13"/>
    <mergeCell ref="H14:H19"/>
    <mergeCell ref="I6:I8"/>
    <mergeCell ref="I9:I13"/>
    <mergeCell ref="M14:M17"/>
    <mergeCell ref="J6:J7"/>
    <mergeCell ref="K6:K7"/>
    <mergeCell ref="L6:L7"/>
    <mergeCell ref="M6:M7"/>
    <mergeCell ref="J9:J11"/>
    <mergeCell ref="K9:K11"/>
    <mergeCell ref="L9:L11"/>
    <mergeCell ref="M9:M11"/>
    <mergeCell ref="H1:M1"/>
    <mergeCell ref="J4:J5"/>
    <mergeCell ref="K4:K5"/>
    <mergeCell ref="L4:L5"/>
    <mergeCell ref="M4:M5"/>
    <mergeCell ref="H3:H5"/>
    <mergeCell ref="I3:I5"/>
  </mergeCells>
  <pageMargins left="0.70866141732283472" right="0.70866141732283472" top="0.74803149606299213" bottom="0.74803149606299213" header="0.31496062992125984" footer="0.31496062992125984"/>
  <pageSetup scale="75"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F11"/>
  <sheetViews>
    <sheetView workbookViewId="0"/>
  </sheetViews>
  <sheetFormatPr baseColWidth="10" defaultRowHeight="15"/>
  <cols>
    <col min="1" max="1" width="16.7109375" customWidth="1"/>
    <col min="2" max="2" width="25.7109375" customWidth="1"/>
    <col min="3" max="3" width="12" customWidth="1"/>
    <col min="4" max="4" width="33.42578125" customWidth="1"/>
    <col min="5" max="5" width="111.140625" customWidth="1"/>
    <col min="6" max="6" width="15.140625" customWidth="1"/>
  </cols>
  <sheetData>
    <row r="2" spans="1:6" ht="28.5" customHeight="1">
      <c r="A2" s="142" t="s">
        <v>213</v>
      </c>
      <c r="B2" s="143" t="s">
        <v>336</v>
      </c>
      <c r="C2" s="143" t="s">
        <v>347</v>
      </c>
      <c r="D2" s="143" t="s">
        <v>333</v>
      </c>
      <c r="E2" s="143"/>
    </row>
    <row r="3" spans="1:6" ht="102.75" customHeight="1">
      <c r="A3" s="146" t="s">
        <v>193</v>
      </c>
      <c r="B3" s="141">
        <v>4221640101.1199999</v>
      </c>
      <c r="C3" s="149">
        <f>+B3/B9</f>
        <v>0.12589045421388348</v>
      </c>
      <c r="D3" s="144" t="s">
        <v>337</v>
      </c>
      <c r="E3" s="144" t="s">
        <v>338</v>
      </c>
    </row>
    <row r="4" spans="1:6" ht="63" customHeight="1">
      <c r="A4" s="146" t="s">
        <v>192</v>
      </c>
      <c r="B4" s="141">
        <v>14501756558.890547</v>
      </c>
      <c r="C4" s="149">
        <f>+B4/B9</f>
        <v>0.4324463185797281</v>
      </c>
      <c r="D4" s="144" t="s">
        <v>340</v>
      </c>
      <c r="E4" s="144" t="s">
        <v>341</v>
      </c>
    </row>
    <row r="5" spans="1:6" ht="52.5" customHeight="1">
      <c r="A5" s="146" t="s">
        <v>277</v>
      </c>
      <c r="B5" s="141">
        <v>3040391339.9674468</v>
      </c>
      <c r="C5" s="149">
        <f>+B5/B9</f>
        <v>9.0665295384823208E-2</v>
      </c>
      <c r="D5" s="144" t="s">
        <v>334</v>
      </c>
      <c r="E5" s="144" t="s">
        <v>335</v>
      </c>
    </row>
    <row r="6" spans="1:6" ht="24.95" customHeight="1">
      <c r="A6" s="146" t="s">
        <v>314</v>
      </c>
      <c r="B6" s="141">
        <v>256871020.32900003</v>
      </c>
      <c r="C6" s="149">
        <f>+B6/B9</f>
        <v>7.6599635802735416E-3</v>
      </c>
      <c r="D6" s="144" t="s">
        <v>345</v>
      </c>
      <c r="E6" s="144"/>
      <c r="F6" s="124"/>
    </row>
    <row r="7" spans="1:6" ht="71.25" customHeight="1">
      <c r="A7" s="147" t="s">
        <v>346</v>
      </c>
      <c r="B7" s="310">
        <v>10420943219.819595</v>
      </c>
      <c r="C7" s="149">
        <f>+B7/B9</f>
        <v>0.31075535665205861</v>
      </c>
      <c r="D7" s="144" t="s">
        <v>344</v>
      </c>
      <c r="E7" s="144" t="s">
        <v>339</v>
      </c>
    </row>
    <row r="8" spans="1:6" ht="39" customHeight="1">
      <c r="A8" s="146" t="s">
        <v>209</v>
      </c>
      <c r="B8" s="141">
        <v>1092632960.4834681</v>
      </c>
      <c r="C8" s="149">
        <f>+B8/B9</f>
        <v>3.2582611589233167E-2</v>
      </c>
      <c r="D8" s="144" t="s">
        <v>343</v>
      </c>
      <c r="E8" s="144" t="s">
        <v>342</v>
      </c>
    </row>
    <row r="9" spans="1:6" ht="50.25" customHeight="1">
      <c r="A9" s="147" t="s">
        <v>323</v>
      </c>
      <c r="B9" s="283">
        <f>SUM(B3:B8)</f>
        <v>33534235200.610054</v>
      </c>
      <c r="C9" s="148">
        <f>SUM(C3:C8)</f>
        <v>1</v>
      </c>
      <c r="D9" s="145"/>
      <c r="E9" s="145"/>
    </row>
    <row r="11" spans="1:6">
      <c r="A11" s="294" t="s">
        <v>774</v>
      </c>
      <c r="B11" s="128"/>
      <c r="C11" s="128"/>
    </row>
  </sheetData>
  <pageMargins left="0.70866141732283472" right="0.70866141732283472" top="0.74803149606299213" bottom="0.74803149606299213" header="0.31496062992125984" footer="0.31496062992125984"/>
  <pageSetup scale="61" orientation="landscape"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heetViews>
  <sheetFormatPr baseColWidth="10" defaultRowHeight="15"/>
  <cols>
    <col min="1" max="1" width="8.5703125" customWidth="1"/>
    <col min="2" max="3" width="35.42578125" customWidth="1"/>
    <col min="4" max="4" width="12" style="354" bestFit="1" customWidth="1"/>
    <col min="5" max="5" width="13.5703125" style="34" customWidth="1"/>
    <col min="6" max="6" width="67.5703125" customWidth="1"/>
    <col min="7" max="7" width="31.7109375" customWidth="1"/>
    <col min="8" max="8" width="29.42578125" customWidth="1"/>
    <col min="11" max="11" width="9.7109375" style="9" customWidth="1"/>
    <col min="12" max="12" width="26.5703125" style="176" customWidth="1"/>
    <col min="13" max="13" width="20.85546875" customWidth="1"/>
  </cols>
  <sheetData>
    <row r="1" spans="1:13" ht="76.5" customHeight="1" thickTop="1">
      <c r="A1" s="339" t="s">
        <v>759</v>
      </c>
      <c r="B1" s="339" t="s">
        <v>13</v>
      </c>
      <c r="C1" s="339" t="s">
        <v>230</v>
      </c>
      <c r="D1" s="351" t="s">
        <v>69</v>
      </c>
      <c r="E1" s="340" t="s">
        <v>368</v>
      </c>
      <c r="F1" s="339" t="s">
        <v>752</v>
      </c>
      <c r="G1" s="340" t="s">
        <v>773</v>
      </c>
      <c r="H1" s="341" t="s">
        <v>850</v>
      </c>
    </row>
    <row r="2" spans="1:13" ht="45">
      <c r="A2" s="342" t="s">
        <v>760</v>
      </c>
      <c r="B2" s="342" t="s">
        <v>767</v>
      </c>
      <c r="C2" s="342" t="s">
        <v>19</v>
      </c>
      <c r="D2" s="352">
        <v>320101</v>
      </c>
      <c r="E2" s="343">
        <v>101</v>
      </c>
      <c r="F2" s="342" t="s">
        <v>11</v>
      </c>
      <c r="G2" s="343">
        <v>142804064</v>
      </c>
      <c r="H2" s="344">
        <v>1503102943.1385601</v>
      </c>
      <c r="K2" s="355" t="s">
        <v>69</v>
      </c>
      <c r="L2" s="9" t="s">
        <v>776</v>
      </c>
      <c r="M2" s="9" t="s">
        <v>777</v>
      </c>
    </row>
    <row r="3" spans="1:13" ht="24">
      <c r="A3" s="342" t="s">
        <v>760</v>
      </c>
      <c r="B3" s="342" t="s">
        <v>767</v>
      </c>
      <c r="C3" s="342" t="s">
        <v>19</v>
      </c>
      <c r="D3" s="352">
        <v>320101</v>
      </c>
      <c r="E3" s="343">
        <v>102</v>
      </c>
      <c r="F3" s="342" t="s">
        <v>212</v>
      </c>
      <c r="G3" s="343">
        <v>108794263</v>
      </c>
      <c r="H3" s="344">
        <v>123713718.94513361</v>
      </c>
      <c r="K3">
        <v>320101</v>
      </c>
      <c r="L3" s="256">
        <v>251598327</v>
      </c>
      <c r="M3" s="256">
        <v>1626816662.0836937</v>
      </c>
    </row>
    <row r="4" spans="1:13" ht="24">
      <c r="A4" s="345" t="s">
        <v>760</v>
      </c>
      <c r="B4" s="345" t="s">
        <v>767</v>
      </c>
      <c r="C4" s="345" t="s">
        <v>21</v>
      </c>
      <c r="D4" s="353">
        <v>320102</v>
      </c>
      <c r="E4" s="346">
        <v>103</v>
      </c>
      <c r="F4" s="345" t="s">
        <v>210</v>
      </c>
      <c r="G4" s="346">
        <v>319505329</v>
      </c>
      <c r="H4" s="347">
        <v>350643385.60000002</v>
      </c>
      <c r="K4">
        <v>320102</v>
      </c>
      <c r="L4" s="256">
        <v>444686072</v>
      </c>
      <c r="M4" s="256">
        <v>492477104.54513365</v>
      </c>
    </row>
    <row r="5" spans="1:13" ht="24">
      <c r="A5" s="345" t="s">
        <v>760</v>
      </c>
      <c r="B5" s="345" t="s">
        <v>767</v>
      </c>
      <c r="C5" s="345" t="s">
        <v>21</v>
      </c>
      <c r="D5" s="353">
        <v>320102</v>
      </c>
      <c r="E5" s="346">
        <v>104</v>
      </c>
      <c r="F5" s="345" t="s">
        <v>212</v>
      </c>
      <c r="G5" s="346">
        <v>125180743</v>
      </c>
      <c r="H5" s="347">
        <v>141833718.94513363</v>
      </c>
      <c r="K5">
        <v>320103</v>
      </c>
      <c r="L5" s="256">
        <v>3931975899.0011339</v>
      </c>
      <c r="M5" s="256">
        <v>4940056189.9500256</v>
      </c>
    </row>
    <row r="6" spans="1:13" ht="24">
      <c r="A6" s="342" t="s">
        <v>760</v>
      </c>
      <c r="B6" s="342" t="s">
        <v>767</v>
      </c>
      <c r="C6" s="342" t="s">
        <v>160</v>
      </c>
      <c r="D6" s="352">
        <v>320103</v>
      </c>
      <c r="E6" s="343">
        <v>105</v>
      </c>
      <c r="F6" s="342" t="s">
        <v>46</v>
      </c>
      <c r="G6" s="343">
        <v>23286249.100800004</v>
      </c>
      <c r="H6" s="344">
        <v>4346416.4000000004</v>
      </c>
      <c r="K6">
        <v>320201</v>
      </c>
      <c r="L6" s="256">
        <v>3349134257</v>
      </c>
      <c r="M6" s="256">
        <v>3981959287.6526566</v>
      </c>
    </row>
    <row r="7" spans="1:13" ht="24">
      <c r="A7" s="342" t="s">
        <v>760</v>
      </c>
      <c r="B7" s="342" t="s">
        <v>767</v>
      </c>
      <c r="C7" s="342" t="s">
        <v>160</v>
      </c>
      <c r="D7" s="352">
        <v>320103</v>
      </c>
      <c r="E7" s="343">
        <v>106</v>
      </c>
      <c r="F7" s="342" t="s">
        <v>753</v>
      </c>
      <c r="G7" s="343">
        <v>77614758.143999994</v>
      </c>
      <c r="H7" s="344">
        <v>86928328</v>
      </c>
      <c r="K7">
        <v>320202</v>
      </c>
      <c r="L7" s="256">
        <v>1045063651.2358905</v>
      </c>
      <c r="M7" s="256">
        <v>1611972250.529</v>
      </c>
    </row>
    <row r="8" spans="1:13" ht="24">
      <c r="A8" s="342" t="s">
        <v>760</v>
      </c>
      <c r="B8" s="342" t="s">
        <v>767</v>
      </c>
      <c r="C8" s="342" t="s">
        <v>160</v>
      </c>
      <c r="D8" s="352">
        <v>320103</v>
      </c>
      <c r="E8" s="343">
        <v>107</v>
      </c>
      <c r="F8" s="342" t="s">
        <v>49</v>
      </c>
      <c r="G8" s="343">
        <v>335453812.69822085</v>
      </c>
      <c r="H8" s="344">
        <v>728314435.41199994</v>
      </c>
      <c r="K8">
        <v>320203</v>
      </c>
      <c r="L8" s="256">
        <v>1116262823.7</v>
      </c>
      <c r="M8" s="256">
        <v>918876973.22500002</v>
      </c>
    </row>
    <row r="9" spans="1:13" ht="24">
      <c r="A9" s="342" t="s">
        <v>760</v>
      </c>
      <c r="B9" s="342" t="s">
        <v>767</v>
      </c>
      <c r="C9" s="342" t="s">
        <v>160</v>
      </c>
      <c r="D9" s="352">
        <v>320103</v>
      </c>
      <c r="E9" s="343">
        <v>108</v>
      </c>
      <c r="F9" s="342" t="s">
        <v>50</v>
      </c>
      <c r="G9" s="343">
        <v>0</v>
      </c>
      <c r="H9" s="344">
        <v>0</v>
      </c>
      <c r="K9">
        <v>320301</v>
      </c>
      <c r="L9" s="256">
        <v>8426631724.8600006</v>
      </c>
      <c r="M9" s="256">
        <v>6634109529.7454157</v>
      </c>
    </row>
    <row r="10" spans="1:13" ht="24">
      <c r="A10" s="342" t="s">
        <v>760</v>
      </c>
      <c r="B10" s="342" t="s">
        <v>767</v>
      </c>
      <c r="C10" s="342" t="s">
        <v>160</v>
      </c>
      <c r="D10" s="352">
        <v>320103</v>
      </c>
      <c r="E10" s="343">
        <v>109</v>
      </c>
      <c r="F10" s="342" t="s">
        <v>51</v>
      </c>
      <c r="G10" s="343">
        <v>369147978.6007216</v>
      </c>
      <c r="H10" s="344">
        <v>548372397.37800014</v>
      </c>
      <c r="K10">
        <v>320302</v>
      </c>
      <c r="L10" s="256">
        <v>2569760681.4000001</v>
      </c>
      <c r="M10" s="256">
        <v>2738005527.2340002</v>
      </c>
    </row>
    <row r="11" spans="1:13" ht="24">
      <c r="A11" s="342" t="s">
        <v>760</v>
      </c>
      <c r="B11" s="342" t="s">
        <v>767</v>
      </c>
      <c r="C11" s="342" t="s">
        <v>160</v>
      </c>
      <c r="D11" s="352">
        <v>320103</v>
      </c>
      <c r="E11" s="343">
        <v>110</v>
      </c>
      <c r="F11" s="342" t="s">
        <v>52</v>
      </c>
      <c r="G11" s="343">
        <v>545353389.8513242</v>
      </c>
      <c r="H11" s="344">
        <v>688184169.59999967</v>
      </c>
      <c r="K11">
        <v>320401</v>
      </c>
      <c r="L11" s="256">
        <v>270967403.8908</v>
      </c>
      <c r="M11" s="256">
        <v>475232054.80000001</v>
      </c>
    </row>
    <row r="12" spans="1:13" ht="36">
      <c r="A12" s="342" t="s">
        <v>760</v>
      </c>
      <c r="B12" s="342" t="s">
        <v>767</v>
      </c>
      <c r="C12" s="342" t="s">
        <v>160</v>
      </c>
      <c r="D12" s="352">
        <v>320103</v>
      </c>
      <c r="E12" s="343">
        <v>111</v>
      </c>
      <c r="F12" s="342" t="s">
        <v>219</v>
      </c>
      <c r="G12" s="343">
        <v>7911917.8104141001</v>
      </c>
      <c r="H12" s="344">
        <v>0</v>
      </c>
      <c r="K12">
        <v>320501</v>
      </c>
      <c r="L12" s="256">
        <v>424219601.25593162</v>
      </c>
      <c r="M12" s="256">
        <v>408823509.45361364</v>
      </c>
    </row>
    <row r="13" spans="1:13" ht="24">
      <c r="A13" s="342" t="s">
        <v>760</v>
      </c>
      <c r="B13" s="342" t="s">
        <v>767</v>
      </c>
      <c r="C13" s="342" t="s">
        <v>160</v>
      </c>
      <c r="D13" s="352">
        <v>320103</v>
      </c>
      <c r="E13" s="343">
        <v>112</v>
      </c>
      <c r="F13" s="342" t="s">
        <v>221</v>
      </c>
      <c r="G13" s="343">
        <v>0</v>
      </c>
      <c r="H13" s="344">
        <v>0</v>
      </c>
      <c r="K13">
        <v>320502</v>
      </c>
      <c r="L13" s="256">
        <v>3446365663</v>
      </c>
      <c r="M13" s="256">
        <v>4302031863.7600002</v>
      </c>
    </row>
    <row r="14" spans="1:13" ht="24">
      <c r="A14" s="342" t="s">
        <v>760</v>
      </c>
      <c r="B14" s="342" t="s">
        <v>767</v>
      </c>
      <c r="C14" s="342" t="s">
        <v>160</v>
      </c>
      <c r="D14" s="352">
        <v>320103</v>
      </c>
      <c r="E14" s="343">
        <v>113</v>
      </c>
      <c r="F14" s="342" t="s">
        <v>222</v>
      </c>
      <c r="G14" s="343">
        <v>0</v>
      </c>
      <c r="H14" s="344">
        <v>0</v>
      </c>
      <c r="K14">
        <v>320503</v>
      </c>
      <c r="L14" s="256">
        <v>438973147.88704002</v>
      </c>
      <c r="M14" s="256">
        <v>668993230.5485065</v>
      </c>
    </row>
    <row r="15" spans="1:13" ht="24">
      <c r="A15" s="342" t="s">
        <v>760</v>
      </c>
      <c r="B15" s="342" t="s">
        <v>767</v>
      </c>
      <c r="C15" s="342" t="s">
        <v>160</v>
      </c>
      <c r="D15" s="352">
        <v>320103</v>
      </c>
      <c r="E15" s="343">
        <v>114</v>
      </c>
      <c r="F15" s="342" t="s">
        <v>224</v>
      </c>
      <c r="G15" s="343">
        <v>22761475.814400002</v>
      </c>
      <c r="H15" s="344">
        <v>8692832.8000000007</v>
      </c>
      <c r="K15">
        <v>320601</v>
      </c>
      <c r="L15" s="256">
        <v>2533478602</v>
      </c>
      <c r="M15" s="256">
        <v>1083913444.1104</v>
      </c>
    </row>
    <row r="16" spans="1:13" ht="24">
      <c r="A16" s="342" t="s">
        <v>760</v>
      </c>
      <c r="B16" s="342" t="s">
        <v>767</v>
      </c>
      <c r="C16" s="342" t="s">
        <v>160</v>
      </c>
      <c r="D16" s="352">
        <v>320103</v>
      </c>
      <c r="E16" s="343">
        <v>115</v>
      </c>
      <c r="F16" s="342" t="s">
        <v>225</v>
      </c>
      <c r="G16" s="343">
        <v>7911917.8104141001</v>
      </c>
      <c r="H16" s="344">
        <v>4346416.4000000004</v>
      </c>
      <c r="K16">
        <v>320801</v>
      </c>
      <c r="L16" s="256">
        <v>1000295638.3219199</v>
      </c>
      <c r="M16" s="256">
        <v>1396412701.6031337</v>
      </c>
    </row>
    <row r="17" spans="1:13" ht="24">
      <c r="A17" s="342" t="s">
        <v>760</v>
      </c>
      <c r="B17" s="342" t="s">
        <v>767</v>
      </c>
      <c r="C17" s="342" t="s">
        <v>160</v>
      </c>
      <c r="D17" s="352">
        <v>320103</v>
      </c>
      <c r="E17" s="343">
        <v>116</v>
      </c>
      <c r="F17" s="342" t="s">
        <v>38</v>
      </c>
      <c r="G17" s="343">
        <v>2542534399.1708388</v>
      </c>
      <c r="H17" s="344">
        <v>2870871193.9600253</v>
      </c>
      <c r="K17">
        <v>329901</v>
      </c>
      <c r="L17" s="256">
        <v>1574430256.8512001</v>
      </c>
      <c r="M17" s="256">
        <v>2254554871.3688674</v>
      </c>
    </row>
    <row r="18" spans="1:13" ht="30">
      <c r="A18" s="345" t="s">
        <v>760</v>
      </c>
      <c r="B18" s="345" t="s">
        <v>767</v>
      </c>
      <c r="C18" s="345" t="s">
        <v>125</v>
      </c>
      <c r="D18" s="353">
        <v>320201</v>
      </c>
      <c r="E18" s="346">
        <v>117</v>
      </c>
      <c r="F18" s="345" t="s">
        <v>196</v>
      </c>
      <c r="G18" s="346">
        <v>278003467</v>
      </c>
      <c r="H18" s="347">
        <v>213543623.01454544</v>
      </c>
      <c r="K18" s="9" t="s">
        <v>775</v>
      </c>
      <c r="L18" s="256">
        <v>30823843749.403919</v>
      </c>
      <c r="M18" s="256">
        <v>33534235200.609447</v>
      </c>
    </row>
    <row r="19" spans="1:13" ht="24">
      <c r="A19" s="345" t="s">
        <v>760</v>
      </c>
      <c r="B19" s="345" t="s">
        <v>767</v>
      </c>
      <c r="C19" s="345" t="s">
        <v>125</v>
      </c>
      <c r="D19" s="353">
        <v>320201</v>
      </c>
      <c r="E19" s="346">
        <v>118</v>
      </c>
      <c r="F19" s="345" t="s">
        <v>33</v>
      </c>
      <c r="G19" s="346">
        <v>351400000</v>
      </c>
      <c r="H19" s="347">
        <v>544922470.88</v>
      </c>
      <c r="K19"/>
      <c r="L19"/>
    </row>
    <row r="20" spans="1:13" ht="24">
      <c r="A20" s="345" t="s">
        <v>760</v>
      </c>
      <c r="B20" s="345" t="s">
        <v>767</v>
      </c>
      <c r="C20" s="345" t="s">
        <v>125</v>
      </c>
      <c r="D20" s="353">
        <v>320201</v>
      </c>
      <c r="E20" s="346">
        <v>119</v>
      </c>
      <c r="F20" s="345" t="s">
        <v>200</v>
      </c>
      <c r="G20" s="346">
        <v>100851037</v>
      </c>
      <c r="H20" s="347">
        <v>190638371.42399997</v>
      </c>
      <c r="K20"/>
      <c r="L20"/>
    </row>
    <row r="21" spans="1:13" ht="24">
      <c r="A21" s="345" t="s">
        <v>760</v>
      </c>
      <c r="B21" s="345" t="s">
        <v>767</v>
      </c>
      <c r="C21" s="345" t="s">
        <v>125</v>
      </c>
      <c r="D21" s="353">
        <v>320201</v>
      </c>
      <c r="E21" s="346">
        <v>120</v>
      </c>
      <c r="F21" s="345" t="s">
        <v>754</v>
      </c>
      <c r="G21" s="346">
        <v>649326723</v>
      </c>
      <c r="H21" s="347">
        <v>194000000</v>
      </c>
      <c r="K21"/>
      <c r="L21"/>
    </row>
    <row r="22" spans="1:13" ht="24">
      <c r="A22" s="345" t="s">
        <v>760</v>
      </c>
      <c r="B22" s="345" t="s">
        <v>767</v>
      </c>
      <c r="C22" s="345" t="s">
        <v>125</v>
      </c>
      <c r="D22" s="353">
        <v>320201</v>
      </c>
      <c r="E22" s="346">
        <v>121</v>
      </c>
      <c r="F22" s="345" t="s">
        <v>34</v>
      </c>
      <c r="G22" s="346">
        <v>55287656</v>
      </c>
      <c r="H22" s="347">
        <v>0</v>
      </c>
      <c r="K22"/>
      <c r="L22"/>
    </row>
    <row r="23" spans="1:13" ht="24">
      <c r="A23" s="345" t="s">
        <v>760</v>
      </c>
      <c r="B23" s="345" t="s">
        <v>767</v>
      </c>
      <c r="C23" s="345" t="s">
        <v>125</v>
      </c>
      <c r="D23" s="353">
        <v>320201</v>
      </c>
      <c r="E23" s="346">
        <v>122</v>
      </c>
      <c r="F23" s="345" t="s">
        <v>35</v>
      </c>
      <c r="G23" s="346">
        <v>6146575</v>
      </c>
      <c r="H23" s="347">
        <v>55827007</v>
      </c>
      <c r="K23"/>
      <c r="L23"/>
    </row>
    <row r="24" spans="1:13" ht="24">
      <c r="A24" s="345" t="s">
        <v>760</v>
      </c>
      <c r="B24" s="345" t="s">
        <v>767</v>
      </c>
      <c r="C24" s="345" t="s">
        <v>125</v>
      </c>
      <c r="D24" s="353">
        <v>320201</v>
      </c>
      <c r="E24" s="346">
        <v>123</v>
      </c>
      <c r="F24" s="345" t="s">
        <v>203</v>
      </c>
      <c r="G24" s="346">
        <v>1168515989</v>
      </c>
      <c r="H24" s="347">
        <v>1509529798.2119997</v>
      </c>
      <c r="K24"/>
      <c r="L24"/>
    </row>
    <row r="25" spans="1:13" ht="24">
      <c r="A25" s="345" t="s">
        <v>760</v>
      </c>
      <c r="B25" s="345" t="s">
        <v>767</v>
      </c>
      <c r="C25" s="345" t="s">
        <v>125</v>
      </c>
      <c r="D25" s="353">
        <v>320201</v>
      </c>
      <c r="E25" s="346">
        <v>124</v>
      </c>
      <c r="F25" s="345" t="s">
        <v>36</v>
      </c>
      <c r="G25" s="346">
        <v>210098681</v>
      </c>
      <c r="H25" s="347">
        <v>279991651.70960003</v>
      </c>
      <c r="K25"/>
      <c r="L25"/>
    </row>
    <row r="26" spans="1:13" ht="24">
      <c r="A26" s="345" t="s">
        <v>760</v>
      </c>
      <c r="B26" s="345" t="s">
        <v>767</v>
      </c>
      <c r="C26" s="345" t="s">
        <v>125</v>
      </c>
      <c r="D26" s="353">
        <v>320201</v>
      </c>
      <c r="E26" s="346">
        <v>125</v>
      </c>
      <c r="F26" s="345" t="s">
        <v>37</v>
      </c>
      <c r="G26" s="346">
        <v>281976970</v>
      </c>
      <c r="H26" s="347">
        <v>744826170.55999994</v>
      </c>
      <c r="K26"/>
      <c r="L26"/>
    </row>
    <row r="27" spans="1:13" ht="24">
      <c r="A27" s="345" t="s">
        <v>760</v>
      </c>
      <c r="B27" s="345" t="s">
        <v>767</v>
      </c>
      <c r="C27" s="345" t="s">
        <v>125</v>
      </c>
      <c r="D27" s="353">
        <v>320201</v>
      </c>
      <c r="E27" s="346">
        <v>126</v>
      </c>
      <c r="F27" s="345" t="s">
        <v>38</v>
      </c>
      <c r="G27" s="346">
        <v>247527159</v>
      </c>
      <c r="H27" s="347">
        <v>248680194.85251135</v>
      </c>
      <c r="K27"/>
      <c r="L27"/>
    </row>
    <row r="28" spans="1:13" ht="36">
      <c r="A28" s="342" t="s">
        <v>760</v>
      </c>
      <c r="B28" s="342" t="s">
        <v>767</v>
      </c>
      <c r="C28" s="342" t="s">
        <v>161</v>
      </c>
      <c r="D28" s="352">
        <v>320202</v>
      </c>
      <c r="E28" s="343">
        <v>127</v>
      </c>
      <c r="F28" s="342" t="s">
        <v>227</v>
      </c>
      <c r="G28" s="343">
        <v>457440441.13502723</v>
      </c>
      <c r="H28" s="344">
        <v>697348822.29999995</v>
      </c>
      <c r="K28"/>
      <c r="L28"/>
    </row>
    <row r="29" spans="1:13" ht="36">
      <c r="A29" s="342" t="s">
        <v>760</v>
      </c>
      <c r="B29" s="342" t="s">
        <v>767</v>
      </c>
      <c r="C29" s="342" t="s">
        <v>161</v>
      </c>
      <c r="D29" s="352">
        <v>320202</v>
      </c>
      <c r="E29" s="343">
        <v>128</v>
      </c>
      <c r="F29" s="342" t="s">
        <v>228</v>
      </c>
      <c r="G29" s="343">
        <v>380100130.90246326</v>
      </c>
      <c r="H29" s="344">
        <v>477640851.72900003</v>
      </c>
      <c r="K29"/>
      <c r="L29"/>
    </row>
    <row r="30" spans="1:13" ht="36">
      <c r="A30" s="342" t="s">
        <v>760</v>
      </c>
      <c r="B30" s="342" t="s">
        <v>767</v>
      </c>
      <c r="C30" s="342" t="s">
        <v>161</v>
      </c>
      <c r="D30" s="352">
        <v>320202</v>
      </c>
      <c r="E30" s="343">
        <v>129</v>
      </c>
      <c r="F30" s="342" t="s">
        <v>229</v>
      </c>
      <c r="G30" s="343">
        <v>207523079.19840002</v>
      </c>
      <c r="H30" s="344">
        <v>436982576.5</v>
      </c>
      <c r="K30"/>
      <c r="L30"/>
    </row>
    <row r="31" spans="1:13" ht="36">
      <c r="A31" s="345" t="s">
        <v>760</v>
      </c>
      <c r="B31" s="345" t="s">
        <v>767</v>
      </c>
      <c r="C31" s="345" t="s">
        <v>162</v>
      </c>
      <c r="D31" s="353">
        <v>320203</v>
      </c>
      <c r="E31" s="346">
        <v>130</v>
      </c>
      <c r="F31" s="345" t="s">
        <v>231</v>
      </c>
      <c r="G31" s="346">
        <v>160000000</v>
      </c>
      <c r="H31" s="347">
        <v>120000000</v>
      </c>
      <c r="K31"/>
      <c r="L31"/>
    </row>
    <row r="32" spans="1:13" ht="36">
      <c r="A32" s="345" t="s">
        <v>760</v>
      </c>
      <c r="B32" s="345" t="s">
        <v>767</v>
      </c>
      <c r="C32" s="345" t="s">
        <v>162</v>
      </c>
      <c r="D32" s="353">
        <v>320203</v>
      </c>
      <c r="E32" s="346">
        <v>131</v>
      </c>
      <c r="F32" s="345" t="s">
        <v>60</v>
      </c>
      <c r="G32" s="346">
        <v>432943201.10000002</v>
      </c>
      <c r="H32" s="347">
        <v>327604813.22500002</v>
      </c>
      <c r="K32"/>
      <c r="L32"/>
    </row>
    <row r="33" spans="1:12" ht="36">
      <c r="A33" s="345" t="s">
        <v>760</v>
      </c>
      <c r="B33" s="345" t="s">
        <v>767</v>
      </c>
      <c r="C33" s="345" t="s">
        <v>162</v>
      </c>
      <c r="D33" s="353">
        <v>320203</v>
      </c>
      <c r="E33" s="346">
        <v>132</v>
      </c>
      <c r="F33" s="345" t="s">
        <v>755</v>
      </c>
      <c r="G33" s="346">
        <v>238852117</v>
      </c>
      <c r="H33" s="347">
        <v>91771680</v>
      </c>
      <c r="K33"/>
      <c r="L33"/>
    </row>
    <row r="34" spans="1:12" ht="36">
      <c r="A34" s="345" t="s">
        <v>760</v>
      </c>
      <c r="B34" s="345" t="s">
        <v>767</v>
      </c>
      <c r="C34" s="345" t="s">
        <v>162</v>
      </c>
      <c r="D34" s="353">
        <v>320203</v>
      </c>
      <c r="E34" s="346">
        <v>133</v>
      </c>
      <c r="F34" s="345" t="s">
        <v>43</v>
      </c>
      <c r="G34" s="346">
        <v>284467505.60000002</v>
      </c>
      <c r="H34" s="347">
        <v>379500480</v>
      </c>
    </row>
    <row r="35" spans="1:12" ht="36">
      <c r="A35" s="345" t="s">
        <v>760</v>
      </c>
      <c r="B35" s="345" t="s">
        <v>767</v>
      </c>
      <c r="C35" s="345" t="s">
        <v>162</v>
      </c>
      <c r="D35" s="353">
        <v>320203</v>
      </c>
      <c r="E35" s="346">
        <v>134</v>
      </c>
      <c r="F35" s="345" t="s">
        <v>44</v>
      </c>
      <c r="G35" s="346">
        <v>0</v>
      </c>
      <c r="H35" s="347">
        <v>0</v>
      </c>
    </row>
    <row r="36" spans="1:12" ht="36">
      <c r="A36" s="342" t="s">
        <v>761</v>
      </c>
      <c r="B36" s="342" t="s">
        <v>768</v>
      </c>
      <c r="C36" s="342" t="s">
        <v>17</v>
      </c>
      <c r="D36" s="352">
        <v>320301</v>
      </c>
      <c r="E36" s="343">
        <v>135</v>
      </c>
      <c r="F36" s="342" t="s">
        <v>756</v>
      </c>
      <c r="G36" s="343">
        <v>1478641236.8199999</v>
      </c>
      <c r="H36" s="344">
        <v>321842670.9635765</v>
      </c>
    </row>
    <row r="37" spans="1:12" ht="36">
      <c r="A37" s="342" t="s">
        <v>761</v>
      </c>
      <c r="B37" s="342" t="s">
        <v>768</v>
      </c>
      <c r="C37" s="342" t="s">
        <v>17</v>
      </c>
      <c r="D37" s="352">
        <v>320301</v>
      </c>
      <c r="E37" s="343">
        <v>136</v>
      </c>
      <c r="F37" s="342" t="s">
        <v>40</v>
      </c>
      <c r="G37" s="343">
        <v>4792692430.0400009</v>
      </c>
      <c r="H37" s="344">
        <v>5375042318.7999992</v>
      </c>
    </row>
    <row r="38" spans="1:12" ht="48">
      <c r="A38" s="342" t="s">
        <v>761</v>
      </c>
      <c r="B38" s="342" t="s">
        <v>768</v>
      </c>
      <c r="C38" s="342" t="s">
        <v>17</v>
      </c>
      <c r="D38" s="352">
        <v>320301</v>
      </c>
      <c r="E38" s="343">
        <v>137</v>
      </c>
      <c r="F38" s="342" t="s">
        <v>234</v>
      </c>
      <c r="G38" s="343">
        <v>2155298058</v>
      </c>
      <c r="H38" s="344">
        <v>937224539.98184013</v>
      </c>
    </row>
    <row r="39" spans="1:12" ht="24">
      <c r="A39" s="345" t="s">
        <v>761</v>
      </c>
      <c r="B39" s="345" t="s">
        <v>768</v>
      </c>
      <c r="C39" s="345" t="s">
        <v>164</v>
      </c>
      <c r="D39" s="353">
        <v>320302</v>
      </c>
      <c r="E39" s="346">
        <v>138</v>
      </c>
      <c r="F39" s="345" t="s">
        <v>45</v>
      </c>
      <c r="G39" s="346">
        <v>7761475.8144000005</v>
      </c>
      <c r="H39" s="347">
        <v>4346416.4000000004</v>
      </c>
    </row>
    <row r="40" spans="1:12" ht="24">
      <c r="A40" s="345" t="s">
        <v>761</v>
      </c>
      <c r="B40" s="345" t="s">
        <v>768</v>
      </c>
      <c r="C40" s="345" t="s">
        <v>164</v>
      </c>
      <c r="D40" s="353">
        <v>320302</v>
      </c>
      <c r="E40" s="346">
        <v>139</v>
      </c>
      <c r="F40" s="345" t="s">
        <v>47</v>
      </c>
      <c r="G40" s="346">
        <v>7761475.8144000005</v>
      </c>
      <c r="H40" s="347">
        <v>4346416.4000000004</v>
      </c>
    </row>
    <row r="41" spans="1:12">
      <c r="A41" s="345" t="s">
        <v>761</v>
      </c>
      <c r="B41" s="345" t="s">
        <v>768</v>
      </c>
      <c r="C41" s="345" t="s">
        <v>164</v>
      </c>
      <c r="D41" s="353">
        <v>320302</v>
      </c>
      <c r="E41" s="346">
        <v>140</v>
      </c>
      <c r="F41" s="345" t="s">
        <v>56</v>
      </c>
      <c r="G41" s="346">
        <v>154001216.162</v>
      </c>
      <c r="H41" s="347">
        <v>250000000</v>
      </c>
    </row>
    <row r="42" spans="1:12" ht="24">
      <c r="A42" s="345" t="s">
        <v>761</v>
      </c>
      <c r="B42" s="345" t="s">
        <v>768</v>
      </c>
      <c r="C42" s="345" t="s">
        <v>164</v>
      </c>
      <c r="D42" s="353">
        <v>320302</v>
      </c>
      <c r="E42" s="346">
        <v>141</v>
      </c>
      <c r="F42" s="345" t="s">
        <v>57</v>
      </c>
      <c r="G42" s="346">
        <v>154001216.162</v>
      </c>
      <c r="H42" s="347">
        <v>250000000</v>
      </c>
    </row>
    <row r="43" spans="1:12" ht="24">
      <c r="A43" s="345" t="s">
        <v>761</v>
      </c>
      <c r="B43" s="345" t="s">
        <v>768</v>
      </c>
      <c r="C43" s="345" t="s">
        <v>164</v>
      </c>
      <c r="D43" s="353">
        <v>320302</v>
      </c>
      <c r="E43" s="346">
        <v>142</v>
      </c>
      <c r="F43" s="345" t="s">
        <v>58</v>
      </c>
      <c r="G43" s="346">
        <v>1922131439.9790401</v>
      </c>
      <c r="H43" s="347">
        <v>1995362384.0340002</v>
      </c>
    </row>
    <row r="44" spans="1:12" ht="24">
      <c r="A44" s="345" t="s">
        <v>761</v>
      </c>
      <c r="B44" s="345" t="s">
        <v>768</v>
      </c>
      <c r="C44" s="345" t="s">
        <v>164</v>
      </c>
      <c r="D44" s="353">
        <v>320302</v>
      </c>
      <c r="E44" s="346">
        <v>143</v>
      </c>
      <c r="F44" s="345" t="s">
        <v>59</v>
      </c>
      <c r="G44" s="346">
        <v>324103857.46816003</v>
      </c>
      <c r="H44" s="347">
        <v>193950310.40000001</v>
      </c>
    </row>
    <row r="45" spans="1:12">
      <c r="A45" s="345" t="s">
        <v>761</v>
      </c>
      <c r="B45" s="345" t="s">
        <v>768</v>
      </c>
      <c r="C45" s="345" t="s">
        <v>164</v>
      </c>
      <c r="D45" s="353">
        <v>320302</v>
      </c>
      <c r="E45" s="346">
        <v>144</v>
      </c>
      <c r="F45" s="345" t="s">
        <v>3</v>
      </c>
      <c r="G45" s="346">
        <v>0</v>
      </c>
      <c r="H45" s="347">
        <v>40000000</v>
      </c>
    </row>
    <row r="46" spans="1:12" ht="24">
      <c r="A46" s="342" t="s">
        <v>762</v>
      </c>
      <c r="B46" s="342" t="s">
        <v>769</v>
      </c>
      <c r="C46" s="342" t="s">
        <v>165</v>
      </c>
      <c r="D46" s="352">
        <v>320401</v>
      </c>
      <c r="E46" s="343">
        <v>145</v>
      </c>
      <c r="F46" s="342" t="s">
        <v>54</v>
      </c>
      <c r="G46" s="343">
        <v>225957274.87051016</v>
      </c>
      <c r="H46" s="344">
        <v>418728641.60000002</v>
      </c>
    </row>
    <row r="47" spans="1:12" ht="24">
      <c r="A47" s="342" t="s">
        <v>762</v>
      </c>
      <c r="B47" s="342" t="s">
        <v>769</v>
      </c>
      <c r="C47" s="342" t="s">
        <v>165</v>
      </c>
      <c r="D47" s="352">
        <v>320401</v>
      </c>
      <c r="E47" s="343">
        <v>146</v>
      </c>
      <c r="F47" s="342" t="s">
        <v>55</v>
      </c>
      <c r="G47" s="343">
        <v>45010129.020289861</v>
      </c>
      <c r="H47" s="344">
        <v>56503413.200000003</v>
      </c>
    </row>
    <row r="48" spans="1:12" ht="48">
      <c r="A48" s="345" t="s">
        <v>763</v>
      </c>
      <c r="B48" s="345" t="s">
        <v>770</v>
      </c>
      <c r="C48" s="345" t="s">
        <v>23</v>
      </c>
      <c r="D48" s="353">
        <v>320501</v>
      </c>
      <c r="E48" s="346">
        <v>147</v>
      </c>
      <c r="F48" s="345" t="s">
        <v>1</v>
      </c>
      <c r="G48" s="346">
        <v>315425338.37479997</v>
      </c>
      <c r="H48" s="347">
        <v>282109790.50848001</v>
      </c>
    </row>
    <row r="49" spans="1:8" ht="36">
      <c r="A49" s="345" t="s">
        <v>763</v>
      </c>
      <c r="B49" s="345" t="s">
        <v>770</v>
      </c>
      <c r="C49" s="345" t="s">
        <v>23</v>
      </c>
      <c r="D49" s="353">
        <v>320501</v>
      </c>
      <c r="E49" s="346">
        <v>148</v>
      </c>
      <c r="F49" s="345" t="s">
        <v>212</v>
      </c>
      <c r="G49" s="346">
        <v>108794262.88113163</v>
      </c>
      <c r="H49" s="347">
        <v>126713718.94513361</v>
      </c>
    </row>
    <row r="50" spans="1:8" ht="24">
      <c r="A50" s="342" t="s">
        <v>763</v>
      </c>
      <c r="B50" s="342" t="s">
        <v>770</v>
      </c>
      <c r="C50" s="342" t="s">
        <v>169</v>
      </c>
      <c r="D50" s="352">
        <v>320502</v>
      </c>
      <c r="E50" s="343">
        <v>149</v>
      </c>
      <c r="F50" s="342" t="s">
        <v>236</v>
      </c>
      <c r="G50" s="343">
        <v>589718895.25524259</v>
      </c>
      <c r="H50" s="344">
        <v>214451294.76000002</v>
      </c>
    </row>
    <row r="51" spans="1:8" ht="24">
      <c r="A51" s="342" t="s">
        <v>763</v>
      </c>
      <c r="B51" s="342" t="s">
        <v>770</v>
      </c>
      <c r="C51" s="342" t="s">
        <v>169</v>
      </c>
      <c r="D51" s="352">
        <v>320502</v>
      </c>
      <c r="E51" s="343">
        <v>150</v>
      </c>
      <c r="F51" s="342" t="s">
        <v>237</v>
      </c>
      <c r="G51" s="343">
        <v>2856646767.7447572</v>
      </c>
      <c r="H51" s="344">
        <v>4087580569</v>
      </c>
    </row>
    <row r="52" spans="1:8" ht="24">
      <c r="A52" s="345" t="s">
        <v>763</v>
      </c>
      <c r="B52" s="345" t="s">
        <v>770</v>
      </c>
      <c r="C52" s="345" t="s">
        <v>176</v>
      </c>
      <c r="D52" s="353">
        <v>320503</v>
      </c>
      <c r="E52" s="346">
        <v>151</v>
      </c>
      <c r="F52" s="345" t="s">
        <v>4</v>
      </c>
      <c r="G52" s="346">
        <v>299999999.88704002</v>
      </c>
      <c r="H52" s="347">
        <v>511846400</v>
      </c>
    </row>
    <row r="53" spans="1:8" ht="24">
      <c r="A53" s="345" t="s">
        <v>763</v>
      </c>
      <c r="B53" s="345" t="s">
        <v>770</v>
      </c>
      <c r="C53" s="345" t="s">
        <v>176</v>
      </c>
      <c r="D53" s="353">
        <v>320503</v>
      </c>
      <c r="E53" s="346">
        <v>152</v>
      </c>
      <c r="F53" s="345" t="s">
        <v>0</v>
      </c>
      <c r="G53" s="346">
        <v>138973148</v>
      </c>
      <c r="H53" s="347">
        <v>157146830.54850653</v>
      </c>
    </row>
    <row r="54" spans="1:8" ht="36">
      <c r="A54" s="342" t="s">
        <v>764</v>
      </c>
      <c r="B54" s="342" t="s">
        <v>251</v>
      </c>
      <c r="C54" s="342" t="s">
        <v>166</v>
      </c>
      <c r="D54" s="352">
        <v>320601</v>
      </c>
      <c r="E54" s="343">
        <v>153</v>
      </c>
      <c r="F54" s="342" t="s">
        <v>2</v>
      </c>
      <c r="G54" s="343">
        <v>70541306</v>
      </c>
      <c r="H54" s="344">
        <v>36055585.350400001</v>
      </c>
    </row>
    <row r="55" spans="1:8" ht="36">
      <c r="A55" s="342" t="s">
        <v>764</v>
      </c>
      <c r="B55" s="342" t="s">
        <v>251</v>
      </c>
      <c r="C55" s="342" t="s">
        <v>166</v>
      </c>
      <c r="D55" s="352">
        <v>320601</v>
      </c>
      <c r="E55" s="343">
        <v>154</v>
      </c>
      <c r="F55" s="342" t="s">
        <v>12</v>
      </c>
      <c r="G55" s="343">
        <v>2462937296</v>
      </c>
      <c r="H55" s="344">
        <v>1047857858.76</v>
      </c>
    </row>
    <row r="56" spans="1:8">
      <c r="A56" s="345" t="s">
        <v>765</v>
      </c>
      <c r="B56" s="345" t="s">
        <v>771</v>
      </c>
      <c r="C56" s="345" t="s">
        <v>32</v>
      </c>
      <c r="D56" s="353">
        <v>320801</v>
      </c>
      <c r="E56" s="346">
        <v>155</v>
      </c>
      <c r="F56" s="345" t="s">
        <v>239</v>
      </c>
      <c r="G56" s="346">
        <v>881501375.32191992</v>
      </c>
      <c r="H56" s="347">
        <v>1237698982.658</v>
      </c>
    </row>
    <row r="57" spans="1:8">
      <c r="A57" s="345" t="s">
        <v>765</v>
      </c>
      <c r="B57" s="345" t="s">
        <v>771</v>
      </c>
      <c r="C57" s="345" t="s">
        <v>32</v>
      </c>
      <c r="D57" s="353">
        <v>320801</v>
      </c>
      <c r="E57" s="346">
        <v>156</v>
      </c>
      <c r="F57" s="345" t="s">
        <v>0</v>
      </c>
      <c r="G57" s="346">
        <v>118794263</v>
      </c>
      <c r="H57" s="347">
        <v>158713718.94513363</v>
      </c>
    </row>
    <row r="58" spans="1:8" ht="36">
      <c r="A58" s="342" t="s">
        <v>766</v>
      </c>
      <c r="B58" s="342" t="s">
        <v>772</v>
      </c>
      <c r="C58" s="342" t="s">
        <v>30</v>
      </c>
      <c r="D58" s="352">
        <v>329901</v>
      </c>
      <c r="E58" s="343">
        <v>157</v>
      </c>
      <c r="F58" s="342" t="s">
        <v>6</v>
      </c>
      <c r="G58" s="343">
        <v>385260730.41344005</v>
      </c>
      <c r="H58" s="344">
        <v>541509266.85450244</v>
      </c>
    </row>
    <row r="59" spans="1:8" ht="36">
      <c r="A59" s="342" t="s">
        <v>766</v>
      </c>
      <c r="B59" s="342" t="s">
        <v>772</v>
      </c>
      <c r="C59" s="342" t="s">
        <v>30</v>
      </c>
      <c r="D59" s="352">
        <v>329901</v>
      </c>
      <c r="E59" s="343">
        <v>158</v>
      </c>
      <c r="F59" s="342" t="s">
        <v>7</v>
      </c>
      <c r="G59" s="343">
        <v>23614080</v>
      </c>
      <c r="H59" s="344">
        <v>55414374</v>
      </c>
    </row>
    <row r="60" spans="1:8" ht="36">
      <c r="A60" s="342" t="s">
        <v>766</v>
      </c>
      <c r="B60" s="342" t="s">
        <v>772</v>
      </c>
      <c r="C60" s="342" t="s">
        <v>30</v>
      </c>
      <c r="D60" s="352">
        <v>329901</v>
      </c>
      <c r="E60" s="343">
        <v>159</v>
      </c>
      <c r="F60" s="342" t="s">
        <v>8</v>
      </c>
      <c r="G60" s="343">
        <v>546629581</v>
      </c>
      <c r="H60" s="344">
        <v>695794217.98399997</v>
      </c>
    </row>
    <row r="61" spans="1:8" ht="36">
      <c r="A61" s="342" t="s">
        <v>766</v>
      </c>
      <c r="B61" s="342" t="s">
        <v>772</v>
      </c>
      <c r="C61" s="342" t="s">
        <v>30</v>
      </c>
      <c r="D61" s="352">
        <v>329901</v>
      </c>
      <c r="E61" s="343">
        <v>160</v>
      </c>
      <c r="F61" s="342" t="s">
        <v>757</v>
      </c>
      <c r="G61" s="343">
        <v>89880262.133760005</v>
      </c>
      <c r="H61" s="344">
        <v>361464752</v>
      </c>
    </row>
    <row r="62" spans="1:8" ht="36">
      <c r="A62" s="342" t="s">
        <v>766</v>
      </c>
      <c r="B62" s="342" t="s">
        <v>772</v>
      </c>
      <c r="C62" s="342" t="s">
        <v>30</v>
      </c>
      <c r="D62" s="352">
        <v>329901</v>
      </c>
      <c r="E62" s="343">
        <v>161</v>
      </c>
      <c r="F62" s="342" t="s">
        <v>9</v>
      </c>
      <c r="G62" s="343">
        <v>201151449.30400002</v>
      </c>
      <c r="H62" s="344">
        <v>215252811.67360002</v>
      </c>
    </row>
    <row r="63" spans="1:8" ht="36">
      <c r="A63" s="342" t="s">
        <v>766</v>
      </c>
      <c r="B63" s="342" t="s">
        <v>772</v>
      </c>
      <c r="C63" s="342" t="s">
        <v>30</v>
      </c>
      <c r="D63" s="352">
        <v>329901</v>
      </c>
      <c r="E63" s="343">
        <v>162</v>
      </c>
      <c r="F63" s="342" t="s">
        <v>0</v>
      </c>
      <c r="G63" s="343">
        <v>327894154</v>
      </c>
      <c r="H63" s="344">
        <v>385119448.85676497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
  <sheetViews>
    <sheetView workbookViewId="0">
      <selection sqref="A1:G1"/>
    </sheetView>
  </sheetViews>
  <sheetFormatPr baseColWidth="10" defaultRowHeight="15"/>
  <cols>
    <col min="1" max="1" width="7.28515625" customWidth="1"/>
    <col min="2" max="2" width="22.85546875" customWidth="1"/>
    <col min="3" max="3" width="12.140625" customWidth="1"/>
    <col min="4" max="4" width="26.140625" customWidth="1"/>
    <col min="5" max="5" width="15" customWidth="1"/>
    <col min="6" max="6" width="16.5703125" customWidth="1"/>
    <col min="7" max="7" width="15.7109375" customWidth="1"/>
    <col min="10" max="10" width="16.140625" customWidth="1"/>
    <col min="11" max="11" width="17.85546875" customWidth="1"/>
    <col min="12" max="12" width="20.85546875" customWidth="1"/>
  </cols>
  <sheetData>
    <row r="1" spans="1:7">
      <c r="A1" s="2015" t="s">
        <v>758</v>
      </c>
      <c r="B1" s="2015"/>
      <c r="C1" s="2015"/>
      <c r="D1" s="2015"/>
      <c r="E1" s="2015"/>
      <c r="F1" s="2015"/>
      <c r="G1" s="2015"/>
    </row>
    <row r="2" spans="1:7" ht="20.100000000000001" customHeight="1">
      <c r="A2" s="112" t="s">
        <v>69</v>
      </c>
      <c r="B2" s="113" t="s">
        <v>230</v>
      </c>
      <c r="C2" s="113" t="s">
        <v>213</v>
      </c>
      <c r="D2" s="113">
        <v>2021</v>
      </c>
      <c r="E2" s="113">
        <v>2022</v>
      </c>
      <c r="F2" s="113">
        <v>2023</v>
      </c>
      <c r="G2" s="113">
        <v>2024</v>
      </c>
    </row>
    <row r="3" spans="1:7" ht="20.100000000000001" customHeight="1">
      <c r="A3" s="109">
        <v>1</v>
      </c>
      <c r="B3" s="110">
        <v>320101</v>
      </c>
      <c r="C3" s="110" t="s">
        <v>194</v>
      </c>
      <c r="D3" s="111">
        <v>80276606</v>
      </c>
      <c r="E3" s="111">
        <v>83971273</v>
      </c>
      <c r="F3" s="111">
        <v>98794262.881131634</v>
      </c>
      <c r="G3" s="111">
        <v>111713718.94513361</v>
      </c>
    </row>
    <row r="4" spans="1:7" ht="20.100000000000001" customHeight="1">
      <c r="A4" s="103">
        <v>2</v>
      </c>
      <c r="B4" s="104">
        <v>320102</v>
      </c>
      <c r="C4" s="104" t="s">
        <v>194</v>
      </c>
      <c r="D4" s="105">
        <v>80276606</v>
      </c>
      <c r="E4" s="105">
        <v>83971273</v>
      </c>
      <c r="F4" s="105">
        <v>98794262.881131634</v>
      </c>
      <c r="G4" s="105">
        <v>111713718.94513361</v>
      </c>
    </row>
    <row r="5" spans="1:7" ht="20.100000000000001" customHeight="1">
      <c r="A5" s="103">
        <v>3</v>
      </c>
      <c r="B5" s="104">
        <v>320103</v>
      </c>
      <c r="C5" s="104" t="s">
        <v>209</v>
      </c>
      <c r="D5" s="105">
        <v>679776582</v>
      </c>
      <c r="E5" s="105">
        <v>730989282</v>
      </c>
      <c r="F5" s="105">
        <v>2499281313.9988666</v>
      </c>
      <c r="G5" s="105">
        <v>2820871193.9600253</v>
      </c>
    </row>
    <row r="6" spans="1:7" ht="20.100000000000001" customHeight="1">
      <c r="A6" s="103"/>
      <c r="B6" s="106"/>
      <c r="C6" s="104" t="s">
        <v>194</v>
      </c>
      <c r="D6" s="105">
        <v>1201200840</v>
      </c>
      <c r="E6" s="105">
        <v>1307792702</v>
      </c>
      <c r="F6" s="105"/>
      <c r="G6" s="105"/>
    </row>
    <row r="7" spans="1:7" ht="20.100000000000001" customHeight="1">
      <c r="A7" s="103">
        <v>4</v>
      </c>
      <c r="B7" s="104">
        <v>320201</v>
      </c>
      <c r="C7" s="104" t="s">
        <v>194</v>
      </c>
      <c r="D7" s="105">
        <v>126812042</v>
      </c>
      <c r="E7" s="105">
        <v>141824283</v>
      </c>
      <c r="F7" s="105">
        <v>166859720.2634376</v>
      </c>
      <c r="G7" s="105">
        <v>188680194.85251135</v>
      </c>
    </row>
    <row r="8" spans="1:7" ht="20.100000000000001" customHeight="1">
      <c r="A8" s="103">
        <v>5</v>
      </c>
      <c r="B8" s="104">
        <v>320301</v>
      </c>
      <c r="C8" s="104" t="s">
        <v>194</v>
      </c>
      <c r="D8" s="105">
        <v>222501587</v>
      </c>
      <c r="E8" s="105">
        <v>241914324</v>
      </c>
      <c r="F8" s="105">
        <v>284622237.14019948</v>
      </c>
      <c r="G8" s="105">
        <v>321842670.9635765</v>
      </c>
    </row>
    <row r="9" spans="1:7" ht="20.100000000000001" customHeight="1">
      <c r="A9" s="103">
        <v>6</v>
      </c>
      <c r="B9" s="104">
        <v>320501</v>
      </c>
      <c r="C9" s="104" t="s">
        <v>194</v>
      </c>
      <c r="D9" s="105">
        <v>80276606</v>
      </c>
      <c r="E9" s="105">
        <v>83971273</v>
      </c>
      <c r="F9" s="105">
        <v>98794262.881131634</v>
      </c>
      <c r="G9" s="105">
        <v>111713718.94513361</v>
      </c>
    </row>
    <row r="10" spans="1:7" ht="20.100000000000001" customHeight="1">
      <c r="A10" s="103">
        <v>7</v>
      </c>
      <c r="B10" s="104">
        <v>320503</v>
      </c>
      <c r="C10" s="104" t="s">
        <v>194</v>
      </c>
      <c r="D10" s="105">
        <v>54820000</v>
      </c>
      <c r="E10" s="105">
        <v>116484900</v>
      </c>
      <c r="F10" s="105">
        <v>138973147.71153277</v>
      </c>
      <c r="G10" s="105">
        <v>157146830.54850653</v>
      </c>
    </row>
    <row r="11" spans="1:7" ht="20.100000000000001" customHeight="1">
      <c r="A11" s="103">
        <v>8</v>
      </c>
      <c r="B11" s="104">
        <v>320801</v>
      </c>
      <c r="C11" s="104" t="s">
        <v>194</v>
      </c>
      <c r="D11" s="105">
        <v>124157758</v>
      </c>
      <c r="E11" s="105">
        <v>83971273</v>
      </c>
      <c r="F11" s="105">
        <v>98794262.881131634</v>
      </c>
      <c r="G11" s="105">
        <v>111713718.94513361</v>
      </c>
    </row>
    <row r="12" spans="1:7" ht="20.100000000000001" customHeight="1">
      <c r="A12" s="118">
        <v>9</v>
      </c>
      <c r="B12" s="107">
        <v>329901</v>
      </c>
      <c r="C12" s="107" t="s">
        <v>194</v>
      </c>
      <c r="D12" s="108">
        <v>249206594</v>
      </c>
      <c r="E12" s="108">
        <v>274238871</v>
      </c>
      <c r="F12" s="108">
        <v>322894153.58326882</v>
      </c>
      <c r="G12" s="108">
        <v>365119448.85676497</v>
      </c>
    </row>
    <row r="13" spans="1:7" ht="20.100000000000001" customHeight="1">
      <c r="A13" s="114"/>
      <c r="B13" s="115"/>
      <c r="C13" s="116" t="s">
        <v>10</v>
      </c>
      <c r="D13" s="117">
        <f>SUM(D3:D12)</f>
        <v>2899305221</v>
      </c>
      <c r="E13" s="117">
        <f>SUM(E3:E12)</f>
        <v>3149129454</v>
      </c>
      <c r="F13" s="117">
        <f>SUM(F3:F12)</f>
        <v>3807807624.2218318</v>
      </c>
      <c r="G13" s="117">
        <f>SUM(G3:G12)</f>
        <v>4300515214.9619198</v>
      </c>
    </row>
    <row r="14" spans="1:7" ht="20.100000000000001" customHeight="1" thickBot="1">
      <c r="C14" s="77"/>
      <c r="D14" s="34"/>
      <c r="E14" s="34"/>
    </row>
    <row r="15" spans="1:7" ht="20.100000000000001" customHeight="1" thickBot="1">
      <c r="B15" s="2012" t="s">
        <v>751</v>
      </c>
      <c r="C15" s="2013"/>
      <c r="D15" s="2013"/>
      <c r="E15" s="2013"/>
      <c r="F15" s="2014"/>
    </row>
    <row r="16" spans="1:7" ht="50.25" customHeight="1">
      <c r="B16" s="357"/>
      <c r="C16" s="356" t="s">
        <v>332</v>
      </c>
      <c r="D16" s="356" t="s">
        <v>743</v>
      </c>
      <c r="E16" s="356" t="s">
        <v>744</v>
      </c>
      <c r="F16" s="358" t="s">
        <v>745</v>
      </c>
    </row>
    <row r="17" spans="2:7">
      <c r="B17" s="359" t="s">
        <v>746</v>
      </c>
      <c r="C17" s="137">
        <v>2020</v>
      </c>
      <c r="D17" s="132">
        <v>23755585130</v>
      </c>
      <c r="E17" s="132"/>
      <c r="F17" s="360">
        <v>0</v>
      </c>
    </row>
    <row r="18" spans="2:7">
      <c r="B18" s="359" t="s">
        <v>747</v>
      </c>
      <c r="C18" s="137">
        <v>2021</v>
      </c>
      <c r="D18" s="132">
        <v>24873867190</v>
      </c>
      <c r="E18" s="338">
        <f>+(D18-D17)/D17</f>
        <v>4.7074490225364529E-2</v>
      </c>
      <c r="F18" s="360">
        <v>2899305221</v>
      </c>
      <c r="G18" s="131"/>
    </row>
    <row r="19" spans="2:7">
      <c r="B19" s="359" t="s">
        <v>748</v>
      </c>
      <c r="C19" s="137">
        <v>2022</v>
      </c>
      <c r="D19" s="132">
        <v>27934280541</v>
      </c>
      <c r="E19" s="338">
        <f>+(D19-D18)/D18</f>
        <v>0.12303729563332126</v>
      </c>
      <c r="F19" s="360">
        <v>3149129454</v>
      </c>
    </row>
    <row r="20" spans="2:7">
      <c r="B20" s="359" t="s">
        <v>749</v>
      </c>
      <c r="C20" s="137">
        <v>2023</v>
      </c>
      <c r="D20" s="132">
        <v>30823843749</v>
      </c>
      <c r="E20" s="338">
        <f>+(D20-D19)/D19</f>
        <v>0.10344147592270721</v>
      </c>
      <c r="F20" s="360">
        <v>3807807624</v>
      </c>
    </row>
    <row r="21" spans="2:7" ht="16.5" thickBot="1">
      <c r="B21" s="361" t="s">
        <v>750</v>
      </c>
      <c r="C21" s="362">
        <v>2024</v>
      </c>
      <c r="D21" s="363">
        <v>33534235201</v>
      </c>
      <c r="E21" s="364">
        <f>+(D21-D20)/D20</f>
        <v>8.7931650383087978E-2</v>
      </c>
      <c r="F21" s="365">
        <v>4300515215</v>
      </c>
    </row>
    <row r="22" spans="2:7">
      <c r="D22" s="34"/>
      <c r="E22" s="34"/>
    </row>
    <row r="23" spans="2:7">
      <c r="D23" s="34"/>
      <c r="E23" s="34"/>
    </row>
    <row r="24" spans="2:7">
      <c r="D24" s="34"/>
      <c r="E24" s="34"/>
    </row>
  </sheetData>
  <mergeCells count="2">
    <mergeCell ref="B15:F15"/>
    <mergeCell ref="A1:G1"/>
  </mergeCells>
  <pageMargins left="0.7" right="0.7" top="0.75" bottom="0.75" header="0.3" footer="0.3"/>
  <pageSetup orientation="portrait" verticalDpi="597" r:id="rId1"/>
  <ignoredErrors>
    <ignoredError sqref="D13:E13"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M125"/>
  <sheetViews>
    <sheetView workbookViewId="0">
      <selection sqref="A1:H1"/>
    </sheetView>
  </sheetViews>
  <sheetFormatPr baseColWidth="10" defaultColWidth="23" defaultRowHeight="12.75"/>
  <cols>
    <col min="1" max="1" width="4.42578125" style="1" bestFit="1" customWidth="1"/>
    <col min="2" max="2" width="43.85546875" style="3" customWidth="1"/>
    <col min="3" max="3" width="63" style="1" customWidth="1"/>
    <col min="4" max="7" width="9.140625" style="1" customWidth="1"/>
    <col min="8" max="8" width="9.140625" style="1" hidden="1" customWidth="1"/>
    <col min="9" max="16384" width="23" style="1"/>
  </cols>
  <sheetData>
    <row r="1" spans="1:8" ht="20.25">
      <c r="A1" s="2027" t="s">
        <v>168</v>
      </c>
      <c r="B1" s="2028"/>
      <c r="C1" s="2028"/>
      <c r="D1" s="2028"/>
      <c r="E1" s="2028"/>
      <c r="F1" s="2028"/>
      <c r="G1" s="2028"/>
      <c r="H1" s="2029"/>
    </row>
    <row r="2" spans="1:8" ht="23.25" customHeight="1">
      <c r="A2" s="2030" t="s">
        <v>131</v>
      </c>
      <c r="B2" s="2030"/>
      <c r="C2" s="2030"/>
      <c r="D2" s="2030"/>
      <c r="E2" s="2030"/>
      <c r="F2" s="2030"/>
      <c r="G2" s="2030"/>
      <c r="H2" s="2030"/>
    </row>
    <row r="3" spans="1:8">
      <c r="A3" s="43"/>
      <c r="B3" s="37"/>
      <c r="C3" s="43"/>
      <c r="D3" s="43"/>
      <c r="E3" s="43"/>
      <c r="F3" s="43"/>
      <c r="G3" s="43"/>
      <c r="H3" s="43"/>
    </row>
    <row r="4" spans="1:8" ht="28.5" customHeight="1">
      <c r="A4" s="2030" t="s">
        <v>130</v>
      </c>
      <c r="B4" s="2030"/>
      <c r="C4" s="2030"/>
      <c r="D4" s="2030"/>
      <c r="E4" s="2030"/>
      <c r="F4" s="2030"/>
      <c r="G4" s="2030"/>
      <c r="H4" s="2030"/>
    </row>
    <row r="5" spans="1:8" ht="33.75" customHeight="1">
      <c r="A5" s="44" t="s">
        <v>69</v>
      </c>
      <c r="B5" s="38" t="s">
        <v>62</v>
      </c>
      <c r="C5" s="38" t="s">
        <v>63</v>
      </c>
      <c r="D5" s="38" t="s">
        <v>138</v>
      </c>
      <c r="E5" s="38" t="s">
        <v>139</v>
      </c>
      <c r="F5" s="38" t="s">
        <v>140</v>
      </c>
      <c r="G5" s="38" t="s">
        <v>141</v>
      </c>
      <c r="H5" s="38" t="s">
        <v>142</v>
      </c>
    </row>
    <row r="6" spans="1:8" s="2" customFormat="1" ht="25.5">
      <c r="A6" s="37">
        <v>1</v>
      </c>
      <c r="B6" s="39" t="s">
        <v>84</v>
      </c>
      <c r="C6" s="37" t="s">
        <v>11</v>
      </c>
      <c r="D6" s="40"/>
      <c r="E6" s="40"/>
      <c r="F6" s="40"/>
      <c r="G6" s="40"/>
      <c r="H6" s="40">
        <v>100</v>
      </c>
    </row>
    <row r="7" spans="1:8" s="2" customFormat="1" ht="40.5" customHeight="1">
      <c r="A7" s="37">
        <v>2</v>
      </c>
      <c r="B7" s="37" t="s">
        <v>85</v>
      </c>
      <c r="C7" s="35" t="s">
        <v>0</v>
      </c>
      <c r="D7" s="37"/>
      <c r="E7" s="37"/>
      <c r="F7" s="37"/>
      <c r="G7" s="37"/>
      <c r="H7" s="37">
        <v>1</v>
      </c>
    </row>
    <row r="8" spans="1:8" ht="18.75" customHeight="1">
      <c r="A8" s="2030" t="s">
        <v>132</v>
      </c>
      <c r="B8" s="2030"/>
      <c r="C8" s="2030"/>
      <c r="D8" s="2030"/>
      <c r="E8" s="2030"/>
      <c r="F8" s="2030"/>
      <c r="G8" s="2030"/>
      <c r="H8" s="2030"/>
    </row>
    <row r="9" spans="1:8" ht="12.75" customHeight="1">
      <c r="A9" s="44" t="s">
        <v>69</v>
      </c>
      <c r="B9" s="38" t="s">
        <v>62</v>
      </c>
      <c r="C9" s="38" t="s">
        <v>63</v>
      </c>
      <c r="D9" s="38" t="s">
        <v>138</v>
      </c>
      <c r="E9" s="38" t="s">
        <v>139</v>
      </c>
      <c r="F9" s="38" t="s">
        <v>140</v>
      </c>
      <c r="G9" s="38" t="s">
        <v>141</v>
      </c>
      <c r="H9" s="38" t="s">
        <v>142</v>
      </c>
    </row>
    <row r="10" spans="1:8" s="2" customFormat="1" ht="25.5">
      <c r="A10" s="37">
        <v>3</v>
      </c>
      <c r="B10" s="39" t="s">
        <v>86</v>
      </c>
      <c r="C10" s="37" t="s">
        <v>148</v>
      </c>
      <c r="D10" s="37"/>
      <c r="E10" s="37"/>
      <c r="F10" s="37"/>
      <c r="G10" s="37"/>
      <c r="H10" s="37">
        <v>100</v>
      </c>
    </row>
    <row r="11" spans="1:8" ht="38.25">
      <c r="A11" s="37">
        <v>4</v>
      </c>
      <c r="B11" s="37" t="s">
        <v>5</v>
      </c>
      <c r="C11" s="35" t="s">
        <v>0</v>
      </c>
      <c r="D11" s="37"/>
      <c r="E11" s="37"/>
      <c r="F11" s="37"/>
      <c r="G11" s="37"/>
      <c r="H11" s="37">
        <v>1</v>
      </c>
    </row>
    <row r="12" spans="1:8" ht="23.25" customHeight="1">
      <c r="A12" s="2030" t="s">
        <v>153</v>
      </c>
      <c r="B12" s="2030"/>
      <c r="C12" s="2030"/>
      <c r="D12" s="2030"/>
      <c r="E12" s="2030"/>
      <c r="F12" s="2030"/>
      <c r="G12" s="2030"/>
      <c r="H12" s="2030"/>
    </row>
    <row r="13" spans="1:8" ht="33.75" customHeight="1">
      <c r="A13" s="44" t="s">
        <v>69</v>
      </c>
      <c r="B13" s="38" t="s">
        <v>62</v>
      </c>
      <c r="C13" s="38" t="s">
        <v>63</v>
      </c>
      <c r="D13" s="38" t="s">
        <v>138</v>
      </c>
      <c r="E13" s="38" t="s">
        <v>139</v>
      </c>
      <c r="F13" s="38" t="s">
        <v>140</v>
      </c>
      <c r="G13" s="38" t="s">
        <v>141</v>
      </c>
      <c r="H13" s="38" t="s">
        <v>142</v>
      </c>
    </row>
    <row r="14" spans="1:8" ht="38.25">
      <c r="A14" s="39">
        <v>5</v>
      </c>
      <c r="B14" s="37" t="s">
        <v>95</v>
      </c>
      <c r="C14" s="37" t="s">
        <v>46</v>
      </c>
      <c r="D14" s="37"/>
      <c r="E14" s="37"/>
      <c r="F14" s="37"/>
      <c r="G14" s="37"/>
      <c r="H14" s="37">
        <v>100</v>
      </c>
    </row>
    <row r="15" spans="1:8" ht="38.25">
      <c r="A15" s="39">
        <v>6</v>
      </c>
      <c r="B15" s="37" t="s">
        <v>97</v>
      </c>
      <c r="C15" s="37" t="s">
        <v>48</v>
      </c>
      <c r="D15" s="37"/>
      <c r="E15" s="37"/>
      <c r="F15" s="37"/>
      <c r="G15" s="37"/>
      <c r="H15" s="37">
        <v>100</v>
      </c>
    </row>
    <row r="16" spans="1:8" ht="19.5" customHeight="1">
      <c r="A16" s="39">
        <v>7</v>
      </c>
      <c r="B16" s="37" t="s">
        <v>98</v>
      </c>
      <c r="C16" s="37" t="s">
        <v>49</v>
      </c>
      <c r="D16" s="37"/>
      <c r="E16" s="37"/>
      <c r="F16" s="37"/>
      <c r="G16" s="37"/>
      <c r="H16" s="37">
        <v>100</v>
      </c>
    </row>
    <row r="17" spans="1:8" ht="38.25">
      <c r="A17" s="39">
        <v>8</v>
      </c>
      <c r="B17" s="37" t="s">
        <v>99</v>
      </c>
      <c r="C17" s="37" t="s">
        <v>50</v>
      </c>
      <c r="D17" s="37"/>
      <c r="E17" s="37"/>
      <c r="F17" s="37"/>
      <c r="G17" s="37"/>
      <c r="H17" s="37">
        <v>60</v>
      </c>
    </row>
    <row r="18" spans="1:8" ht="25.5">
      <c r="A18" s="39">
        <v>9</v>
      </c>
      <c r="B18" s="37" t="s">
        <v>100</v>
      </c>
      <c r="C18" s="37" t="s">
        <v>51</v>
      </c>
      <c r="D18" s="37"/>
      <c r="E18" s="37"/>
      <c r="F18" s="37"/>
      <c r="G18" s="37"/>
      <c r="H18" s="37">
        <v>80</v>
      </c>
    </row>
    <row r="19" spans="1:8" ht="19.5" customHeight="1">
      <c r="A19" s="39">
        <v>10</v>
      </c>
      <c r="B19" s="37" t="s">
        <v>101</v>
      </c>
      <c r="C19" s="37" t="s">
        <v>52</v>
      </c>
      <c r="D19" s="37"/>
      <c r="E19" s="37"/>
      <c r="F19" s="37"/>
      <c r="G19" s="37"/>
      <c r="H19" s="37">
        <v>35</v>
      </c>
    </row>
    <row r="20" spans="1:8" ht="51.75" customHeight="1">
      <c r="A20" s="39">
        <v>11</v>
      </c>
      <c r="B20" s="37" t="s">
        <v>103</v>
      </c>
      <c r="C20" s="37" t="s">
        <v>143</v>
      </c>
      <c r="D20" s="37"/>
      <c r="E20" s="37"/>
      <c r="F20" s="37"/>
      <c r="G20" s="37"/>
      <c r="H20" s="37">
        <v>420</v>
      </c>
    </row>
    <row r="21" spans="1:8" ht="39" customHeight="1">
      <c r="A21" s="39">
        <v>12</v>
      </c>
      <c r="B21" s="37" t="s">
        <v>104</v>
      </c>
      <c r="C21" s="37" t="s">
        <v>144</v>
      </c>
      <c r="D21" s="37"/>
      <c r="E21" s="37"/>
      <c r="F21" s="37"/>
      <c r="G21" s="37"/>
      <c r="H21" s="37">
        <v>1</v>
      </c>
    </row>
    <row r="22" spans="1:8" ht="25.5">
      <c r="A22" s="39">
        <v>13</v>
      </c>
      <c r="B22" s="37" t="s">
        <v>145</v>
      </c>
      <c r="C22" s="37" t="s">
        <v>53</v>
      </c>
      <c r="D22" s="37"/>
      <c r="E22" s="37"/>
      <c r="F22" s="37"/>
      <c r="G22" s="37"/>
      <c r="H22" s="37">
        <v>2</v>
      </c>
    </row>
    <row r="23" spans="1:8" ht="25.5">
      <c r="A23" s="39">
        <v>14</v>
      </c>
      <c r="B23" s="37" t="s">
        <v>105</v>
      </c>
      <c r="C23" s="37" t="s">
        <v>146</v>
      </c>
      <c r="D23" s="37"/>
      <c r="E23" s="37"/>
      <c r="F23" s="37"/>
      <c r="G23" s="37"/>
      <c r="H23" s="37">
        <v>100</v>
      </c>
    </row>
    <row r="24" spans="1:8" ht="25.5">
      <c r="A24" s="39">
        <v>15</v>
      </c>
      <c r="B24" s="37" t="s">
        <v>106</v>
      </c>
      <c r="C24" s="37" t="s">
        <v>147</v>
      </c>
      <c r="D24" s="37"/>
      <c r="E24" s="37"/>
      <c r="F24" s="37"/>
      <c r="G24" s="37"/>
      <c r="H24" s="37">
        <v>100</v>
      </c>
    </row>
    <row r="25" spans="1:8" ht="25.5">
      <c r="A25" s="41">
        <v>16</v>
      </c>
      <c r="B25" s="42" t="s">
        <v>38</v>
      </c>
      <c r="C25" s="35" t="s">
        <v>0</v>
      </c>
      <c r="D25" s="37"/>
      <c r="E25" s="37"/>
      <c r="F25" s="37"/>
      <c r="G25" s="37"/>
      <c r="H25" s="37">
        <v>1</v>
      </c>
    </row>
    <row r="26" spans="1:8" ht="23.25" customHeight="1">
      <c r="A26" s="2024" t="s">
        <v>167</v>
      </c>
      <c r="B26" s="2024"/>
      <c r="C26" s="2024"/>
      <c r="D26" s="2024"/>
      <c r="E26" s="2024"/>
      <c r="F26" s="2024"/>
      <c r="G26" s="2024"/>
      <c r="H26" s="2024"/>
    </row>
    <row r="27" spans="1:8">
      <c r="A27" s="45"/>
      <c r="B27" s="39"/>
      <c r="C27" s="45"/>
      <c r="D27" s="45"/>
      <c r="E27" s="45"/>
      <c r="F27" s="45"/>
      <c r="G27" s="45"/>
      <c r="H27" s="45"/>
    </row>
    <row r="28" spans="1:8" ht="26.25" customHeight="1">
      <c r="A28" s="2024" t="s">
        <v>155</v>
      </c>
      <c r="B28" s="2024"/>
      <c r="C28" s="2024"/>
      <c r="D28" s="2024"/>
      <c r="E28" s="2024"/>
      <c r="F28" s="2024"/>
      <c r="G28" s="2024"/>
      <c r="H28" s="2024"/>
    </row>
    <row r="29" spans="1:8" ht="12.75" customHeight="1">
      <c r="A29" s="44" t="s">
        <v>69</v>
      </c>
      <c r="B29" s="38" t="s">
        <v>62</v>
      </c>
      <c r="C29" s="38" t="s">
        <v>63</v>
      </c>
      <c r="D29" s="38" t="s">
        <v>138</v>
      </c>
      <c r="E29" s="38" t="s">
        <v>139</v>
      </c>
      <c r="F29" s="38" t="s">
        <v>140</v>
      </c>
      <c r="G29" s="38" t="s">
        <v>141</v>
      </c>
      <c r="H29" s="38" t="s">
        <v>142</v>
      </c>
    </row>
    <row r="30" spans="1:8" ht="25.5">
      <c r="A30" s="39">
        <v>17</v>
      </c>
      <c r="B30" s="37" t="s">
        <v>64</v>
      </c>
      <c r="C30" s="37" t="s">
        <v>65</v>
      </c>
      <c r="D30" s="37"/>
      <c r="E30" s="37"/>
      <c r="F30" s="37"/>
      <c r="G30" s="37"/>
      <c r="H30" s="37">
        <v>120</v>
      </c>
    </row>
    <row r="31" spans="1:8" ht="38.25">
      <c r="A31" s="39">
        <v>18</v>
      </c>
      <c r="B31" s="37" t="s">
        <v>66</v>
      </c>
      <c r="C31" s="37" t="s">
        <v>33</v>
      </c>
      <c r="D31" s="37"/>
      <c r="E31" s="37"/>
      <c r="F31" s="37"/>
      <c r="G31" s="37"/>
      <c r="H31" s="37">
        <v>3</v>
      </c>
    </row>
    <row r="32" spans="1:8" ht="51">
      <c r="A32" s="39">
        <v>19</v>
      </c>
      <c r="B32" s="37" t="s">
        <v>67</v>
      </c>
      <c r="C32" s="37" t="s">
        <v>149</v>
      </c>
      <c r="D32" s="37"/>
      <c r="E32" s="37"/>
      <c r="F32" s="37"/>
      <c r="G32" s="37"/>
      <c r="H32" s="37">
        <v>7</v>
      </c>
    </row>
    <row r="33" spans="1:13" ht="51">
      <c r="A33" s="39">
        <v>20</v>
      </c>
      <c r="B33" s="37" t="s">
        <v>68</v>
      </c>
      <c r="C33" s="37" t="s">
        <v>150</v>
      </c>
      <c r="D33" s="39"/>
      <c r="E33" s="39"/>
      <c r="F33" s="39"/>
      <c r="G33" s="39"/>
      <c r="H33" s="39">
        <v>7</v>
      </c>
      <c r="M33" s="120"/>
    </row>
    <row r="34" spans="1:13" ht="25.5">
      <c r="A34" s="39">
        <v>21</v>
      </c>
      <c r="B34" s="37" t="s">
        <v>70</v>
      </c>
      <c r="C34" s="37" t="s">
        <v>34</v>
      </c>
      <c r="D34" s="37"/>
      <c r="E34" s="37"/>
      <c r="F34" s="37"/>
      <c r="G34" s="37"/>
      <c r="H34" s="37">
        <v>100</v>
      </c>
      <c r="I34"/>
      <c r="J34"/>
      <c r="K34"/>
      <c r="L34"/>
      <c r="M34"/>
    </row>
    <row r="35" spans="1:13" ht="25.5">
      <c r="A35" s="39">
        <v>22</v>
      </c>
      <c r="B35" s="37" t="s">
        <v>71</v>
      </c>
      <c r="C35" s="37" t="s">
        <v>35</v>
      </c>
      <c r="D35" s="37"/>
      <c r="E35" s="37"/>
      <c r="F35" s="37"/>
      <c r="G35" s="37"/>
      <c r="H35" s="37">
        <v>100</v>
      </c>
    </row>
    <row r="36" spans="1:13" ht="25.5">
      <c r="A36" s="39">
        <v>23</v>
      </c>
      <c r="B36" s="37" t="s">
        <v>72</v>
      </c>
      <c r="C36" s="37" t="s">
        <v>73</v>
      </c>
      <c r="D36" s="37"/>
      <c r="E36" s="37"/>
      <c r="F36" s="37"/>
      <c r="G36" s="37"/>
      <c r="H36" s="37">
        <v>100</v>
      </c>
    </row>
    <row r="37" spans="1:13" ht="27.75" customHeight="1">
      <c r="A37" s="39">
        <v>24</v>
      </c>
      <c r="B37" s="40" t="s">
        <v>74</v>
      </c>
      <c r="C37" s="37" t="s">
        <v>36</v>
      </c>
      <c r="D37" s="37"/>
      <c r="E37" s="37"/>
      <c r="F37" s="37"/>
      <c r="G37" s="37"/>
      <c r="H37" s="37">
        <v>100</v>
      </c>
    </row>
    <row r="38" spans="1:13" ht="25.5">
      <c r="A38" s="39">
        <v>25</v>
      </c>
      <c r="B38" s="37" t="s">
        <v>75</v>
      </c>
      <c r="C38" s="37" t="s">
        <v>37</v>
      </c>
      <c r="D38" s="37"/>
      <c r="E38" s="37"/>
      <c r="F38" s="37"/>
      <c r="G38" s="37"/>
      <c r="H38" s="37">
        <v>100</v>
      </c>
    </row>
    <row r="39" spans="1:13" ht="25.5">
      <c r="A39" s="39">
        <v>26</v>
      </c>
      <c r="B39" s="42" t="s">
        <v>38</v>
      </c>
      <c r="C39" s="35" t="s">
        <v>0</v>
      </c>
      <c r="D39" s="37"/>
      <c r="E39" s="37"/>
      <c r="F39" s="37"/>
      <c r="G39" s="37"/>
      <c r="H39" s="37">
        <v>1</v>
      </c>
    </row>
    <row r="40" spans="1:13" ht="27" customHeight="1">
      <c r="A40" s="2024" t="s">
        <v>151</v>
      </c>
      <c r="B40" s="2024"/>
      <c r="C40" s="2024"/>
      <c r="D40" s="2024"/>
      <c r="E40" s="2024"/>
      <c r="F40" s="2024"/>
      <c r="G40" s="2024"/>
      <c r="H40" s="2024"/>
    </row>
    <row r="41" spans="1:13" ht="12.75" customHeight="1">
      <c r="A41" s="44" t="s">
        <v>69</v>
      </c>
      <c r="B41" s="38" t="s">
        <v>62</v>
      </c>
      <c r="C41" s="38" t="s">
        <v>63</v>
      </c>
      <c r="D41" s="38" t="s">
        <v>138</v>
      </c>
      <c r="E41" s="38" t="s">
        <v>139</v>
      </c>
      <c r="F41" s="38" t="s">
        <v>140</v>
      </c>
      <c r="G41" s="38" t="s">
        <v>141</v>
      </c>
      <c r="H41" s="38" t="s">
        <v>142</v>
      </c>
    </row>
    <row r="42" spans="1:13" ht="38.25">
      <c r="A42" s="39">
        <v>27</v>
      </c>
      <c r="B42" s="37" t="s">
        <v>102</v>
      </c>
      <c r="C42" s="37" t="s">
        <v>133</v>
      </c>
      <c r="D42" s="37"/>
      <c r="E42" s="37"/>
      <c r="F42" s="37"/>
      <c r="G42" s="37"/>
      <c r="H42" s="37">
        <v>1</v>
      </c>
    </row>
    <row r="43" spans="1:13" ht="44.25" customHeight="1">
      <c r="A43" s="39">
        <v>28</v>
      </c>
      <c r="B43" s="37" t="s">
        <v>135</v>
      </c>
      <c r="C43" s="37" t="s">
        <v>134</v>
      </c>
      <c r="D43" s="37"/>
      <c r="E43" s="37"/>
      <c r="F43" s="37"/>
      <c r="G43" s="37"/>
      <c r="H43" s="37">
        <v>1</v>
      </c>
    </row>
    <row r="44" spans="1:13" ht="51">
      <c r="A44" s="39">
        <v>29</v>
      </c>
      <c r="B44" s="37" t="s">
        <v>136</v>
      </c>
      <c r="C44" s="37" t="s">
        <v>137</v>
      </c>
      <c r="D44" s="37"/>
      <c r="E44" s="37"/>
      <c r="F44" s="37"/>
      <c r="G44" s="37"/>
      <c r="H44" s="37">
        <v>1</v>
      </c>
    </row>
    <row r="45" spans="1:13" ht="31.5" customHeight="1">
      <c r="A45" s="2024" t="s">
        <v>163</v>
      </c>
      <c r="B45" s="2024"/>
      <c r="C45" s="2024"/>
      <c r="D45" s="2024"/>
      <c r="E45" s="2024"/>
      <c r="F45" s="2024"/>
      <c r="G45" s="2024"/>
      <c r="H45" s="2024"/>
    </row>
    <row r="46" spans="1:13">
      <c r="A46" s="45"/>
      <c r="B46" s="39"/>
      <c r="C46" s="45"/>
      <c r="D46" s="45"/>
      <c r="E46" s="45"/>
      <c r="F46" s="45"/>
      <c r="G46" s="45"/>
      <c r="H46" s="45"/>
    </row>
    <row r="47" spans="1:13" ht="12.75" customHeight="1">
      <c r="A47" s="44" t="s">
        <v>69</v>
      </c>
      <c r="B47" s="38" t="s">
        <v>62</v>
      </c>
      <c r="C47" s="38" t="s">
        <v>63</v>
      </c>
      <c r="D47" s="38" t="s">
        <v>152</v>
      </c>
      <c r="E47" s="38" t="s">
        <v>139</v>
      </c>
      <c r="F47" s="38" t="s">
        <v>140</v>
      </c>
      <c r="G47" s="38" t="s">
        <v>141</v>
      </c>
      <c r="H47" s="38" t="s">
        <v>142</v>
      </c>
    </row>
    <row r="48" spans="1:13" s="2" customFormat="1" ht="30.75" customHeight="1">
      <c r="A48" s="37">
        <v>30</v>
      </c>
      <c r="B48" s="37" t="s">
        <v>154</v>
      </c>
      <c r="C48" s="37" t="s">
        <v>78</v>
      </c>
      <c r="D48" s="37"/>
      <c r="E48" s="37"/>
      <c r="F48" s="37"/>
      <c r="G48" s="37"/>
      <c r="H48" s="37">
        <v>100</v>
      </c>
    </row>
    <row r="49" spans="1:8" s="2" customFormat="1" ht="25.5">
      <c r="A49" s="37">
        <v>31</v>
      </c>
      <c r="B49" s="40" t="s">
        <v>79</v>
      </c>
      <c r="C49" s="37" t="s">
        <v>60</v>
      </c>
      <c r="D49" s="37"/>
      <c r="E49" s="37"/>
      <c r="F49" s="37"/>
      <c r="G49" s="37"/>
      <c r="H49" s="37">
        <v>100</v>
      </c>
    </row>
    <row r="50" spans="1:8" s="2" customFormat="1" ht="25.5">
      <c r="A50" s="37">
        <v>32</v>
      </c>
      <c r="B50" s="40" t="s">
        <v>80</v>
      </c>
      <c r="C50" s="37" t="s">
        <v>42</v>
      </c>
      <c r="D50" s="37"/>
      <c r="E50" s="37"/>
      <c r="F50" s="37"/>
      <c r="G50" s="37"/>
      <c r="H50" s="37">
        <v>1400</v>
      </c>
    </row>
    <row r="51" spans="1:8" s="2" customFormat="1" ht="38.25" customHeight="1">
      <c r="A51" s="37">
        <v>33</v>
      </c>
      <c r="B51" s="40" t="s">
        <v>81</v>
      </c>
      <c r="C51" s="37" t="s">
        <v>43</v>
      </c>
      <c r="D51" s="37"/>
      <c r="E51" s="37"/>
      <c r="F51" s="37"/>
      <c r="G51" s="37"/>
      <c r="H51" s="37">
        <v>100</v>
      </c>
    </row>
    <row r="52" spans="1:8" s="2" customFormat="1" ht="59.25" customHeight="1">
      <c r="A52" s="37">
        <v>34</v>
      </c>
      <c r="B52" s="40" t="s">
        <v>82</v>
      </c>
      <c r="C52" s="37" t="s">
        <v>44</v>
      </c>
      <c r="D52" s="37"/>
      <c r="E52" s="37"/>
      <c r="F52" s="37"/>
      <c r="G52" s="37"/>
      <c r="H52" s="37">
        <f>SUM(D52:G52)</f>
        <v>0</v>
      </c>
    </row>
    <row r="53" spans="1:8" s="2" customFormat="1" ht="12.75" customHeight="1">
      <c r="A53" s="45"/>
      <c r="B53" s="39"/>
      <c r="C53" s="45"/>
      <c r="D53" s="45"/>
      <c r="E53" s="45"/>
      <c r="F53" s="45"/>
      <c r="G53" s="45"/>
      <c r="H53" s="45"/>
    </row>
    <row r="54" spans="1:8" ht="22.5" customHeight="1">
      <c r="A54" s="2025" t="s">
        <v>61</v>
      </c>
      <c r="B54" s="2025"/>
      <c r="C54" s="2025"/>
      <c r="D54" s="2025"/>
      <c r="E54" s="2025"/>
      <c r="F54" s="2025"/>
      <c r="G54" s="2025"/>
      <c r="H54" s="2025"/>
    </row>
    <row r="55" spans="1:8">
      <c r="A55" s="46"/>
      <c r="B55" s="46"/>
      <c r="C55" s="46"/>
      <c r="D55" s="46"/>
      <c r="E55" s="46"/>
      <c r="F55" s="46"/>
      <c r="G55" s="46"/>
      <c r="H55" s="46"/>
    </row>
    <row r="56" spans="1:8" ht="18.75" customHeight="1">
      <c r="A56" s="2026" t="s">
        <v>128</v>
      </c>
      <c r="B56" s="2026"/>
      <c r="C56" s="2026"/>
      <c r="D56" s="2026"/>
      <c r="E56" s="2026"/>
      <c r="F56" s="2026"/>
      <c r="G56" s="2026"/>
      <c r="H56" s="2026"/>
    </row>
    <row r="57" spans="1:8" ht="25.5">
      <c r="A57" s="44" t="s">
        <v>69</v>
      </c>
      <c r="B57" s="38" t="s">
        <v>62</v>
      </c>
      <c r="C57" s="38" t="s">
        <v>63</v>
      </c>
      <c r="D57" s="38" t="s">
        <v>138</v>
      </c>
      <c r="E57" s="38" t="s">
        <v>139</v>
      </c>
      <c r="F57" s="38" t="s">
        <v>140</v>
      </c>
      <c r="G57" s="38" t="s">
        <v>141</v>
      </c>
      <c r="H57" s="38" t="s">
        <v>142</v>
      </c>
    </row>
    <row r="58" spans="1:8" ht="12.75" customHeight="1">
      <c r="A58" s="37">
        <v>35</v>
      </c>
      <c r="B58" s="37" t="s">
        <v>76</v>
      </c>
      <c r="C58" s="37" t="s">
        <v>39</v>
      </c>
      <c r="D58" s="37"/>
      <c r="E58" s="37"/>
      <c r="F58" s="37"/>
      <c r="G58" s="37"/>
      <c r="H58" s="37">
        <v>100</v>
      </c>
    </row>
    <row r="59" spans="1:8" s="2" customFormat="1" ht="51">
      <c r="A59" s="37">
        <v>36</v>
      </c>
      <c r="B59" s="37" t="s">
        <v>77</v>
      </c>
      <c r="C59" s="37" t="s">
        <v>40</v>
      </c>
      <c r="D59" s="37"/>
      <c r="E59" s="37"/>
      <c r="F59" s="37"/>
      <c r="G59" s="37"/>
      <c r="H59" s="37">
        <v>100</v>
      </c>
    </row>
    <row r="60" spans="1:8" s="2" customFormat="1" ht="76.5">
      <c r="A60" s="37">
        <v>37</v>
      </c>
      <c r="B60" s="40" t="s">
        <v>83</v>
      </c>
      <c r="C60" s="40" t="s">
        <v>281</v>
      </c>
      <c r="D60" s="40"/>
      <c r="E60" s="37"/>
      <c r="F60" s="37"/>
      <c r="G60" s="37"/>
      <c r="H60" s="40">
        <v>1</v>
      </c>
    </row>
    <row r="61" spans="1:8" s="2" customFormat="1" ht="15.75" customHeight="1">
      <c r="A61" s="39"/>
      <c r="B61" s="40"/>
      <c r="C61" s="37"/>
      <c r="D61" s="37"/>
      <c r="E61" s="37"/>
      <c r="F61" s="37"/>
      <c r="G61" s="37"/>
      <c r="H61" s="37"/>
    </row>
    <row r="62" spans="1:8" ht="22.5" customHeight="1">
      <c r="A62" s="2021" t="s">
        <v>129</v>
      </c>
      <c r="B62" s="2021"/>
      <c r="C62" s="2021"/>
      <c r="D62" s="2021"/>
      <c r="E62" s="2021"/>
      <c r="F62" s="2021"/>
      <c r="G62" s="2021"/>
      <c r="H62" s="2021"/>
    </row>
    <row r="63" spans="1:8" ht="15.75" customHeight="1">
      <c r="A63" s="44" t="s">
        <v>69</v>
      </c>
      <c r="B63" s="38" t="s">
        <v>62</v>
      </c>
      <c r="C63" s="38" t="s">
        <v>63</v>
      </c>
      <c r="D63" s="38" t="s">
        <v>138</v>
      </c>
      <c r="E63" s="38" t="s">
        <v>139</v>
      </c>
      <c r="F63" s="38" t="s">
        <v>140</v>
      </c>
      <c r="G63" s="38" t="s">
        <v>141</v>
      </c>
      <c r="H63" s="38" t="s">
        <v>142</v>
      </c>
    </row>
    <row r="64" spans="1:8" ht="12.75" customHeight="1">
      <c r="A64" s="39">
        <v>38</v>
      </c>
      <c r="B64" s="37" t="s">
        <v>93</v>
      </c>
      <c r="C64" s="37" t="s">
        <v>45</v>
      </c>
      <c r="D64" s="37"/>
      <c r="E64" s="37"/>
      <c r="F64" s="37"/>
      <c r="G64" s="37"/>
      <c r="H64" s="40">
        <v>100</v>
      </c>
    </row>
    <row r="65" spans="1:8" ht="25.5">
      <c r="A65" s="39">
        <v>39</v>
      </c>
      <c r="B65" s="37" t="s">
        <v>96</v>
      </c>
      <c r="C65" s="37" t="s">
        <v>47</v>
      </c>
      <c r="D65" s="37"/>
      <c r="E65" s="37"/>
      <c r="F65" s="37"/>
      <c r="G65" s="37"/>
      <c r="H65" s="40">
        <v>100</v>
      </c>
    </row>
    <row r="66" spans="1:8" ht="25.5">
      <c r="A66" s="39">
        <v>40</v>
      </c>
      <c r="B66" s="37" t="s">
        <v>109</v>
      </c>
      <c r="C66" s="37" t="s">
        <v>56</v>
      </c>
      <c r="D66" s="37"/>
      <c r="E66" s="37"/>
      <c r="F66" s="37"/>
      <c r="G66" s="37"/>
      <c r="H66" s="40">
        <v>100</v>
      </c>
    </row>
    <row r="67" spans="1:8" ht="38.25" customHeight="1">
      <c r="A67" s="39">
        <v>41</v>
      </c>
      <c r="B67" s="37" t="s">
        <v>110</v>
      </c>
      <c r="C67" s="37" t="s">
        <v>57</v>
      </c>
      <c r="D67" s="37"/>
      <c r="E67" s="37"/>
      <c r="F67" s="37"/>
      <c r="G67" s="37"/>
      <c r="H67" s="40">
        <v>100</v>
      </c>
    </row>
    <row r="68" spans="1:8" ht="42.75" customHeight="1">
      <c r="A68" s="39">
        <v>42</v>
      </c>
      <c r="B68" s="37" t="s">
        <v>58</v>
      </c>
      <c r="C68" s="37" t="s">
        <v>58</v>
      </c>
      <c r="D68" s="37"/>
      <c r="E68" s="37"/>
      <c r="F68" s="37"/>
      <c r="G68" s="37"/>
      <c r="H68" s="40">
        <v>1</v>
      </c>
    </row>
    <row r="69" spans="1:8" ht="25.5">
      <c r="A69" s="39">
        <v>43</v>
      </c>
      <c r="B69" s="37" t="s">
        <v>111</v>
      </c>
      <c r="C69" s="37" t="s">
        <v>59</v>
      </c>
      <c r="D69" s="37"/>
      <c r="E69" s="37"/>
      <c r="F69" s="37"/>
      <c r="G69" s="37"/>
      <c r="H69" s="40">
        <v>13</v>
      </c>
    </row>
    <row r="70" spans="1:8">
      <c r="A70" s="37">
        <v>44</v>
      </c>
      <c r="B70" s="37" t="s">
        <v>89</v>
      </c>
      <c r="C70" s="40" t="s">
        <v>3</v>
      </c>
      <c r="D70" s="37"/>
      <c r="E70" s="40"/>
      <c r="F70" s="40"/>
      <c r="G70" s="40"/>
      <c r="H70" s="40">
        <v>100</v>
      </c>
    </row>
    <row r="71" spans="1:8" s="2" customFormat="1" ht="13.5" customHeight="1">
      <c r="A71" s="45"/>
      <c r="B71" s="39"/>
      <c r="C71" s="45"/>
      <c r="D71" s="45"/>
      <c r="E71" s="45"/>
      <c r="F71" s="45"/>
      <c r="G71" s="45"/>
      <c r="H71" s="45"/>
    </row>
    <row r="72" spans="1:8" ht="21" customHeight="1">
      <c r="A72" s="2022" t="s">
        <v>120</v>
      </c>
      <c r="B72" s="2022"/>
      <c r="C72" s="2022"/>
      <c r="D72" s="2022"/>
      <c r="E72" s="2022"/>
      <c r="F72" s="2022"/>
      <c r="G72" s="2022"/>
      <c r="H72" s="2022"/>
    </row>
    <row r="73" spans="1:8">
      <c r="A73" s="52"/>
      <c r="B73" s="52"/>
      <c r="C73" s="52"/>
      <c r="D73" s="52"/>
      <c r="E73" s="52"/>
      <c r="F73" s="52"/>
      <c r="G73" s="52"/>
      <c r="H73" s="52"/>
    </row>
    <row r="74" spans="1:8" ht="21.75" customHeight="1">
      <c r="A74" s="2023" t="s">
        <v>242</v>
      </c>
      <c r="B74" s="2023"/>
      <c r="C74" s="2023"/>
      <c r="D74" s="2023"/>
      <c r="E74" s="2023"/>
      <c r="F74" s="2023"/>
      <c r="G74" s="2023"/>
      <c r="H74" s="2023"/>
    </row>
    <row r="75" spans="1:8" ht="25.5">
      <c r="A75" s="44" t="s">
        <v>94</v>
      </c>
      <c r="B75" s="38" t="s">
        <v>62</v>
      </c>
      <c r="C75" s="38" t="s">
        <v>63</v>
      </c>
      <c r="D75" s="38" t="s">
        <v>138</v>
      </c>
      <c r="E75" s="38" t="s">
        <v>139</v>
      </c>
      <c r="F75" s="38" t="s">
        <v>140</v>
      </c>
      <c r="G75" s="38" t="s">
        <v>141</v>
      </c>
      <c r="H75" s="38" t="s">
        <v>142</v>
      </c>
    </row>
    <row r="76" spans="1:8" ht="12.75" customHeight="1">
      <c r="A76" s="39">
        <v>45</v>
      </c>
      <c r="B76" s="39" t="s">
        <v>107</v>
      </c>
      <c r="C76" s="39" t="s">
        <v>54</v>
      </c>
      <c r="D76" s="39"/>
      <c r="E76" s="39"/>
      <c r="F76" s="39"/>
      <c r="G76" s="39"/>
      <c r="H76" s="47">
        <v>100</v>
      </c>
    </row>
    <row r="77" spans="1:8" ht="25.5">
      <c r="A77" s="39">
        <v>46</v>
      </c>
      <c r="B77" s="39" t="s">
        <v>108</v>
      </c>
      <c r="C77" s="37" t="s">
        <v>55</v>
      </c>
      <c r="D77" s="37"/>
      <c r="E77" s="37"/>
      <c r="F77" s="37"/>
      <c r="G77" s="37"/>
      <c r="H77" s="40">
        <v>90</v>
      </c>
    </row>
    <row r="78" spans="1:8">
      <c r="A78" s="45"/>
      <c r="B78" s="39"/>
      <c r="C78" s="45"/>
      <c r="D78" s="45"/>
      <c r="E78" s="45"/>
      <c r="F78" s="45"/>
      <c r="G78" s="45"/>
      <c r="H78" s="45"/>
    </row>
    <row r="79" spans="1:8" ht="24.75" customHeight="1">
      <c r="A79" s="2016" t="s">
        <v>157</v>
      </c>
      <c r="B79" s="2016"/>
      <c r="C79" s="2016"/>
      <c r="D79" s="2016"/>
      <c r="E79" s="2016"/>
      <c r="F79" s="2016"/>
      <c r="G79" s="2016"/>
      <c r="H79" s="2016"/>
    </row>
    <row r="80" spans="1:8" ht="12.75" customHeight="1">
      <c r="A80" s="45"/>
      <c r="B80" s="48"/>
      <c r="C80" s="49"/>
      <c r="D80" s="49"/>
      <c r="E80" s="49"/>
      <c r="F80" s="49"/>
      <c r="G80" s="49"/>
      <c r="H80" s="49"/>
    </row>
    <row r="81" spans="1:8" ht="21.75" customHeight="1">
      <c r="A81" s="2016" t="s">
        <v>156</v>
      </c>
      <c r="B81" s="2016"/>
      <c r="C81" s="2016"/>
      <c r="D81" s="2016"/>
      <c r="E81" s="2016"/>
      <c r="F81" s="2016"/>
      <c r="G81" s="2016"/>
      <c r="H81" s="2016"/>
    </row>
    <row r="82" spans="1:8" ht="25.5">
      <c r="A82" s="44" t="s">
        <v>69</v>
      </c>
      <c r="B82" s="38" t="s">
        <v>62</v>
      </c>
      <c r="C82" s="38" t="s">
        <v>63</v>
      </c>
      <c r="D82" s="38" t="s">
        <v>138</v>
      </c>
      <c r="E82" s="38" t="s">
        <v>139</v>
      </c>
      <c r="F82" s="38" t="s">
        <v>140</v>
      </c>
      <c r="G82" s="38" t="s">
        <v>141</v>
      </c>
      <c r="H82" s="38" t="s">
        <v>142</v>
      </c>
    </row>
    <row r="83" spans="1:8" ht="12.75" customHeight="1">
      <c r="A83" s="39">
        <v>47</v>
      </c>
      <c r="B83" s="39" t="s">
        <v>87</v>
      </c>
      <c r="C83" s="37" t="s">
        <v>1</v>
      </c>
      <c r="D83" s="37"/>
      <c r="E83" s="37"/>
      <c r="F83" s="37"/>
      <c r="G83" s="37"/>
      <c r="H83" s="37">
        <v>100</v>
      </c>
    </row>
    <row r="84" spans="1:8" ht="25.5">
      <c r="A84" s="50">
        <v>48</v>
      </c>
      <c r="B84" s="50" t="s">
        <v>0</v>
      </c>
      <c r="C84" s="35" t="s">
        <v>0</v>
      </c>
      <c r="D84" s="18"/>
      <c r="E84" s="18"/>
      <c r="F84" s="18"/>
      <c r="G84" s="18"/>
      <c r="H84" s="51">
        <v>1</v>
      </c>
    </row>
    <row r="85" spans="1:8" s="4" customFormat="1" ht="14.25" customHeight="1">
      <c r="A85" s="45"/>
      <c r="B85" s="39"/>
      <c r="C85" s="37"/>
      <c r="D85" s="37"/>
      <c r="E85" s="37"/>
      <c r="F85" s="37"/>
      <c r="G85" s="37"/>
      <c r="H85" s="37"/>
    </row>
    <row r="86" spans="1:8" ht="20.25" customHeight="1">
      <c r="A86" s="2016" t="s">
        <v>170</v>
      </c>
      <c r="B86" s="2016"/>
      <c r="C86" s="2016"/>
      <c r="D86" s="2016"/>
      <c r="E86" s="2016"/>
      <c r="F86" s="2016"/>
      <c r="G86" s="2016"/>
      <c r="H86" s="2016"/>
    </row>
    <row r="87" spans="1:8" ht="34.5" customHeight="1">
      <c r="A87" s="44" t="s">
        <v>69</v>
      </c>
      <c r="B87" s="38" t="s">
        <v>62</v>
      </c>
      <c r="C87" s="38" t="s">
        <v>63</v>
      </c>
      <c r="D87" s="38" t="s">
        <v>138</v>
      </c>
      <c r="E87" s="38" t="s">
        <v>139</v>
      </c>
      <c r="F87" s="38" t="s">
        <v>140</v>
      </c>
      <c r="G87" s="38" t="s">
        <v>141</v>
      </c>
      <c r="H87" s="38" t="s">
        <v>142</v>
      </c>
    </row>
    <row r="88" spans="1:8" ht="12.75" customHeight="1">
      <c r="A88" s="39">
        <v>49</v>
      </c>
      <c r="B88" s="39" t="s">
        <v>90</v>
      </c>
      <c r="C88" s="40" t="s">
        <v>173</v>
      </c>
      <c r="D88" s="40"/>
      <c r="E88" s="40"/>
      <c r="F88" s="40"/>
      <c r="G88" s="40"/>
      <c r="H88" s="40">
        <v>100</v>
      </c>
    </row>
    <row r="89" spans="1:8">
      <c r="A89" s="39">
        <v>50</v>
      </c>
      <c r="B89" s="47" t="s">
        <v>91</v>
      </c>
      <c r="C89" s="40" t="s">
        <v>174</v>
      </c>
      <c r="D89" s="40"/>
      <c r="E89" s="40"/>
      <c r="F89" s="40"/>
      <c r="G89" s="40"/>
      <c r="H89" s="40">
        <v>100</v>
      </c>
    </row>
    <row r="90" spans="1:8" ht="20.25" customHeight="1">
      <c r="A90" s="2016" t="s">
        <v>175</v>
      </c>
      <c r="B90" s="2016"/>
      <c r="C90" s="2016"/>
      <c r="D90" s="2016"/>
      <c r="E90" s="2016"/>
      <c r="F90" s="2016"/>
      <c r="G90" s="2016"/>
      <c r="H90" s="2016"/>
    </row>
    <row r="91" spans="1:8" ht="12.75" customHeight="1">
      <c r="A91" s="45"/>
      <c r="B91" s="48"/>
      <c r="C91" s="49"/>
      <c r="D91" s="49"/>
      <c r="E91" s="49"/>
      <c r="F91" s="49"/>
      <c r="G91" s="49"/>
      <c r="H91" s="49"/>
    </row>
    <row r="92" spans="1:8" ht="25.5">
      <c r="A92" s="44" t="s">
        <v>69</v>
      </c>
      <c r="B92" s="38" t="s">
        <v>62</v>
      </c>
      <c r="C92" s="38" t="s">
        <v>63</v>
      </c>
      <c r="D92" s="38" t="s">
        <v>138</v>
      </c>
      <c r="E92" s="38" t="s">
        <v>139</v>
      </c>
      <c r="F92" s="38" t="s">
        <v>140</v>
      </c>
      <c r="G92" s="38" t="s">
        <v>141</v>
      </c>
      <c r="H92" s="38" t="s">
        <v>142</v>
      </c>
    </row>
    <row r="93" spans="1:8" ht="12.75" customHeight="1">
      <c r="A93" s="39">
        <v>51</v>
      </c>
      <c r="B93" s="39" t="s">
        <v>92</v>
      </c>
      <c r="C93" s="39" t="s">
        <v>4</v>
      </c>
      <c r="D93" s="37"/>
      <c r="E93" s="37"/>
      <c r="F93" s="37"/>
      <c r="G93" s="37"/>
      <c r="H93" s="37">
        <v>20</v>
      </c>
    </row>
    <row r="94" spans="1:8" ht="25.5">
      <c r="A94" s="45">
        <v>52</v>
      </c>
      <c r="B94" s="39" t="s">
        <v>243</v>
      </c>
      <c r="C94" s="35" t="s">
        <v>0</v>
      </c>
      <c r="D94" s="45"/>
      <c r="E94" s="45"/>
      <c r="F94" s="45"/>
      <c r="G94" s="45"/>
      <c r="H94" s="45">
        <v>1</v>
      </c>
    </row>
    <row r="95" spans="1:8">
      <c r="A95" s="45"/>
      <c r="B95" s="39"/>
      <c r="C95" s="214"/>
      <c r="D95" s="45"/>
      <c r="E95" s="45"/>
      <c r="F95" s="45"/>
      <c r="G95" s="45"/>
      <c r="H95" s="45"/>
    </row>
    <row r="96" spans="1:8" ht="21.75" customHeight="1">
      <c r="A96" s="2018" t="s">
        <v>158</v>
      </c>
      <c r="B96" s="2018"/>
      <c r="C96" s="2018"/>
      <c r="D96" s="2018"/>
      <c r="E96" s="2018"/>
      <c r="F96" s="2018"/>
      <c r="G96" s="2018"/>
      <c r="H96" s="2018"/>
    </row>
    <row r="97" spans="1:8">
      <c r="A97" s="52"/>
      <c r="B97" s="52"/>
      <c r="C97" s="52"/>
      <c r="D97" s="52"/>
      <c r="E97" s="52"/>
      <c r="F97" s="52"/>
      <c r="G97" s="52"/>
      <c r="H97" s="52"/>
    </row>
    <row r="98" spans="1:8" ht="21.75" customHeight="1">
      <c r="A98" s="2018" t="s">
        <v>159</v>
      </c>
      <c r="B98" s="2018"/>
      <c r="C98" s="2018"/>
      <c r="D98" s="2018"/>
      <c r="E98" s="2018"/>
      <c r="F98" s="2018"/>
      <c r="G98" s="2018"/>
      <c r="H98" s="2018"/>
    </row>
    <row r="99" spans="1:8" ht="25.5">
      <c r="A99" s="44" t="s">
        <v>69</v>
      </c>
      <c r="B99" s="38" t="s">
        <v>62</v>
      </c>
      <c r="C99" s="38" t="s">
        <v>63</v>
      </c>
      <c r="D99" s="38" t="s">
        <v>138</v>
      </c>
      <c r="E99" s="38" t="s">
        <v>139</v>
      </c>
      <c r="F99" s="38" t="s">
        <v>140</v>
      </c>
      <c r="G99" s="38" t="s">
        <v>141</v>
      </c>
      <c r="H99" s="38" t="s">
        <v>142</v>
      </c>
    </row>
    <row r="100" spans="1:8" ht="63.75">
      <c r="A100" s="39">
        <v>53</v>
      </c>
      <c r="B100" s="37" t="s">
        <v>88</v>
      </c>
      <c r="C100" s="37" t="s">
        <v>2</v>
      </c>
      <c r="D100" s="37"/>
      <c r="E100" s="37"/>
      <c r="F100" s="37"/>
      <c r="G100" s="37"/>
      <c r="H100" s="37">
        <v>100</v>
      </c>
    </row>
    <row r="101" spans="1:8" ht="12.75" customHeight="1">
      <c r="A101" s="39">
        <v>54</v>
      </c>
      <c r="B101" s="37" t="s">
        <v>12</v>
      </c>
      <c r="C101" s="37" t="s">
        <v>171</v>
      </c>
      <c r="D101" s="37"/>
      <c r="E101" s="37"/>
      <c r="F101" s="37"/>
      <c r="G101" s="37"/>
      <c r="H101" s="37">
        <v>100</v>
      </c>
    </row>
    <row r="102" spans="1:8">
      <c r="A102" s="45"/>
      <c r="B102" s="37"/>
      <c r="C102" s="37"/>
      <c r="D102" s="37"/>
      <c r="E102" s="37"/>
      <c r="F102" s="37"/>
      <c r="G102" s="37"/>
      <c r="H102" s="37"/>
    </row>
    <row r="103" spans="1:8" ht="21.75" customHeight="1">
      <c r="A103" s="2019" t="s">
        <v>123</v>
      </c>
      <c r="B103" s="2019"/>
      <c r="C103" s="2019"/>
      <c r="D103" s="2019"/>
      <c r="E103" s="2019"/>
      <c r="F103" s="2019"/>
      <c r="G103" s="2019"/>
      <c r="H103" s="2019"/>
    </row>
    <row r="104" spans="1:8" ht="11.25" customHeight="1">
      <c r="A104" s="53"/>
      <c r="B104" s="53"/>
      <c r="C104" s="53"/>
      <c r="D104" s="53"/>
      <c r="E104" s="53"/>
      <c r="F104" s="53"/>
      <c r="G104" s="53"/>
      <c r="H104" s="53"/>
    </row>
    <row r="105" spans="1:8" ht="23.25" customHeight="1">
      <c r="A105" s="2020" t="s">
        <v>124</v>
      </c>
      <c r="B105" s="2020"/>
      <c r="C105" s="2020"/>
      <c r="D105" s="2020"/>
      <c r="E105" s="2020"/>
      <c r="F105" s="2020"/>
      <c r="G105" s="2020"/>
      <c r="H105" s="2020"/>
    </row>
    <row r="106" spans="1:8" ht="25.5">
      <c r="A106" s="44" t="s">
        <v>69</v>
      </c>
      <c r="B106" s="38" t="s">
        <v>62</v>
      </c>
      <c r="C106" s="38" t="s">
        <v>63</v>
      </c>
      <c r="D106" s="38" t="s">
        <v>138</v>
      </c>
      <c r="E106" s="38" t="s">
        <v>139</v>
      </c>
      <c r="F106" s="38" t="s">
        <v>140</v>
      </c>
      <c r="G106" s="38" t="s">
        <v>141</v>
      </c>
      <c r="H106" s="38" t="s">
        <v>142</v>
      </c>
    </row>
    <row r="107" spans="1:8">
      <c r="A107" s="39">
        <v>55</v>
      </c>
      <c r="B107" s="39" t="s">
        <v>118</v>
      </c>
      <c r="C107" s="37" t="s">
        <v>172</v>
      </c>
      <c r="D107" s="37"/>
      <c r="E107" s="37"/>
      <c r="F107" s="37"/>
      <c r="G107" s="37"/>
      <c r="H107" s="37">
        <v>100</v>
      </c>
    </row>
    <row r="108" spans="1:8" ht="12.75" customHeight="1">
      <c r="A108" s="37">
        <v>56</v>
      </c>
      <c r="B108" s="37" t="s">
        <v>119</v>
      </c>
      <c r="C108" s="35" t="s">
        <v>0</v>
      </c>
      <c r="D108" s="37"/>
      <c r="E108" s="37"/>
      <c r="F108" s="37"/>
      <c r="G108" s="37"/>
      <c r="H108" s="37">
        <v>1</v>
      </c>
    </row>
    <row r="109" spans="1:8">
      <c r="A109" s="45"/>
      <c r="B109" s="39"/>
      <c r="C109" s="45"/>
      <c r="D109" s="45"/>
      <c r="E109" s="45"/>
      <c r="F109" s="45"/>
      <c r="G109" s="45"/>
      <c r="H109" s="45"/>
    </row>
    <row r="110" spans="1:8" s="2" customFormat="1" ht="21" customHeight="1">
      <c r="A110" s="2017" t="s">
        <v>121</v>
      </c>
      <c r="B110" s="2017"/>
      <c r="C110" s="2017"/>
      <c r="D110" s="2017"/>
      <c r="E110" s="2017"/>
      <c r="F110" s="2017"/>
      <c r="G110" s="2017"/>
      <c r="H110" s="2017"/>
    </row>
    <row r="111" spans="1:8">
      <c r="A111" s="52"/>
      <c r="B111" s="52"/>
      <c r="C111" s="52"/>
      <c r="D111" s="52"/>
      <c r="E111" s="52"/>
      <c r="F111" s="52"/>
      <c r="G111" s="52"/>
      <c r="H111" s="52"/>
    </row>
    <row r="112" spans="1:8" ht="23.25" customHeight="1">
      <c r="A112" s="2017" t="s">
        <v>122</v>
      </c>
      <c r="B112" s="2017"/>
      <c r="C112" s="2017"/>
      <c r="D112" s="2017"/>
      <c r="E112" s="2017"/>
      <c r="F112" s="2017"/>
      <c r="G112" s="2017"/>
      <c r="H112" s="2017"/>
    </row>
    <row r="113" spans="1:8" ht="21.75" customHeight="1">
      <c r="A113" s="44" t="s">
        <v>69</v>
      </c>
      <c r="B113" s="38" t="s">
        <v>62</v>
      </c>
      <c r="C113" s="38" t="s">
        <v>63</v>
      </c>
      <c r="D113" s="38" t="s">
        <v>138</v>
      </c>
      <c r="E113" s="38" t="s">
        <v>139</v>
      </c>
      <c r="F113" s="38" t="s">
        <v>140</v>
      </c>
      <c r="G113" s="38" t="s">
        <v>141</v>
      </c>
      <c r="H113" s="38" t="s">
        <v>142</v>
      </c>
    </row>
    <row r="114" spans="1:8" ht="31.5" customHeight="1">
      <c r="A114" s="39">
        <v>57</v>
      </c>
      <c r="B114" s="39" t="s">
        <v>112</v>
      </c>
      <c r="C114" s="39" t="s">
        <v>6</v>
      </c>
      <c r="D114" s="39"/>
      <c r="E114" s="39"/>
      <c r="F114" s="39"/>
      <c r="G114" s="39"/>
      <c r="H114" s="39">
        <v>100</v>
      </c>
    </row>
    <row r="115" spans="1:8" ht="24.75" customHeight="1">
      <c r="A115" s="39">
        <v>58</v>
      </c>
      <c r="B115" s="39" t="s">
        <v>113</v>
      </c>
      <c r="C115" s="39" t="s">
        <v>7</v>
      </c>
      <c r="D115" s="39"/>
      <c r="E115" s="39"/>
      <c r="F115" s="39"/>
      <c r="G115" s="39"/>
      <c r="H115" s="39">
        <v>100</v>
      </c>
    </row>
    <row r="116" spans="1:8" ht="12.75" customHeight="1">
      <c r="A116" s="39">
        <v>59</v>
      </c>
      <c r="B116" s="39" t="s">
        <v>114</v>
      </c>
      <c r="C116" s="39" t="s">
        <v>8</v>
      </c>
      <c r="D116" s="39"/>
      <c r="E116" s="39"/>
      <c r="F116" s="39"/>
      <c r="G116" s="39"/>
      <c r="H116" s="39">
        <v>100</v>
      </c>
    </row>
    <row r="117" spans="1:8" ht="25.5">
      <c r="A117" s="39">
        <v>60</v>
      </c>
      <c r="B117" s="47" t="s">
        <v>115</v>
      </c>
      <c r="C117" s="39" t="s">
        <v>116</v>
      </c>
      <c r="D117" s="39"/>
      <c r="E117" s="39"/>
      <c r="F117" s="39"/>
      <c r="G117" s="39"/>
      <c r="H117" s="39">
        <v>100</v>
      </c>
    </row>
    <row r="118" spans="1:8" ht="38.25">
      <c r="A118" s="39">
        <v>61</v>
      </c>
      <c r="B118" s="47" t="s">
        <v>117</v>
      </c>
      <c r="C118" s="39" t="s">
        <v>9</v>
      </c>
      <c r="D118" s="39"/>
      <c r="E118" s="39"/>
      <c r="F118" s="39"/>
      <c r="G118" s="39"/>
      <c r="H118" s="39">
        <v>100</v>
      </c>
    </row>
    <row r="119" spans="1:8" ht="25.5">
      <c r="A119" s="37">
        <v>62</v>
      </c>
      <c r="B119" s="37" t="s">
        <v>0</v>
      </c>
      <c r="C119" s="35" t="s">
        <v>0</v>
      </c>
      <c r="D119" s="37"/>
      <c r="E119" s="37"/>
      <c r="F119" s="37"/>
      <c r="G119" s="37"/>
      <c r="H119" s="37">
        <v>1</v>
      </c>
    </row>
    <row r="125" spans="1:8">
      <c r="B125" s="278"/>
    </row>
  </sheetData>
  <mergeCells count="24">
    <mergeCell ref="A1:H1"/>
    <mergeCell ref="A2:H2"/>
    <mergeCell ref="A4:H4"/>
    <mergeCell ref="A8:H8"/>
    <mergeCell ref="A12:H12"/>
    <mergeCell ref="A62:H62"/>
    <mergeCell ref="A72:H72"/>
    <mergeCell ref="A74:H74"/>
    <mergeCell ref="A79:H79"/>
    <mergeCell ref="A26:H26"/>
    <mergeCell ref="A28:H28"/>
    <mergeCell ref="A40:H40"/>
    <mergeCell ref="A45:H45"/>
    <mergeCell ref="A54:H54"/>
    <mergeCell ref="A56:H56"/>
    <mergeCell ref="A81:H81"/>
    <mergeCell ref="A86:H86"/>
    <mergeCell ref="A112:H112"/>
    <mergeCell ref="A96:H96"/>
    <mergeCell ref="A98:H98"/>
    <mergeCell ref="A103:H103"/>
    <mergeCell ref="A105:H105"/>
    <mergeCell ref="A110:H110"/>
    <mergeCell ref="A90:H90"/>
  </mergeCells>
  <pageMargins left="0.70866141732283472" right="0.70866141732283472" top="0.74803149606299213" bottom="0.74803149606299213" header="0.31496062992125984" footer="0.31496062992125984"/>
  <pageSetup scale="80" orientation="portrait" verticalDpi="597"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tint="-4.9989318521683403E-2"/>
  </sheetPr>
  <dimension ref="A1:J21"/>
  <sheetViews>
    <sheetView topLeftCell="A10" workbookViewId="0">
      <selection activeCell="F29" sqref="F29"/>
    </sheetView>
  </sheetViews>
  <sheetFormatPr baseColWidth="10" defaultRowHeight="15"/>
  <cols>
    <col min="1" max="1" width="14.28515625" style="299" customWidth="1"/>
    <col min="2" max="2" width="11.42578125" style="299" customWidth="1"/>
    <col min="3" max="3" width="21.7109375" style="299" customWidth="1"/>
    <col min="4" max="4" width="22.42578125" customWidth="1"/>
    <col min="5" max="5" width="21.5703125" customWidth="1"/>
    <col min="6" max="6" width="19.42578125" customWidth="1"/>
    <col min="7" max="7" width="25" customWidth="1"/>
    <col min="8" max="8" width="17.42578125" customWidth="1"/>
    <col min="9" max="9" width="18.7109375" customWidth="1"/>
    <col min="10" max="10" width="19.42578125" customWidth="1"/>
  </cols>
  <sheetData>
    <row r="1" spans="1:10" ht="108" customHeight="1" thickTop="1" thickBot="1">
      <c r="A1" s="305" t="s">
        <v>13</v>
      </c>
      <c r="B1" s="305" t="s">
        <v>552</v>
      </c>
      <c r="C1" s="1674" t="s">
        <v>1408</v>
      </c>
      <c r="D1" s="304" t="s">
        <v>790</v>
      </c>
      <c r="E1" s="304" t="s">
        <v>838</v>
      </c>
      <c r="F1" s="304" t="s">
        <v>946</v>
      </c>
      <c r="G1" s="304" t="s">
        <v>947</v>
      </c>
      <c r="H1" s="304" t="s">
        <v>948</v>
      </c>
      <c r="I1" s="304" t="s">
        <v>945</v>
      </c>
      <c r="J1" s="304" t="s">
        <v>10</v>
      </c>
    </row>
    <row r="2" spans="1:10" ht="48.75" customHeight="1" thickTop="1" thickBot="1">
      <c r="A2" s="2031" t="s">
        <v>246</v>
      </c>
      <c r="B2" s="306">
        <v>320101</v>
      </c>
      <c r="C2" s="307" t="s">
        <v>19</v>
      </c>
      <c r="D2" s="309">
        <v>1626816662.3836937</v>
      </c>
      <c r="E2" s="309"/>
      <c r="F2" s="302">
        <v>1360645293</v>
      </c>
      <c r="G2" s="301"/>
      <c r="H2" s="301"/>
      <c r="I2" s="301">
        <v>0</v>
      </c>
      <c r="J2" s="311">
        <f>SUM(D2:I2)</f>
        <v>2987461955.3836937</v>
      </c>
    </row>
    <row r="3" spans="1:10" ht="41.25" customHeight="1" thickTop="1" thickBot="1">
      <c r="A3" s="2031"/>
      <c r="B3" s="306">
        <v>320102</v>
      </c>
      <c r="C3" s="307" t="s">
        <v>21</v>
      </c>
      <c r="D3" s="309">
        <v>492477104.8451336</v>
      </c>
      <c r="E3" s="309"/>
      <c r="F3" s="302">
        <v>650438916</v>
      </c>
      <c r="G3" s="301"/>
      <c r="H3" s="301"/>
      <c r="I3" s="301">
        <v>90000000</v>
      </c>
      <c r="J3" s="311">
        <f t="shared" ref="J3:J16" si="0">SUM(D3:I3)</f>
        <v>1232916020.8451335</v>
      </c>
    </row>
    <row r="4" spans="1:10" ht="49.5" thickTop="1" thickBot="1">
      <c r="A4" s="2031"/>
      <c r="B4" s="306">
        <v>320103</v>
      </c>
      <c r="C4" s="307" t="s">
        <v>160</v>
      </c>
      <c r="D4" s="309">
        <v>4940056190.1500254</v>
      </c>
      <c r="E4" s="309"/>
      <c r="F4" s="302"/>
      <c r="G4" s="301"/>
      <c r="H4" s="301"/>
      <c r="I4" s="301">
        <v>570000000</v>
      </c>
      <c r="J4" s="311">
        <f t="shared" si="0"/>
        <v>5510056190.1500254</v>
      </c>
    </row>
    <row r="5" spans="1:10" ht="49.5" thickTop="1" thickBot="1">
      <c r="A5" s="2031" t="s">
        <v>247</v>
      </c>
      <c r="B5" s="306">
        <v>320201</v>
      </c>
      <c r="C5" s="307" t="s">
        <v>125</v>
      </c>
      <c r="D5" s="309">
        <v>3981959287.6526566</v>
      </c>
      <c r="E5" s="301">
        <v>21600000</v>
      </c>
      <c r="F5" s="302"/>
      <c r="G5" s="301"/>
      <c r="H5" s="301"/>
      <c r="I5" s="301">
        <v>437020028</v>
      </c>
      <c r="J5" s="311">
        <f t="shared" si="0"/>
        <v>4440579315.6526566</v>
      </c>
    </row>
    <row r="6" spans="1:10" ht="61.5" thickTop="1" thickBot="1">
      <c r="A6" s="2031"/>
      <c r="B6" s="306">
        <v>320202</v>
      </c>
      <c r="C6" s="307" t="s">
        <v>161</v>
      </c>
      <c r="D6" s="309">
        <v>1611972250.529</v>
      </c>
      <c r="E6" s="309"/>
      <c r="F6" s="302"/>
      <c r="G6" s="301"/>
      <c r="H6" s="301"/>
      <c r="I6" s="301">
        <v>146487383</v>
      </c>
      <c r="J6" s="311">
        <f t="shared" si="0"/>
        <v>1758459633.529</v>
      </c>
    </row>
    <row r="7" spans="1:10" ht="85.5" thickTop="1" thickBot="1">
      <c r="A7" s="2031"/>
      <c r="B7" s="306">
        <v>320203</v>
      </c>
      <c r="C7" s="307" t="s">
        <v>162</v>
      </c>
      <c r="D7" s="309">
        <v>918876973.2249999</v>
      </c>
      <c r="E7" s="309"/>
      <c r="F7" s="302"/>
      <c r="G7" s="301"/>
      <c r="H7" s="301"/>
      <c r="I7" s="301">
        <v>64183115</v>
      </c>
      <c r="J7" s="311">
        <f t="shared" si="0"/>
        <v>983060088.2249999</v>
      </c>
    </row>
    <row r="8" spans="1:10" ht="50.25" customHeight="1" thickTop="1" thickBot="1">
      <c r="A8" s="2031" t="s">
        <v>248</v>
      </c>
      <c r="B8" s="306">
        <v>320301</v>
      </c>
      <c r="C8" s="307" t="s">
        <v>17</v>
      </c>
      <c r="D8" s="309">
        <v>6634109529.7454157</v>
      </c>
      <c r="E8" s="309"/>
      <c r="F8" s="302"/>
      <c r="G8" s="301"/>
      <c r="H8" s="301"/>
      <c r="I8" s="301">
        <v>1042437541</v>
      </c>
      <c r="J8" s="311">
        <f t="shared" si="0"/>
        <v>7676547070.7454157</v>
      </c>
    </row>
    <row r="9" spans="1:10" ht="25.5" thickTop="1" thickBot="1">
      <c r="A9" s="2031"/>
      <c r="B9" s="306">
        <v>320302</v>
      </c>
      <c r="C9" s="307" t="s">
        <v>164</v>
      </c>
      <c r="D9" s="309">
        <v>2738005527.2340002</v>
      </c>
      <c r="E9" s="309"/>
      <c r="F9" s="302"/>
      <c r="G9" s="301"/>
      <c r="H9" s="301"/>
      <c r="I9" s="301">
        <v>1060390000</v>
      </c>
      <c r="J9" s="311">
        <f t="shared" si="0"/>
        <v>3798395527.2340002</v>
      </c>
    </row>
    <row r="10" spans="1:10" ht="49.5" thickTop="1" thickBot="1">
      <c r="A10" s="308" t="s">
        <v>249</v>
      </c>
      <c r="B10" s="306">
        <v>320401</v>
      </c>
      <c r="C10" s="307" t="s">
        <v>165</v>
      </c>
      <c r="D10" s="309">
        <v>475232054.80000001</v>
      </c>
      <c r="E10" s="309"/>
      <c r="F10" s="302"/>
      <c r="G10" s="301"/>
      <c r="H10" s="301"/>
      <c r="I10" s="301">
        <v>56274817</v>
      </c>
      <c r="J10" s="311">
        <f t="shared" si="0"/>
        <v>531506871.80000001</v>
      </c>
    </row>
    <row r="11" spans="1:10" ht="61.5" thickTop="1" thickBot="1">
      <c r="A11" s="2031" t="s">
        <v>250</v>
      </c>
      <c r="B11" s="306">
        <v>320501</v>
      </c>
      <c r="C11" s="307" t="s">
        <v>23</v>
      </c>
      <c r="D11" s="309">
        <v>408823509.45361364</v>
      </c>
      <c r="E11" s="309"/>
      <c r="F11" s="302"/>
      <c r="G11" s="301"/>
      <c r="H11" s="301"/>
      <c r="I11" s="301">
        <v>0</v>
      </c>
      <c r="J11" s="311">
        <f t="shared" si="0"/>
        <v>408823509.45361364</v>
      </c>
    </row>
    <row r="12" spans="1:10" ht="49.5" thickTop="1" thickBot="1">
      <c r="A12" s="2031"/>
      <c r="B12" s="306">
        <v>320502</v>
      </c>
      <c r="C12" s="307" t="s">
        <v>169</v>
      </c>
      <c r="D12" s="309">
        <v>4302031863.7600002</v>
      </c>
      <c r="E12" s="309"/>
      <c r="F12" s="302"/>
      <c r="G12" s="301"/>
      <c r="H12" s="301"/>
      <c r="I12" s="301">
        <v>50000000</v>
      </c>
      <c r="J12" s="311">
        <f t="shared" si="0"/>
        <v>4352031863.7600002</v>
      </c>
    </row>
    <row r="13" spans="1:10" ht="37.5" thickTop="1" thickBot="1">
      <c r="A13" s="2031"/>
      <c r="B13" s="306">
        <v>320503</v>
      </c>
      <c r="C13" s="307" t="s">
        <v>176</v>
      </c>
      <c r="D13" s="309">
        <v>668993230.5485065</v>
      </c>
      <c r="E13" s="309"/>
      <c r="F13" s="302"/>
      <c r="G13" s="302"/>
      <c r="H13" s="301"/>
      <c r="I13" s="301">
        <v>50000000</v>
      </c>
      <c r="J13" s="311">
        <f t="shared" si="0"/>
        <v>718993230.5485065</v>
      </c>
    </row>
    <row r="14" spans="1:10" ht="69.75" customHeight="1" thickTop="1" thickBot="1">
      <c r="A14" s="308" t="s">
        <v>251</v>
      </c>
      <c r="B14" s="306">
        <v>320601</v>
      </c>
      <c r="C14" s="307" t="s">
        <v>166</v>
      </c>
      <c r="D14" s="309">
        <v>1083913444.1104</v>
      </c>
      <c r="E14" s="309"/>
      <c r="G14" s="301">
        <v>3179498075</v>
      </c>
      <c r="H14" s="301"/>
      <c r="I14" s="301"/>
      <c r="J14" s="311">
        <f t="shared" si="0"/>
        <v>4263411519.1104002</v>
      </c>
    </row>
    <row r="15" spans="1:10" ht="25.5" customHeight="1" thickTop="1" thickBot="1">
      <c r="A15" s="308" t="s">
        <v>252</v>
      </c>
      <c r="B15" s="306">
        <v>320801</v>
      </c>
      <c r="C15" s="307" t="s">
        <v>32</v>
      </c>
      <c r="D15" s="309">
        <v>1396412701.6831336</v>
      </c>
      <c r="E15" s="309"/>
      <c r="F15" s="302">
        <v>1953386677</v>
      </c>
      <c r="G15" s="301"/>
      <c r="H15" s="301">
        <v>272370924</v>
      </c>
      <c r="I15" s="301">
        <v>204111704</v>
      </c>
      <c r="J15" s="311">
        <f t="shared" si="0"/>
        <v>3826282006.6831336</v>
      </c>
    </row>
    <row r="16" spans="1:10" ht="73.5" thickTop="1" thickBot="1">
      <c r="A16" s="308" t="s">
        <v>253</v>
      </c>
      <c r="B16" s="306">
        <v>329901</v>
      </c>
      <c r="C16" s="307" t="s">
        <v>30</v>
      </c>
      <c r="D16" s="309">
        <v>2254554870.4697251</v>
      </c>
      <c r="E16" s="309"/>
      <c r="F16" s="302"/>
      <c r="G16" s="301"/>
      <c r="H16" s="301"/>
      <c r="I16" s="301">
        <v>278023831</v>
      </c>
      <c r="J16" s="311">
        <f t="shared" si="0"/>
        <v>2532578701.4697251</v>
      </c>
    </row>
    <row r="17" spans="1:10" ht="16.5" thickTop="1" thickBot="1">
      <c r="A17" s="2032" t="s">
        <v>10</v>
      </c>
      <c r="B17" s="2033"/>
      <c r="C17" s="2034"/>
      <c r="D17" s="303">
        <f t="shared" ref="D17:J17" si="1">SUM(D2:D16)</f>
        <v>33534235200.590309</v>
      </c>
      <c r="E17" s="303">
        <f t="shared" si="1"/>
        <v>21600000</v>
      </c>
      <c r="F17" s="303">
        <f t="shared" si="1"/>
        <v>3964470886</v>
      </c>
      <c r="G17" s="303">
        <f t="shared" si="1"/>
        <v>3179498075</v>
      </c>
      <c r="H17" s="303">
        <f t="shared" si="1"/>
        <v>272370924</v>
      </c>
      <c r="I17" s="303">
        <f t="shared" si="1"/>
        <v>4048928419</v>
      </c>
      <c r="J17" s="303">
        <f t="shared" si="1"/>
        <v>45021103504.590309</v>
      </c>
    </row>
    <row r="18" spans="1:10" ht="15.75" thickTop="1"/>
    <row r="21" spans="1:10">
      <c r="J21" s="256"/>
    </row>
  </sheetData>
  <mergeCells count="5">
    <mergeCell ref="A2:A4"/>
    <mergeCell ref="A5:A7"/>
    <mergeCell ref="A8:A9"/>
    <mergeCell ref="A11:A13"/>
    <mergeCell ref="A17:C17"/>
  </mergeCells>
  <conditionalFormatting sqref="F2:I12 F13 G13:I14 F15:I16">
    <cfRule type="cellIs" dxfId="0" priority="2" operator="lessThan">
      <formula>0</formula>
    </cfRule>
  </conditionalFormatting>
  <pageMargins left="0.7" right="0.7" top="0.75" bottom="0.75" header="0.3" footer="0.3"/>
  <pageSetup paperSize="9" orientation="portrait" verticalDpi="597"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W122"/>
  <sheetViews>
    <sheetView workbookViewId="0">
      <selection sqref="A1:P1"/>
    </sheetView>
  </sheetViews>
  <sheetFormatPr baseColWidth="10" defaultRowHeight="15"/>
  <cols>
    <col min="1" max="1" width="4" customWidth="1"/>
    <col min="2" max="2" width="38" customWidth="1"/>
    <col min="3" max="3" width="13.5703125" customWidth="1"/>
    <col min="4" max="6" width="11.42578125" customWidth="1"/>
    <col min="7" max="7" width="12.28515625" customWidth="1"/>
    <col min="8" max="8" width="22" customWidth="1"/>
    <col min="9" max="9" width="7.7109375" style="225" customWidth="1"/>
    <col min="10" max="10" width="18.7109375" customWidth="1"/>
    <col min="11" max="11" width="13.140625" customWidth="1"/>
    <col min="12" max="12" width="19.85546875" customWidth="1"/>
    <col min="13" max="13" width="8.42578125" style="225" customWidth="1"/>
    <col min="14" max="14" width="17.7109375" customWidth="1"/>
    <col min="15" max="15" width="8.42578125" style="225" customWidth="1"/>
    <col min="16" max="16" width="17.7109375" customWidth="1"/>
    <col min="17" max="17" width="15.42578125" customWidth="1"/>
  </cols>
  <sheetData>
    <row r="1" spans="1:17" ht="41.25" customHeight="1">
      <c r="A1" s="2038" t="s">
        <v>779</v>
      </c>
      <c r="B1" s="2039"/>
      <c r="C1" s="2039"/>
      <c r="D1" s="2039"/>
      <c r="E1" s="2039"/>
      <c r="F1" s="2039"/>
      <c r="G1" s="2039"/>
      <c r="H1" s="2039"/>
      <c r="I1" s="2039"/>
      <c r="J1" s="2039"/>
      <c r="K1" s="2039"/>
      <c r="L1" s="2039"/>
      <c r="M1" s="2039"/>
      <c r="N1" s="2039"/>
      <c r="O1" s="2039"/>
      <c r="P1" s="2039"/>
    </row>
    <row r="2" spans="1:17" s="235" customFormat="1" ht="37.5" customHeight="1" thickBot="1">
      <c r="A2" s="233"/>
      <c r="B2" s="234"/>
      <c r="C2" s="234"/>
      <c r="D2" s="234"/>
      <c r="E2" s="234"/>
      <c r="F2" s="234"/>
      <c r="G2" s="234"/>
      <c r="H2" s="234"/>
      <c r="I2" s="234"/>
      <c r="J2" s="234"/>
      <c r="K2" s="234"/>
      <c r="L2" s="277"/>
      <c r="M2" s="234"/>
      <c r="N2" s="284"/>
      <c r="O2" s="234"/>
      <c r="P2" s="284"/>
    </row>
    <row r="3" spans="1:17" ht="15" customHeight="1">
      <c r="A3" s="2040" t="s">
        <v>69</v>
      </c>
      <c r="B3" s="2035" t="s">
        <v>188</v>
      </c>
      <c r="C3" s="2042" t="s">
        <v>190</v>
      </c>
      <c r="D3" s="2035">
        <v>2020</v>
      </c>
      <c r="E3" s="2035">
        <v>2021</v>
      </c>
      <c r="F3" s="2035">
        <v>2022</v>
      </c>
      <c r="G3" s="2035">
        <v>2023</v>
      </c>
      <c r="H3" s="2035">
        <v>2020</v>
      </c>
      <c r="I3" s="2046" t="s">
        <v>202</v>
      </c>
      <c r="J3" s="2035">
        <v>2021</v>
      </c>
      <c r="K3" s="2046" t="s">
        <v>202</v>
      </c>
      <c r="L3" s="2044">
        <v>2022</v>
      </c>
      <c r="M3" s="2046" t="s">
        <v>202</v>
      </c>
      <c r="N3" s="2035">
        <v>2023</v>
      </c>
      <c r="O3" s="2046" t="s">
        <v>202</v>
      </c>
      <c r="P3" s="2035">
        <v>2024</v>
      </c>
      <c r="Q3" s="2037"/>
    </row>
    <row r="4" spans="1:17" ht="25.5" customHeight="1" thickBot="1">
      <c r="A4" s="2041"/>
      <c r="B4" s="2036"/>
      <c r="C4" s="2043"/>
      <c r="D4" s="2036"/>
      <c r="E4" s="2036"/>
      <c r="F4" s="2036"/>
      <c r="G4" s="2036"/>
      <c r="H4" s="2036"/>
      <c r="I4" s="2047"/>
      <c r="J4" s="2036"/>
      <c r="K4" s="2047"/>
      <c r="L4" s="2045"/>
      <c r="M4" s="2047"/>
      <c r="N4" s="2036"/>
      <c r="O4" s="2047"/>
      <c r="P4" s="2036"/>
      <c r="Q4" s="2037"/>
    </row>
    <row r="5" spans="1:17" ht="15.75">
      <c r="A5" s="2048" t="s">
        <v>282</v>
      </c>
      <c r="B5" s="2049"/>
      <c r="C5" s="2049"/>
      <c r="D5" s="2049"/>
      <c r="E5" s="2049"/>
      <c r="F5" s="2049"/>
      <c r="G5" s="2050"/>
      <c r="H5" s="269"/>
      <c r="I5" s="269"/>
      <c r="J5" s="269"/>
      <c r="K5" s="269"/>
      <c r="L5" s="269"/>
      <c r="M5" s="269"/>
      <c r="N5" s="269"/>
      <c r="O5" s="269"/>
      <c r="P5" s="269"/>
      <c r="Q5" s="77"/>
    </row>
    <row r="6" spans="1:17" ht="15.75">
      <c r="A6" s="2060" t="s">
        <v>283</v>
      </c>
      <c r="B6" s="2061"/>
      <c r="C6" s="2061"/>
      <c r="D6" s="2061"/>
      <c r="E6" s="2061"/>
      <c r="F6" s="2061"/>
      <c r="G6" s="2061"/>
      <c r="H6" s="133">
        <f>SUM(H7:H8)</f>
        <v>92397396</v>
      </c>
      <c r="I6" s="272">
        <f>+(J6-H6)/H6</f>
        <v>2.2583075826076309</v>
      </c>
      <c r="J6" s="133">
        <f>SUM(J7:J8)</f>
        <v>301059136</v>
      </c>
      <c r="K6" s="272">
        <f t="shared" ref="K6:K24" si="0">+(L6-J6)/J6</f>
        <v>0.86488171214309206</v>
      </c>
      <c r="L6" s="133">
        <f>SUM(L7:L8)</f>
        <v>561439677</v>
      </c>
      <c r="M6" s="272">
        <f>+(N6-L6)/L6</f>
        <v>2.9932098422035818</v>
      </c>
      <c r="N6" s="133">
        <f>+SUM(N7:N8)</f>
        <v>2241946444</v>
      </c>
      <c r="O6" s="272" t="e">
        <f>+(P6-N6)/N6</f>
        <v>#REF!</v>
      </c>
      <c r="P6" s="133" t="e">
        <f>+SUM(P7:P8)</f>
        <v>#REF!</v>
      </c>
      <c r="Q6" s="77"/>
    </row>
    <row r="7" spans="1:17" ht="53.25" customHeight="1">
      <c r="A7" s="236">
        <v>1</v>
      </c>
      <c r="B7" s="19" t="s">
        <v>11</v>
      </c>
      <c r="C7" s="74" t="s">
        <v>202</v>
      </c>
      <c r="D7" s="74">
        <v>100</v>
      </c>
      <c r="E7" s="74">
        <v>100</v>
      </c>
      <c r="F7" s="74">
        <v>100</v>
      </c>
      <c r="G7" s="74">
        <v>100</v>
      </c>
      <c r="H7" s="132">
        <v>72999300</v>
      </c>
      <c r="I7" s="224">
        <f>+(J7-H7)/H7</f>
        <v>1.865440641211628</v>
      </c>
      <c r="J7" s="132">
        <v>209175161</v>
      </c>
      <c r="K7" s="224">
        <f t="shared" si="0"/>
        <v>1.2320805599858007</v>
      </c>
      <c r="L7" s="132">
        <v>466895810.5</v>
      </c>
      <c r="M7" s="224">
        <f t="shared" ref="M7:M15" si="1">+(N7-J7)/J7</f>
        <v>9.1431500989737504</v>
      </c>
      <c r="N7" s="132">
        <v>2121695055</v>
      </c>
      <c r="O7" s="224">
        <f t="shared" ref="O7:O24" si="2">+(P7-L7)/L7</f>
        <v>0.62998399272142092</v>
      </c>
      <c r="P7" s="132">
        <f>+'320101'!I9</f>
        <v>761032697.38369393</v>
      </c>
    </row>
    <row r="8" spans="1:17" ht="25.5">
      <c r="A8" s="7">
        <v>2</v>
      </c>
      <c r="B8" s="16" t="s">
        <v>212</v>
      </c>
      <c r="C8" s="8" t="s">
        <v>238</v>
      </c>
      <c r="D8" s="8">
        <v>1</v>
      </c>
      <c r="E8" s="8">
        <v>1</v>
      </c>
      <c r="F8" s="8">
        <v>1</v>
      </c>
      <c r="G8" s="8">
        <v>1</v>
      </c>
      <c r="H8" s="132">
        <v>19398096</v>
      </c>
      <c r="I8" s="224">
        <f t="shared" ref="I8:I70" si="3">+(J8-H8)/H8</f>
        <v>3.7367522565101234</v>
      </c>
      <c r="J8" s="132">
        <v>91883975</v>
      </c>
      <c r="K8" s="224">
        <f t="shared" si="0"/>
        <v>2.8948372118206684E-2</v>
      </c>
      <c r="L8" s="132">
        <v>94543866.5</v>
      </c>
      <c r="M8" s="224">
        <f t="shared" si="1"/>
        <v>0.30873080969777372</v>
      </c>
      <c r="N8" s="132">
        <v>120251389</v>
      </c>
      <c r="O8" s="224" t="e">
        <f t="shared" si="2"/>
        <v>#REF!</v>
      </c>
      <c r="P8" s="132" t="e">
        <f>+'320101'!#REF!</f>
        <v>#REF!</v>
      </c>
    </row>
    <row r="9" spans="1:17" ht="15.75">
      <c r="A9" s="2058" t="s">
        <v>284</v>
      </c>
      <c r="B9" s="2059"/>
      <c r="C9" s="2059"/>
      <c r="D9" s="2059"/>
      <c r="E9" s="2059"/>
      <c r="F9" s="2059"/>
      <c r="G9" s="2059"/>
      <c r="H9" s="133">
        <f>SUM(H10:H11)</f>
        <v>130991497</v>
      </c>
      <c r="I9" s="272">
        <f>+(J9-H9)/H9</f>
        <v>1.9162198215049027</v>
      </c>
      <c r="J9" s="133">
        <f>SUM(J10:J11)</f>
        <v>382000000</v>
      </c>
      <c r="K9" s="272">
        <f t="shared" si="0"/>
        <v>0.11992375130890053</v>
      </c>
      <c r="L9" s="133">
        <f>SUM(L10:L11)</f>
        <v>427810873</v>
      </c>
      <c r="M9" s="272">
        <f>+(N9-L9)/L9</f>
        <v>2.6907472685950178</v>
      </c>
      <c r="N9" s="133">
        <f>+SUM(N10:N11)</f>
        <v>1578941811</v>
      </c>
      <c r="O9" s="272">
        <f>+(P9-N9)/N9</f>
        <v>-0.2191504381125455</v>
      </c>
      <c r="P9" s="133">
        <f>+SUM(P10:P11)</f>
        <v>1232916021.365134</v>
      </c>
      <c r="Q9" s="33"/>
    </row>
    <row r="10" spans="1:17" ht="38.25">
      <c r="A10" s="236">
        <v>3</v>
      </c>
      <c r="B10" s="19" t="s">
        <v>210</v>
      </c>
      <c r="C10" s="74" t="s">
        <v>202</v>
      </c>
      <c r="D10" s="74">
        <v>100</v>
      </c>
      <c r="E10" s="74">
        <v>100</v>
      </c>
      <c r="F10" s="74">
        <v>100</v>
      </c>
      <c r="G10" s="74">
        <v>100</v>
      </c>
      <c r="H10" s="132">
        <v>111593401</v>
      </c>
      <c r="I10" s="224">
        <f t="shared" si="3"/>
        <v>1.5732958080558903</v>
      </c>
      <c r="J10" s="132">
        <v>287162831</v>
      </c>
      <c r="K10" s="224">
        <f t="shared" si="0"/>
        <v>0.1146466445025401</v>
      </c>
      <c r="L10" s="132">
        <v>320085086</v>
      </c>
      <c r="M10" s="224">
        <f t="shared" si="1"/>
        <v>4.0275345976095354</v>
      </c>
      <c r="N10" s="132">
        <v>1443721068</v>
      </c>
      <c r="O10" s="224">
        <f t="shared" si="2"/>
        <v>2.6957804718372103</v>
      </c>
      <c r="P10" s="132">
        <f>+'320102'!J9</f>
        <v>1182964210.165134</v>
      </c>
    </row>
    <row r="11" spans="1:17" ht="25.5">
      <c r="A11" s="7">
        <v>4</v>
      </c>
      <c r="B11" s="16" t="s">
        <v>212</v>
      </c>
      <c r="C11" s="8" t="s">
        <v>238</v>
      </c>
      <c r="D11" s="8">
        <v>1</v>
      </c>
      <c r="E11" s="8">
        <v>1</v>
      </c>
      <c r="F11" s="8">
        <v>1</v>
      </c>
      <c r="G11" s="8">
        <v>1</v>
      </c>
      <c r="H11" s="132">
        <v>19398096</v>
      </c>
      <c r="I11" s="224">
        <f t="shared" si="3"/>
        <v>3.8889936929892501</v>
      </c>
      <c r="J11" s="132">
        <v>94837169</v>
      </c>
      <c r="K11" s="224">
        <f t="shared" si="0"/>
        <v>0.13590260164767254</v>
      </c>
      <c r="L11" s="132">
        <v>107725787</v>
      </c>
      <c r="M11" s="224">
        <f t="shared" si="1"/>
        <v>0.42582011278721321</v>
      </c>
      <c r="N11" s="132">
        <v>135220743</v>
      </c>
      <c r="O11" s="224">
        <f t="shared" si="2"/>
        <v>-0.5363059060315799</v>
      </c>
      <c r="P11" s="132">
        <f>+'320102'!J16</f>
        <v>49951811.200000003</v>
      </c>
    </row>
    <row r="12" spans="1:17" ht="15.75">
      <c r="A12" s="2051" t="s">
        <v>285</v>
      </c>
      <c r="B12" s="2052"/>
      <c r="C12" s="2052"/>
      <c r="D12" s="2052"/>
      <c r="E12" s="2052"/>
      <c r="F12" s="2052"/>
      <c r="G12" s="2052"/>
      <c r="H12" s="133">
        <f>SUM(H13:H24)</f>
        <v>999121714.77999997</v>
      </c>
      <c r="I12" s="272">
        <f>+(J12-H12)/H12</f>
        <v>2.8912637835281938</v>
      </c>
      <c r="J12" s="133">
        <f>SUM(J13:J24)</f>
        <v>3887846144.0599999</v>
      </c>
      <c r="K12" s="272">
        <f t="shared" si="0"/>
        <v>0.11985251698499547</v>
      </c>
      <c r="L12" s="133">
        <f>SUM(L13:L24)</f>
        <v>4353814290.0760002</v>
      </c>
      <c r="M12" s="272">
        <f>+(N12-L12)/L12</f>
        <v>5.3576925744328874E-2</v>
      </c>
      <c r="N12" s="133">
        <f>+SUM(N13:N24)</f>
        <v>4587078275</v>
      </c>
      <c r="O12" s="272" t="e">
        <f>+(P12-N12)/N12</f>
        <v>#REF!</v>
      </c>
      <c r="P12" s="133" t="e">
        <f>+SUM(P13:P24)</f>
        <v>#REF!</v>
      </c>
      <c r="Q12" s="33"/>
    </row>
    <row r="13" spans="1:17" ht="51">
      <c r="A13" s="236">
        <v>5</v>
      </c>
      <c r="B13" s="19" t="s">
        <v>46</v>
      </c>
      <c r="C13" s="14" t="s">
        <v>202</v>
      </c>
      <c r="D13" s="14">
        <v>100</v>
      </c>
      <c r="E13" s="14">
        <v>100</v>
      </c>
      <c r="F13" s="14">
        <v>100</v>
      </c>
      <c r="G13" s="14">
        <v>100</v>
      </c>
      <c r="H13" s="132">
        <v>26400000</v>
      </c>
      <c r="I13" s="224">
        <f t="shared" si="3"/>
        <v>0.34350310606060608</v>
      </c>
      <c r="J13" s="132">
        <v>35468482</v>
      </c>
      <c r="K13" s="224">
        <f t="shared" si="0"/>
        <v>7.0126993311977665E-2</v>
      </c>
      <c r="L13" s="132">
        <v>37955780</v>
      </c>
      <c r="M13" s="224">
        <f t="shared" si="1"/>
        <v>-0.31959442188701509</v>
      </c>
      <c r="N13" s="132">
        <v>24132953</v>
      </c>
      <c r="O13" s="224" t="e">
        <f t="shared" si="2"/>
        <v>#REF!</v>
      </c>
      <c r="P13" s="132" t="e">
        <f>+#REF!</f>
        <v>#REF!</v>
      </c>
    </row>
    <row r="14" spans="1:17" ht="51">
      <c r="A14" s="7">
        <v>6</v>
      </c>
      <c r="B14" s="78" t="s">
        <v>48</v>
      </c>
      <c r="C14" s="79" t="s">
        <v>202</v>
      </c>
      <c r="D14" s="79">
        <v>100</v>
      </c>
      <c r="E14" s="79">
        <v>100</v>
      </c>
      <c r="F14" s="79">
        <v>100</v>
      </c>
      <c r="G14" s="79">
        <v>100</v>
      </c>
      <c r="H14" s="132">
        <v>71278795.464000002</v>
      </c>
      <c r="I14" s="224">
        <f t="shared" si="3"/>
        <v>-8.9229278112762933E-2</v>
      </c>
      <c r="J14" s="132">
        <v>64918640</v>
      </c>
      <c r="K14" s="224">
        <f t="shared" si="0"/>
        <v>-0.18630839463057144</v>
      </c>
      <c r="L14" s="132">
        <v>52823752.399999999</v>
      </c>
      <c r="M14" s="224">
        <f t="shared" si="1"/>
        <v>0.19556968537849839</v>
      </c>
      <c r="N14" s="132">
        <v>77614758</v>
      </c>
      <c r="O14" s="224" t="e">
        <f t="shared" si="2"/>
        <v>#REF!</v>
      </c>
      <c r="P14" s="132" t="e">
        <f>+#REF!</f>
        <v>#REF!</v>
      </c>
    </row>
    <row r="15" spans="1:17" ht="25.5">
      <c r="A15" s="236">
        <v>7</v>
      </c>
      <c r="B15" s="19" t="s">
        <v>49</v>
      </c>
      <c r="C15" s="74" t="s">
        <v>202</v>
      </c>
      <c r="D15" s="74">
        <v>70</v>
      </c>
      <c r="E15" s="74">
        <v>80</v>
      </c>
      <c r="F15" s="74">
        <v>90</v>
      </c>
      <c r="G15" s="74">
        <v>100</v>
      </c>
      <c r="H15" s="132">
        <v>456579462.77999997</v>
      </c>
      <c r="I15" s="224">
        <f t="shared" si="3"/>
        <v>0.55989340765240803</v>
      </c>
      <c r="J15" s="132">
        <v>712215294.05999994</v>
      </c>
      <c r="K15" s="224">
        <f t="shared" si="0"/>
        <v>-0.11391421012248737</v>
      </c>
      <c r="L15" s="132">
        <v>631083851.39999998</v>
      </c>
      <c r="M15" s="224">
        <f t="shared" si="1"/>
        <v>-0.10459303904491044</v>
      </c>
      <c r="N15" s="132">
        <v>637722532</v>
      </c>
      <c r="O15" s="224" t="e">
        <f t="shared" si="2"/>
        <v>#REF!</v>
      </c>
      <c r="P15" s="132" t="e">
        <f>+#REF!</f>
        <v>#REF!</v>
      </c>
    </row>
    <row r="16" spans="1:17" ht="38.25">
      <c r="A16" s="236">
        <v>8</v>
      </c>
      <c r="B16" s="19" t="s">
        <v>50</v>
      </c>
      <c r="C16" s="74"/>
      <c r="D16" s="74"/>
      <c r="E16" s="74"/>
      <c r="F16" s="74"/>
      <c r="G16" s="74"/>
      <c r="H16" s="132">
        <v>0</v>
      </c>
      <c r="I16" s="224"/>
      <c r="J16" s="132">
        <v>0</v>
      </c>
      <c r="K16" s="224"/>
      <c r="L16" s="132">
        <v>0</v>
      </c>
      <c r="M16" s="224"/>
      <c r="N16" s="132">
        <v>0</v>
      </c>
      <c r="O16" s="224"/>
      <c r="P16" s="132" t="e">
        <f>+#REF!</f>
        <v>#REF!</v>
      </c>
    </row>
    <row r="17" spans="1:17" ht="25.5">
      <c r="A17" s="7">
        <v>9</v>
      </c>
      <c r="B17" s="78" t="s">
        <v>51</v>
      </c>
      <c r="C17" s="79" t="s">
        <v>202</v>
      </c>
      <c r="D17" s="79">
        <v>70</v>
      </c>
      <c r="E17" s="79">
        <v>80</v>
      </c>
      <c r="F17" s="79">
        <v>80</v>
      </c>
      <c r="G17" s="79">
        <v>80</v>
      </c>
      <c r="H17" s="132">
        <v>72216869.335999995</v>
      </c>
      <c r="I17" s="224">
        <f t="shared" si="3"/>
        <v>4.2238908092896237</v>
      </c>
      <c r="J17" s="132">
        <v>377253040</v>
      </c>
      <c r="K17" s="224">
        <f t="shared" si="0"/>
        <v>0.33509115261205052</v>
      </c>
      <c r="L17" s="132">
        <v>503667196</v>
      </c>
      <c r="M17" s="224">
        <f>+(N17-J17)/J17</f>
        <v>0.24410524829700511</v>
      </c>
      <c r="N17" s="132">
        <v>469342487</v>
      </c>
      <c r="O17" s="224" t="e">
        <f t="shared" si="2"/>
        <v>#REF!</v>
      </c>
      <c r="P17" s="132" t="e">
        <f>+#REF!</f>
        <v>#REF!</v>
      </c>
    </row>
    <row r="18" spans="1:17" ht="25.5">
      <c r="A18" s="236">
        <v>10</v>
      </c>
      <c r="B18" s="19" t="s">
        <v>52</v>
      </c>
      <c r="C18" s="74" t="s">
        <v>202</v>
      </c>
      <c r="D18" s="74">
        <v>20</v>
      </c>
      <c r="E18" s="74">
        <v>25</v>
      </c>
      <c r="F18" s="74">
        <v>30</v>
      </c>
      <c r="G18" s="74">
        <v>35</v>
      </c>
      <c r="H18" s="132">
        <v>222367667.19999999</v>
      </c>
      <c r="I18" s="224">
        <f t="shared" si="3"/>
        <v>1.7633615567290533</v>
      </c>
      <c r="J18" s="132">
        <v>614482263</v>
      </c>
      <c r="K18" s="224">
        <f t="shared" si="0"/>
        <v>0.1096799567020212</v>
      </c>
      <c r="L18" s="132">
        <v>681878651</v>
      </c>
      <c r="M18" s="224">
        <f>+(N18-J18)/J18</f>
        <v>6.2641150636434231E-2</v>
      </c>
      <c r="N18" s="132">
        <v>652974139</v>
      </c>
      <c r="O18" s="224" t="e">
        <f t="shared" si="2"/>
        <v>#REF!</v>
      </c>
      <c r="P18" s="132" t="e">
        <f>+#REF!</f>
        <v>#REF!</v>
      </c>
    </row>
    <row r="19" spans="1:17" ht="59.25" customHeight="1">
      <c r="A19" s="7">
        <v>11</v>
      </c>
      <c r="B19" s="78" t="s">
        <v>286</v>
      </c>
      <c r="C19" s="79" t="s">
        <v>199</v>
      </c>
      <c r="D19" s="79">
        <v>60</v>
      </c>
      <c r="E19" s="79">
        <v>120</v>
      </c>
      <c r="F19" s="79">
        <v>120</v>
      </c>
      <c r="G19" s="79">
        <v>120</v>
      </c>
      <c r="H19" s="132">
        <v>20538687</v>
      </c>
      <c r="I19" s="224">
        <f t="shared" si="3"/>
        <v>0.12920558164209817</v>
      </c>
      <c r="J19" s="132">
        <v>23192400</v>
      </c>
      <c r="K19" s="224">
        <f t="shared" si="0"/>
        <v>-0.64687272554802433</v>
      </c>
      <c r="L19" s="132">
        <v>8189869</v>
      </c>
      <c r="M19" s="224">
        <f>+(N19-J19)/J19</f>
        <v>-0.65885729808040561</v>
      </c>
      <c r="N19" s="132">
        <v>7911918</v>
      </c>
      <c r="O19" s="224" t="e">
        <f t="shared" si="2"/>
        <v>#REF!</v>
      </c>
      <c r="P19" s="132" t="e">
        <f>+#REF!</f>
        <v>#REF!</v>
      </c>
    </row>
    <row r="20" spans="1:17" ht="25.5">
      <c r="A20" s="7">
        <v>12</v>
      </c>
      <c r="B20" s="78" t="s">
        <v>287</v>
      </c>
      <c r="C20" s="79" t="s">
        <v>199</v>
      </c>
      <c r="D20" s="79">
        <v>1</v>
      </c>
      <c r="E20" s="79">
        <v>1</v>
      </c>
      <c r="F20" s="79">
        <v>1</v>
      </c>
      <c r="G20" s="79">
        <v>1</v>
      </c>
      <c r="H20" s="132">
        <v>16522687</v>
      </c>
      <c r="I20" s="224">
        <f t="shared" si="3"/>
        <v>-1</v>
      </c>
      <c r="J20" s="132">
        <v>0</v>
      </c>
      <c r="K20" s="224" t="e">
        <f t="shared" si="0"/>
        <v>#DIV/0!</v>
      </c>
      <c r="L20" s="132">
        <v>0</v>
      </c>
      <c r="M20" s="224" t="e">
        <f>+(N20-J20)/J20</f>
        <v>#DIV/0!</v>
      </c>
      <c r="N20" s="132"/>
      <c r="O20" s="224" t="e">
        <f t="shared" si="2"/>
        <v>#REF!</v>
      </c>
      <c r="P20" s="132" t="e">
        <f>+#REF!</f>
        <v>#REF!</v>
      </c>
    </row>
    <row r="21" spans="1:17" ht="25.5">
      <c r="A21" s="7">
        <v>13</v>
      </c>
      <c r="B21" s="78" t="s">
        <v>222</v>
      </c>
      <c r="C21" s="79"/>
      <c r="D21" s="79"/>
      <c r="E21" s="79"/>
      <c r="F21" s="79"/>
      <c r="G21" s="79"/>
      <c r="H21" s="132">
        <v>0</v>
      </c>
      <c r="I21" s="224"/>
      <c r="J21" s="132">
        <v>91999532</v>
      </c>
      <c r="K21" s="224"/>
      <c r="L21" s="132">
        <v>81855084.876000002</v>
      </c>
      <c r="M21" s="224"/>
      <c r="N21" s="132"/>
      <c r="O21" s="224"/>
      <c r="P21" s="132" t="e">
        <f>+#REF!</f>
        <v>#REF!</v>
      </c>
    </row>
    <row r="22" spans="1:17" ht="38.25">
      <c r="A22" s="7">
        <v>14</v>
      </c>
      <c r="B22" s="78" t="s">
        <v>288</v>
      </c>
      <c r="C22" s="79" t="s">
        <v>202</v>
      </c>
      <c r="D22" s="79">
        <v>100</v>
      </c>
      <c r="E22" s="79">
        <v>100</v>
      </c>
      <c r="F22" s="79">
        <v>100</v>
      </c>
      <c r="G22" s="79">
        <v>100</v>
      </c>
      <c r="H22" s="132">
        <v>70000000</v>
      </c>
      <c r="I22" s="224">
        <f t="shared" si="3"/>
        <v>-0.3136942857142857</v>
      </c>
      <c r="J22" s="132">
        <v>48041400</v>
      </c>
      <c r="K22" s="224">
        <f t="shared" si="0"/>
        <v>-0.13451031818389972</v>
      </c>
      <c r="L22" s="132">
        <v>41579336</v>
      </c>
      <c r="M22" s="224">
        <f>+(N22-J22)/J22</f>
        <v>-7.384872214381763E-2</v>
      </c>
      <c r="N22" s="132">
        <v>44493604</v>
      </c>
      <c r="O22" s="224" t="e">
        <f t="shared" si="2"/>
        <v>#REF!</v>
      </c>
      <c r="P22" s="132" t="e">
        <f>+#REF!</f>
        <v>#REF!</v>
      </c>
    </row>
    <row r="23" spans="1:17" ht="38.25">
      <c r="A23" s="7">
        <v>15</v>
      </c>
      <c r="B23" s="78" t="s">
        <v>289</v>
      </c>
      <c r="C23" s="79" t="s">
        <v>202</v>
      </c>
      <c r="D23" s="79">
        <v>100</v>
      </c>
      <c r="E23" s="79">
        <v>100</v>
      </c>
      <c r="F23" s="79">
        <v>100</v>
      </c>
      <c r="G23" s="79">
        <v>100</v>
      </c>
      <c r="H23" s="132">
        <v>12000000</v>
      </c>
      <c r="I23" s="224">
        <f t="shared" si="3"/>
        <v>1.2156738333333332</v>
      </c>
      <c r="J23" s="132">
        <v>26588086</v>
      </c>
      <c r="K23" s="224">
        <f t="shared" si="0"/>
        <v>-0.21211781096239879</v>
      </c>
      <c r="L23" s="132">
        <v>20948279.399999999</v>
      </c>
      <c r="M23" s="224">
        <f>+(N23-J23)/J23</f>
        <v>-0.70242619194175915</v>
      </c>
      <c r="N23" s="132">
        <v>7911918</v>
      </c>
      <c r="O23" s="224" t="e">
        <f t="shared" si="2"/>
        <v>#REF!</v>
      </c>
      <c r="P23" s="132" t="e">
        <f>+#REF!</f>
        <v>#REF!</v>
      </c>
    </row>
    <row r="24" spans="1:17" ht="25.5">
      <c r="A24" s="7">
        <v>16</v>
      </c>
      <c r="B24" s="78" t="s">
        <v>38</v>
      </c>
      <c r="C24" s="79" t="s">
        <v>238</v>
      </c>
      <c r="D24" s="79">
        <v>1</v>
      </c>
      <c r="E24" s="79">
        <v>1</v>
      </c>
      <c r="F24" s="79">
        <v>1</v>
      </c>
      <c r="G24" s="79">
        <v>1</v>
      </c>
      <c r="H24" s="132">
        <v>31217546</v>
      </c>
      <c r="I24" s="224">
        <f t="shared" si="3"/>
        <v>59.660982352680762</v>
      </c>
      <c r="J24" s="132">
        <v>1893687007</v>
      </c>
      <c r="K24" s="224">
        <f t="shared" si="0"/>
        <v>0.21130497358901718</v>
      </c>
      <c r="L24" s="134">
        <v>2293832490</v>
      </c>
      <c r="M24" s="224">
        <f>+(N24-J24)/J24</f>
        <v>0.40729379044633218</v>
      </c>
      <c r="N24" s="134">
        <v>2664973966</v>
      </c>
      <c r="O24" s="224" t="e">
        <f t="shared" si="2"/>
        <v>#REF!</v>
      </c>
      <c r="P24" s="134" t="e">
        <f>+#REF!</f>
        <v>#REF!</v>
      </c>
      <c r="Q24" s="33"/>
    </row>
    <row r="25" spans="1:17" ht="15.75">
      <c r="A25" s="2055" t="s">
        <v>290</v>
      </c>
      <c r="B25" s="2056"/>
      <c r="C25" s="2056"/>
      <c r="D25" s="2056"/>
      <c r="E25" s="2056"/>
      <c r="F25" s="2056"/>
      <c r="G25" s="2057"/>
      <c r="H25" s="270"/>
      <c r="I25" s="270"/>
      <c r="J25" s="270"/>
      <c r="K25" s="270"/>
      <c r="L25" s="270"/>
      <c r="M25" s="270"/>
      <c r="N25" s="270"/>
      <c r="O25" s="270"/>
      <c r="P25" s="270"/>
    </row>
    <row r="26" spans="1:17" ht="15.75">
      <c r="A26" s="2053" t="s">
        <v>178</v>
      </c>
      <c r="B26" s="2054"/>
      <c r="C26" s="2054"/>
      <c r="D26" s="2054"/>
      <c r="E26" s="2054"/>
      <c r="F26" s="2054"/>
      <c r="G26" s="2054"/>
      <c r="H26" s="249">
        <f>SUM(H27:H36)</f>
        <v>3990284306</v>
      </c>
      <c r="I26" s="276">
        <f>+(J26-H26)/H26</f>
        <v>8.484148208861983E-2</v>
      </c>
      <c r="J26" s="249">
        <f>SUM(J27:J36)</f>
        <v>4328825940.4759998</v>
      </c>
      <c r="K26" s="276">
        <f>+(L26-J26)/J26</f>
        <v>0.14102407207365616</v>
      </c>
      <c r="L26" s="249">
        <f>SUM(L27:L36)</f>
        <v>4939294601.8999996</v>
      </c>
      <c r="M26" s="276">
        <f>+(N26-L26)/L26</f>
        <v>0.24216710998365698</v>
      </c>
      <c r="N26" s="249">
        <f>+SUM(N27:N36)</f>
        <v>6135429301</v>
      </c>
      <c r="O26" s="276" t="e">
        <f>+(P26-N26)/N26</f>
        <v>#REF!</v>
      </c>
      <c r="P26" s="249" t="e">
        <f>+SUM(P27:P36)</f>
        <v>#REF!</v>
      </c>
    </row>
    <row r="27" spans="1:17" ht="38.25">
      <c r="A27" s="7">
        <v>17</v>
      </c>
      <c r="B27" s="78" t="s">
        <v>196</v>
      </c>
      <c r="C27" s="79" t="s">
        <v>199</v>
      </c>
      <c r="D27" s="79">
        <v>30</v>
      </c>
      <c r="E27" s="79">
        <v>30</v>
      </c>
      <c r="F27" s="79">
        <v>30</v>
      </c>
      <c r="G27" s="79">
        <v>30</v>
      </c>
      <c r="H27" s="132">
        <v>128377245</v>
      </c>
      <c r="I27" s="224">
        <f t="shared" si="3"/>
        <v>-0.47092770118255778</v>
      </c>
      <c r="J27" s="132">
        <v>67920844.127999991</v>
      </c>
      <c r="K27" s="224">
        <f>+(L27-J27)/J27</f>
        <v>2.1298191259134409</v>
      </c>
      <c r="L27" s="132">
        <v>212579957</v>
      </c>
      <c r="M27" s="224">
        <f>+(N27-J27)/J27</f>
        <v>2.0011500683921541</v>
      </c>
      <c r="N27" s="132">
        <v>203840646</v>
      </c>
      <c r="O27" s="224" t="e">
        <f>+(P27-L27)/L27</f>
        <v>#REF!</v>
      </c>
      <c r="P27" s="132" t="e">
        <f>+#REF!</f>
        <v>#REF!</v>
      </c>
    </row>
    <row r="28" spans="1:17" ht="25.5">
      <c r="A28" s="7">
        <v>18</v>
      </c>
      <c r="B28" s="78" t="s">
        <v>33</v>
      </c>
      <c r="C28" s="79" t="s">
        <v>199</v>
      </c>
      <c r="D28" s="79">
        <v>3</v>
      </c>
      <c r="E28" s="79">
        <v>3</v>
      </c>
      <c r="F28" s="79">
        <v>3</v>
      </c>
      <c r="G28" s="79">
        <v>3</v>
      </c>
      <c r="H28" s="132">
        <v>105000000</v>
      </c>
      <c r="I28" s="224">
        <f t="shared" si="3"/>
        <v>-0.66978308045714285</v>
      </c>
      <c r="J28" s="132">
        <v>34672776.552000001</v>
      </c>
      <c r="K28" s="224">
        <f>+(L28-J28)/J28</f>
        <v>27.390139304930273</v>
      </c>
      <c r="L28" s="132">
        <v>984364956.39999998</v>
      </c>
      <c r="M28" s="224">
        <f>+(N28-J28)/J28</f>
        <v>73.2830512040846</v>
      </c>
      <c r="N28" s="132">
        <v>2575599636</v>
      </c>
      <c r="O28" s="224" t="e">
        <f>+(P28-L28)/L28</f>
        <v>#REF!</v>
      </c>
      <c r="P28" s="132" t="e">
        <f>+#REF!</f>
        <v>#REF!</v>
      </c>
    </row>
    <row r="29" spans="1:17" ht="68.25" customHeight="1">
      <c r="A29" s="7">
        <v>19</v>
      </c>
      <c r="B29" s="78" t="s">
        <v>200</v>
      </c>
      <c r="C29" s="79" t="s">
        <v>199</v>
      </c>
      <c r="D29" s="79">
        <v>2</v>
      </c>
      <c r="E29" s="79">
        <v>2</v>
      </c>
      <c r="F29" s="79">
        <v>2</v>
      </c>
      <c r="G29" s="79">
        <v>1</v>
      </c>
      <c r="H29" s="132">
        <v>327379758</v>
      </c>
      <c r="I29" s="224">
        <f t="shared" si="3"/>
        <v>-0.720274315188418</v>
      </c>
      <c r="J29" s="132">
        <v>91576527</v>
      </c>
      <c r="K29" s="224">
        <f>+(L29-J29)/J29</f>
        <v>3.7383739175869818E-2</v>
      </c>
      <c r="L29" s="132">
        <v>95000000</v>
      </c>
      <c r="M29" s="224">
        <f>+(N29-J29)/J29</f>
        <v>0.23978230797068772</v>
      </c>
      <c r="N29" s="132">
        <v>113534958</v>
      </c>
      <c r="O29" s="224" t="e">
        <f>+(P29-L29)/L29</f>
        <v>#REF!</v>
      </c>
      <c r="P29" s="132" t="e">
        <f>+#REF!</f>
        <v>#REF!</v>
      </c>
    </row>
    <row r="30" spans="1:17" s="161" customFormat="1" ht="38.25" customHeight="1">
      <c r="A30" s="348">
        <v>20</v>
      </c>
      <c r="B30" s="349" t="s">
        <v>201</v>
      </c>
      <c r="C30" s="350" t="s">
        <v>199</v>
      </c>
      <c r="D30" s="350">
        <v>3</v>
      </c>
      <c r="E30" s="350">
        <v>2</v>
      </c>
      <c r="F30" s="350">
        <v>1</v>
      </c>
      <c r="G30" s="350">
        <v>1</v>
      </c>
      <c r="H30" s="237">
        <v>500000000</v>
      </c>
      <c r="I30" s="238">
        <f t="shared" si="3"/>
        <v>-3.3082814296000004E-2</v>
      </c>
      <c r="J30" s="237">
        <v>483458592.852</v>
      </c>
      <c r="K30" s="238">
        <f>+(L30-J30)/J30</f>
        <v>1.3782511741434309</v>
      </c>
      <c r="L30" s="132">
        <v>1149785966.0999999</v>
      </c>
      <c r="M30" s="238">
        <f>+(N30-J30)/J30</f>
        <v>0.70361503379491086</v>
      </c>
      <c r="N30" s="366">
        <v>823627327</v>
      </c>
      <c r="O30" s="238" t="e">
        <f>+(P30-L30)/L30</f>
        <v>#REF!</v>
      </c>
      <c r="P30" s="366" t="e">
        <f>+#REF!</f>
        <v>#REF!</v>
      </c>
    </row>
    <row r="31" spans="1:17" ht="25.5">
      <c r="A31" s="7">
        <v>21</v>
      </c>
      <c r="B31" s="16" t="s">
        <v>34</v>
      </c>
      <c r="C31" s="17" t="s">
        <v>202</v>
      </c>
      <c r="D31" s="79">
        <v>57</v>
      </c>
      <c r="E31" s="79">
        <v>67</v>
      </c>
      <c r="F31" s="79">
        <v>83</v>
      </c>
      <c r="G31" s="79">
        <v>100</v>
      </c>
      <c r="H31" s="132">
        <v>123000000</v>
      </c>
      <c r="I31" s="224">
        <f t="shared" si="3"/>
        <v>-0.51808764338211377</v>
      </c>
      <c r="J31" s="132">
        <v>59275219.864</v>
      </c>
      <c r="K31" s="224">
        <f t="shared" ref="K31:K46" si="4">+(L31-J31)/J31</f>
        <v>-0.74199437749722796</v>
      </c>
      <c r="L31" s="132">
        <v>15293340</v>
      </c>
      <c r="M31" s="224">
        <f t="shared" ref="M31:M46" si="5">+(N31-J31)/J31</f>
        <v>-0.66124123966016168</v>
      </c>
      <c r="N31" s="132">
        <v>20080000</v>
      </c>
      <c r="O31" s="224" t="e">
        <f t="shared" ref="O31:O46" si="6">+(P31-L31)/L31</f>
        <v>#REF!</v>
      </c>
      <c r="P31" s="132" t="e">
        <f>+#REF!</f>
        <v>#REF!</v>
      </c>
    </row>
    <row r="32" spans="1:17" ht="38.25">
      <c r="A32" s="236">
        <v>22</v>
      </c>
      <c r="B32" s="19" t="s">
        <v>35</v>
      </c>
      <c r="C32" s="20" t="s">
        <v>202</v>
      </c>
      <c r="D32" s="21">
        <v>100</v>
      </c>
      <c r="E32" s="21">
        <v>100</v>
      </c>
      <c r="F32" s="21">
        <v>100</v>
      </c>
      <c r="G32" s="21">
        <v>100</v>
      </c>
      <c r="H32" s="132">
        <v>5000000</v>
      </c>
      <c r="I32" s="224">
        <f t="shared" si="3"/>
        <v>1.0757354623999997</v>
      </c>
      <c r="J32" s="132">
        <v>10378677.311999999</v>
      </c>
      <c r="K32" s="224">
        <f t="shared" si="4"/>
        <v>0.27957946863277539</v>
      </c>
      <c r="L32" s="132">
        <v>13280342.4</v>
      </c>
      <c r="M32" s="224">
        <f t="shared" si="5"/>
        <v>3.651399070301879</v>
      </c>
      <c r="N32" s="132">
        <v>48275370</v>
      </c>
      <c r="O32" s="224" t="e">
        <f t="shared" si="6"/>
        <v>#REF!</v>
      </c>
      <c r="P32" s="132" t="e">
        <f>+#REF!</f>
        <v>#REF!</v>
      </c>
    </row>
    <row r="33" spans="1:17" ht="25.5">
      <c r="A33" s="236">
        <v>23</v>
      </c>
      <c r="B33" s="19" t="s">
        <v>203</v>
      </c>
      <c r="C33" s="21" t="s">
        <v>202</v>
      </c>
      <c r="D33" s="22">
        <v>100</v>
      </c>
      <c r="E33" s="22">
        <v>100</v>
      </c>
      <c r="F33" s="22">
        <v>100</v>
      </c>
      <c r="G33" s="22">
        <v>100</v>
      </c>
      <c r="H33" s="132">
        <v>2100000000</v>
      </c>
      <c r="I33" s="224">
        <f t="shared" si="3"/>
        <v>0.19612490988952386</v>
      </c>
      <c r="J33" s="132">
        <v>2511862310.7680001</v>
      </c>
      <c r="K33" s="224">
        <f t="shared" si="4"/>
        <v>-0.31716501344550901</v>
      </c>
      <c r="L33" s="132">
        <v>1715187467.2</v>
      </c>
      <c r="M33" s="224">
        <f t="shared" si="5"/>
        <v>-0.43799572454734564</v>
      </c>
      <c r="N33" s="132">
        <v>1411677358</v>
      </c>
      <c r="O33" s="224" t="e">
        <f t="shared" si="6"/>
        <v>#REF!</v>
      </c>
      <c r="P33" s="132" t="e">
        <f>+#REF!</f>
        <v>#REF!</v>
      </c>
    </row>
    <row r="34" spans="1:17" ht="38.25">
      <c r="A34" s="236">
        <v>24</v>
      </c>
      <c r="B34" s="19" t="s">
        <v>36</v>
      </c>
      <c r="C34" s="21" t="s">
        <v>202</v>
      </c>
      <c r="D34" s="22">
        <v>25</v>
      </c>
      <c r="E34" s="22">
        <v>25</v>
      </c>
      <c r="F34" s="22">
        <v>25</v>
      </c>
      <c r="G34" s="22">
        <v>25</v>
      </c>
      <c r="H34" s="132">
        <v>500000000</v>
      </c>
      <c r="I34" s="224">
        <f t="shared" si="3"/>
        <v>0.1507592908959999</v>
      </c>
      <c r="J34" s="132">
        <v>575379645.44799995</v>
      </c>
      <c r="K34" s="224">
        <f t="shared" si="4"/>
        <v>-0.48387555355946549</v>
      </c>
      <c r="L34" s="132">
        <v>296967501</v>
      </c>
      <c r="M34" s="224">
        <f t="shared" si="5"/>
        <v>-0.26260445541196226</v>
      </c>
      <c r="N34" s="132">
        <v>424282387</v>
      </c>
      <c r="O34" s="224" t="e">
        <f t="shared" si="6"/>
        <v>#REF!</v>
      </c>
      <c r="P34" s="132" t="e">
        <f>+#REF!</f>
        <v>#REF!</v>
      </c>
    </row>
    <row r="35" spans="1:17" ht="38.25">
      <c r="A35" s="236">
        <v>25</v>
      </c>
      <c r="B35" s="19" t="s">
        <v>37</v>
      </c>
      <c r="C35" s="21" t="s">
        <v>202</v>
      </c>
      <c r="D35" s="22">
        <v>100</v>
      </c>
      <c r="E35" s="22">
        <v>100</v>
      </c>
      <c r="F35" s="22">
        <v>100</v>
      </c>
      <c r="G35" s="22">
        <v>100</v>
      </c>
      <c r="H35" s="132">
        <v>150000000</v>
      </c>
      <c r="I35" s="224">
        <f t="shared" si="3"/>
        <v>1.1881767636799998</v>
      </c>
      <c r="J35" s="132">
        <v>328226514.55199999</v>
      </c>
      <c r="K35" s="224">
        <f t="shared" si="4"/>
        <v>-0.24926834830413444</v>
      </c>
      <c r="L35" s="132">
        <v>246410033.40000001</v>
      </c>
      <c r="M35" s="224">
        <f t="shared" si="5"/>
        <v>-9.8778243422085021E-2</v>
      </c>
      <c r="N35" s="132">
        <v>295804876</v>
      </c>
      <c r="O35" s="224" t="e">
        <f t="shared" si="6"/>
        <v>#REF!</v>
      </c>
      <c r="P35" s="132" t="e">
        <f>+#REF!</f>
        <v>#REF!</v>
      </c>
    </row>
    <row r="36" spans="1:17" ht="25.5">
      <c r="A36" s="7">
        <v>26</v>
      </c>
      <c r="B36" s="16" t="s">
        <v>38</v>
      </c>
      <c r="C36" s="17" t="s">
        <v>198</v>
      </c>
      <c r="D36" s="23">
        <v>1</v>
      </c>
      <c r="E36" s="23">
        <v>1</v>
      </c>
      <c r="F36" s="23">
        <v>1</v>
      </c>
      <c r="G36" s="23">
        <v>1</v>
      </c>
      <c r="H36" s="132">
        <v>51527303</v>
      </c>
      <c r="I36" s="224">
        <f t="shared" si="3"/>
        <v>2.2230453047387324</v>
      </c>
      <c r="J36" s="132">
        <v>166074832</v>
      </c>
      <c r="K36" s="224">
        <f t="shared" si="4"/>
        <v>0.26704953342960486</v>
      </c>
      <c r="L36" s="132">
        <v>210425038.40000001</v>
      </c>
      <c r="M36" s="224">
        <f t="shared" si="5"/>
        <v>0.31691684023500927</v>
      </c>
      <c r="N36" s="132">
        <v>218706743</v>
      </c>
      <c r="O36" s="224" t="e">
        <f t="shared" si="6"/>
        <v>#REF!</v>
      </c>
      <c r="P36" s="132" t="e">
        <f>+#REF!</f>
        <v>#REF!</v>
      </c>
    </row>
    <row r="37" spans="1:17" ht="15.75">
      <c r="A37" s="2051" t="s">
        <v>291</v>
      </c>
      <c r="B37" s="2052"/>
      <c r="C37" s="2052"/>
      <c r="D37" s="2052"/>
      <c r="E37" s="2052"/>
      <c r="F37" s="2052"/>
      <c r="G37" s="2052"/>
      <c r="H37" s="133">
        <f>SUM(H38:H40)</f>
        <v>1216211306</v>
      </c>
      <c r="I37" s="272">
        <f>+(J37-H37)/H37</f>
        <v>-0.18706340106659064</v>
      </c>
      <c r="J37" s="133">
        <f>SUM(J38:J40)</f>
        <v>988702682.68400002</v>
      </c>
      <c r="K37" s="272">
        <f t="shared" si="4"/>
        <v>0.34941582137490307</v>
      </c>
      <c r="L37" s="133">
        <f>SUM(L38:L40)</f>
        <v>1334171042.6496</v>
      </c>
      <c r="M37" s="272">
        <f>+(N37-L37)/L37</f>
        <v>3.5784265903107883E-2</v>
      </c>
      <c r="N37" s="133">
        <f>+SUM(N38:N40)</f>
        <v>1381913374</v>
      </c>
      <c r="O37" s="272" t="e">
        <f>+(P37-N37)/N37</f>
        <v>#REF!</v>
      </c>
      <c r="P37" s="133" t="e">
        <f>+SUM(P38:P40)</f>
        <v>#REF!</v>
      </c>
      <c r="Q37" s="33"/>
    </row>
    <row r="38" spans="1:17" ht="51">
      <c r="A38" s="7">
        <v>27</v>
      </c>
      <c r="B38" s="16" t="s">
        <v>227</v>
      </c>
      <c r="C38" s="79" t="s">
        <v>199</v>
      </c>
      <c r="D38" s="79">
        <v>1</v>
      </c>
      <c r="E38" s="79">
        <v>1</v>
      </c>
      <c r="F38" s="79">
        <v>1</v>
      </c>
      <c r="G38" s="79">
        <v>1</v>
      </c>
      <c r="H38" s="132">
        <v>910151839</v>
      </c>
      <c r="I38" s="224">
        <f t="shared" si="3"/>
        <v>-0.30977140762114086</v>
      </c>
      <c r="J38" s="132">
        <v>628212822.68400002</v>
      </c>
      <c r="K38" s="224">
        <f t="shared" si="4"/>
        <v>0.18755528709618119</v>
      </c>
      <c r="L38" s="132">
        <v>746037459</v>
      </c>
      <c r="M38" s="224">
        <f t="shared" si="5"/>
        <v>7.6352735226048463E-2</v>
      </c>
      <c r="N38" s="132">
        <v>676178590</v>
      </c>
      <c r="O38" s="224" t="e">
        <f t="shared" si="6"/>
        <v>#REF!</v>
      </c>
      <c r="P38" s="132" t="e">
        <f>+#REF!</f>
        <v>#REF!</v>
      </c>
    </row>
    <row r="39" spans="1:17" ht="51">
      <c r="A39" s="84">
        <v>28</v>
      </c>
      <c r="B39" s="80" t="s">
        <v>292</v>
      </c>
      <c r="C39" s="8" t="s">
        <v>199</v>
      </c>
      <c r="D39" s="8">
        <v>1</v>
      </c>
      <c r="E39" s="8">
        <v>1</v>
      </c>
      <c r="F39" s="8">
        <v>1</v>
      </c>
      <c r="G39" s="8">
        <v>1</v>
      </c>
      <c r="H39" s="132">
        <v>27108000</v>
      </c>
      <c r="I39" s="224">
        <f t="shared" si="3"/>
        <v>1.0777777777777777</v>
      </c>
      <c r="J39" s="132">
        <v>56324400</v>
      </c>
      <c r="K39" s="224">
        <f t="shared" si="4"/>
        <v>0.42908173012051615</v>
      </c>
      <c r="L39" s="132">
        <v>80492171</v>
      </c>
      <c r="M39" s="224">
        <f t="shared" si="5"/>
        <v>5.7080001029749097</v>
      </c>
      <c r="N39" s="132">
        <v>377824081</v>
      </c>
      <c r="O39" s="224" t="e">
        <f t="shared" si="6"/>
        <v>#REF!</v>
      </c>
      <c r="P39" s="132" t="e">
        <f>+#REF!</f>
        <v>#REF!</v>
      </c>
    </row>
    <row r="40" spans="1:17" ht="51">
      <c r="A40" s="84">
        <v>29</v>
      </c>
      <c r="B40" s="80" t="s">
        <v>293</v>
      </c>
      <c r="C40" s="8" t="s">
        <v>199</v>
      </c>
      <c r="D40" s="8">
        <v>1</v>
      </c>
      <c r="E40" s="8">
        <v>1</v>
      </c>
      <c r="F40" s="8">
        <v>1</v>
      </c>
      <c r="G40" s="8">
        <v>1</v>
      </c>
      <c r="H40" s="132">
        <v>278951467</v>
      </c>
      <c r="I40" s="224">
        <f t="shared" si="3"/>
        <v>9.0388458147094092E-2</v>
      </c>
      <c r="J40" s="132">
        <v>304165460</v>
      </c>
      <c r="K40" s="224">
        <f t="shared" si="4"/>
        <v>0.66896468997367453</v>
      </c>
      <c r="L40" s="132">
        <v>507641412.64960009</v>
      </c>
      <c r="M40" s="224">
        <f t="shared" si="5"/>
        <v>7.8066862029633477E-2</v>
      </c>
      <c r="N40" s="132">
        <v>327910703</v>
      </c>
      <c r="O40" s="224" t="e">
        <f t="shared" si="6"/>
        <v>#REF!</v>
      </c>
      <c r="P40" s="132" t="e">
        <f>+#REF!</f>
        <v>#REF!</v>
      </c>
    </row>
    <row r="41" spans="1:17" ht="15.75" customHeight="1">
      <c r="A41" s="2062" t="s">
        <v>276</v>
      </c>
      <c r="B41" s="2063"/>
      <c r="C41" s="2063"/>
      <c r="D41" s="2063"/>
      <c r="E41" s="2063"/>
      <c r="F41" s="2063"/>
      <c r="G41" s="2063"/>
      <c r="H41" s="133">
        <f>SUM(H42:H46)</f>
        <v>1863599822.5</v>
      </c>
      <c r="I41" s="272">
        <f>+(J41-H41)/H41</f>
        <v>-0.49404037572020104</v>
      </c>
      <c r="J41" s="133">
        <f>SUM(J42:J46)</f>
        <v>942906266</v>
      </c>
      <c r="K41" s="272">
        <f t="shared" si="4"/>
        <v>0.2262427737435356</v>
      </c>
      <c r="L41" s="133">
        <f>SUM(L42:L46)</f>
        <v>1156231995</v>
      </c>
      <c r="M41" s="272">
        <f>+(N41-L41)/L41</f>
        <v>0.14635210297912574</v>
      </c>
      <c r="N41" s="133">
        <f>+SUM(N42:N46)</f>
        <v>1325448979</v>
      </c>
      <c r="O41" s="272" t="e">
        <f>+(P41-N41)/N41</f>
        <v>#REF!</v>
      </c>
      <c r="P41" s="133" t="e">
        <f>+SUM(P42:P46)</f>
        <v>#REF!</v>
      </c>
      <c r="Q41" s="33"/>
    </row>
    <row r="42" spans="1:17" ht="25.5">
      <c r="A42" s="236">
        <v>30</v>
      </c>
      <c r="B42" s="19" t="s">
        <v>231</v>
      </c>
      <c r="C42" s="21" t="s">
        <v>202</v>
      </c>
      <c r="D42" s="22">
        <v>100</v>
      </c>
      <c r="E42" s="22">
        <v>100</v>
      </c>
      <c r="F42" s="22">
        <v>100</v>
      </c>
      <c r="G42" s="22">
        <v>100</v>
      </c>
      <c r="H42" s="132">
        <v>163787200</v>
      </c>
      <c r="I42" s="224">
        <f t="shared" si="3"/>
        <v>-0.51156134301093126</v>
      </c>
      <c r="J42" s="132">
        <v>80000000</v>
      </c>
      <c r="K42" s="224">
        <f t="shared" si="4"/>
        <v>0.50285741250000004</v>
      </c>
      <c r="L42" s="132">
        <v>120228593</v>
      </c>
      <c r="M42" s="224">
        <f t="shared" si="5"/>
        <v>0.56409419999999999</v>
      </c>
      <c r="N42" s="132">
        <v>125127536</v>
      </c>
      <c r="O42" s="224" t="e">
        <f t="shared" si="6"/>
        <v>#REF!</v>
      </c>
      <c r="P42" s="132" t="e">
        <f>+#REF!</f>
        <v>#REF!</v>
      </c>
    </row>
    <row r="43" spans="1:17" ht="38.25">
      <c r="A43" s="84">
        <v>31</v>
      </c>
      <c r="B43" s="80" t="s">
        <v>294</v>
      </c>
      <c r="C43" s="8" t="s">
        <v>202</v>
      </c>
      <c r="D43" s="8">
        <v>100</v>
      </c>
      <c r="E43" s="8">
        <v>100</v>
      </c>
      <c r="F43" s="8">
        <v>100</v>
      </c>
      <c r="G43" s="8">
        <v>100</v>
      </c>
      <c r="H43" s="132">
        <v>304823665.39999998</v>
      </c>
      <c r="I43" s="224">
        <f t="shared" si="3"/>
        <v>6.2757813029040571E-2</v>
      </c>
      <c r="J43" s="132">
        <v>323953732</v>
      </c>
      <c r="K43" s="224">
        <f t="shared" si="4"/>
        <v>4.8712218570768004E-2</v>
      </c>
      <c r="L43" s="132">
        <v>339734237</v>
      </c>
      <c r="M43" s="224">
        <f t="shared" si="5"/>
        <v>0.25310628000420754</v>
      </c>
      <c r="N43" s="132">
        <v>405948456</v>
      </c>
      <c r="O43" s="224" t="e">
        <f t="shared" si="6"/>
        <v>#REF!</v>
      </c>
      <c r="P43" s="132" t="e">
        <f>+#REF!</f>
        <v>#REF!</v>
      </c>
    </row>
    <row r="44" spans="1:17" ht="25.5">
      <c r="A44" s="84">
        <v>32</v>
      </c>
      <c r="B44" s="80" t="s">
        <v>42</v>
      </c>
      <c r="C44" s="8" t="s">
        <v>233</v>
      </c>
      <c r="D44" s="8">
        <v>500</v>
      </c>
      <c r="E44" s="8">
        <v>300</v>
      </c>
      <c r="F44" s="8">
        <v>300</v>
      </c>
      <c r="G44" s="8">
        <v>300</v>
      </c>
      <c r="H44" s="132">
        <v>678407316.10000002</v>
      </c>
      <c r="I44" s="224">
        <f t="shared" si="3"/>
        <v>-0.63449882671452518</v>
      </c>
      <c r="J44" s="132">
        <v>247958670</v>
      </c>
      <c r="K44" s="224">
        <f t="shared" si="4"/>
        <v>-0.26506152819742096</v>
      </c>
      <c r="L44" s="132">
        <v>182234366</v>
      </c>
      <c r="M44" s="224">
        <f t="shared" si="5"/>
        <v>-8.016443627480338E-2</v>
      </c>
      <c r="N44" s="132">
        <v>228081203</v>
      </c>
      <c r="O44" s="224" t="e">
        <f t="shared" si="6"/>
        <v>#REF!</v>
      </c>
      <c r="P44" s="132" t="e">
        <f>+#REF!</f>
        <v>#REF!</v>
      </c>
    </row>
    <row r="45" spans="1:17" ht="38.25">
      <c r="A45" s="84">
        <v>33</v>
      </c>
      <c r="B45" s="80" t="s">
        <v>43</v>
      </c>
      <c r="C45" s="8" t="s">
        <v>202</v>
      </c>
      <c r="D45" s="8">
        <v>100</v>
      </c>
      <c r="E45" s="8">
        <v>100</v>
      </c>
      <c r="F45" s="8">
        <v>100</v>
      </c>
      <c r="G45" s="8">
        <v>100</v>
      </c>
      <c r="H45" s="132">
        <v>337051099</v>
      </c>
      <c r="I45" s="224">
        <f t="shared" si="3"/>
        <v>-0.17857991912377655</v>
      </c>
      <c r="J45" s="132">
        <v>276860541</v>
      </c>
      <c r="K45" s="224">
        <f t="shared" si="4"/>
        <v>7.5274338209141908E-2</v>
      </c>
      <c r="L45" s="132">
        <v>297701035</v>
      </c>
      <c r="M45" s="224">
        <f t="shared" si="5"/>
        <v>1.0454044550899002</v>
      </c>
      <c r="N45" s="132">
        <v>566291784</v>
      </c>
      <c r="O45" s="224" t="e">
        <f t="shared" si="6"/>
        <v>#REF!</v>
      </c>
      <c r="P45" s="132" t="e">
        <f>+#REF!</f>
        <v>#REF!</v>
      </c>
    </row>
    <row r="46" spans="1:17" ht="63.75">
      <c r="A46" s="84">
        <v>34</v>
      </c>
      <c r="B46" s="80" t="s">
        <v>44</v>
      </c>
      <c r="C46" s="8" t="s">
        <v>232</v>
      </c>
      <c r="D46" s="8">
        <v>340</v>
      </c>
      <c r="E46" s="8">
        <v>50</v>
      </c>
      <c r="F46" s="8">
        <v>110</v>
      </c>
      <c r="G46" s="8">
        <v>110</v>
      </c>
      <c r="H46" s="132">
        <v>379530542</v>
      </c>
      <c r="I46" s="224">
        <f t="shared" si="3"/>
        <v>-0.96276103913660793</v>
      </c>
      <c r="J46" s="132">
        <v>14133323</v>
      </c>
      <c r="K46" s="224">
        <f t="shared" si="4"/>
        <v>14.306645436462466</v>
      </c>
      <c r="L46" s="132">
        <v>216333764</v>
      </c>
      <c r="M46" s="224">
        <f t="shared" si="5"/>
        <v>-1</v>
      </c>
      <c r="N46" s="132">
        <v>0</v>
      </c>
      <c r="O46" s="224">
        <f t="shared" si="6"/>
        <v>-1</v>
      </c>
      <c r="P46" s="132">
        <v>0</v>
      </c>
    </row>
    <row r="47" spans="1:17" ht="15.75">
      <c r="A47" s="2055" t="s">
        <v>295</v>
      </c>
      <c r="B47" s="2056"/>
      <c r="C47" s="2056"/>
      <c r="D47" s="2056"/>
      <c r="E47" s="2056"/>
      <c r="F47" s="2056"/>
      <c r="G47" s="2057"/>
      <c r="H47" s="270"/>
      <c r="I47" s="270"/>
      <c r="J47" s="270"/>
      <c r="K47" s="270"/>
      <c r="L47" s="270"/>
      <c r="M47" s="270"/>
      <c r="N47" s="270"/>
      <c r="O47" s="270"/>
      <c r="P47" s="270"/>
      <c r="Q47" s="33"/>
    </row>
    <row r="48" spans="1:17" ht="15.75">
      <c r="A48" s="2060" t="s">
        <v>296</v>
      </c>
      <c r="B48" s="2061"/>
      <c r="C48" s="2061"/>
      <c r="D48" s="2061"/>
      <c r="E48" s="2061"/>
      <c r="F48" s="2061"/>
      <c r="G48" s="2061"/>
      <c r="H48" s="133">
        <f>SUM(H49:H51)</f>
        <v>8870865331.7999992</v>
      </c>
      <c r="I48" s="272">
        <f>+(J48-H48)/H48</f>
        <v>0.15647592327031115</v>
      </c>
      <c r="J48" s="133">
        <f>SUM(J49:J51)</f>
        <v>10258942174.799999</v>
      </c>
      <c r="K48" s="272">
        <f t="shared" ref="K48:K57" si="7">+(L48-J48)/J48</f>
        <v>1.233332636485733E-3</v>
      </c>
      <c r="L48" s="133">
        <f>SUM(L49:L51)</f>
        <v>10271594863</v>
      </c>
      <c r="M48" s="272">
        <f>+(N48-L48)/L48</f>
        <v>-7.7743476904108502E-2</v>
      </c>
      <c r="N48" s="133">
        <f>+SUM(N49:N51)</f>
        <v>9473045365</v>
      </c>
      <c r="O48" s="272" t="e">
        <f>+(P48-N48)/N48</f>
        <v>#REF!</v>
      </c>
      <c r="P48" s="133" t="e">
        <f>+SUM(P49:P51)</f>
        <v>#REF!</v>
      </c>
    </row>
    <row r="49" spans="1:17" ht="63.75" customHeight="1">
      <c r="A49" s="257">
        <v>35</v>
      </c>
      <c r="B49" s="258" t="s">
        <v>39</v>
      </c>
      <c r="C49" s="24" t="s">
        <v>202</v>
      </c>
      <c r="D49" s="22">
        <v>30</v>
      </c>
      <c r="E49" s="22">
        <v>36</v>
      </c>
      <c r="F49" s="22">
        <v>60</v>
      </c>
      <c r="G49" s="22">
        <v>100</v>
      </c>
      <c r="H49" s="132">
        <v>670782143.39999998</v>
      </c>
      <c r="I49" s="224">
        <f t="shared" si="3"/>
        <v>1.2613756855710601</v>
      </c>
      <c r="J49" s="132">
        <v>1516890429.4000001</v>
      </c>
      <c r="K49" s="224">
        <f t="shared" si="7"/>
        <v>0.63358155603905342</v>
      </c>
      <c r="L49" s="132">
        <v>2477964228</v>
      </c>
      <c r="M49" s="224">
        <f t="shared" ref="M49:M57" si="8">+(N49-J49)/J49</f>
        <v>-4.0990182411918971E-2</v>
      </c>
      <c r="N49" s="132">
        <v>1454712814</v>
      </c>
      <c r="O49" s="224" t="e">
        <f t="shared" ref="O49:O57" si="9">+(P49-L49)/L49</f>
        <v>#REF!</v>
      </c>
      <c r="P49" s="132" t="e">
        <f>+'320303'!#REF!</f>
        <v>#REF!</v>
      </c>
    </row>
    <row r="50" spans="1:17" ht="15" customHeight="1">
      <c r="A50" s="259">
        <v>36</v>
      </c>
      <c r="B50" s="260" t="s">
        <v>40</v>
      </c>
      <c r="C50" s="24" t="s">
        <v>202</v>
      </c>
      <c r="D50" s="22">
        <v>100</v>
      </c>
      <c r="E50" s="22">
        <v>100</v>
      </c>
      <c r="F50" s="22">
        <v>100</v>
      </c>
      <c r="G50" s="22">
        <v>100</v>
      </c>
      <c r="H50" s="132">
        <v>4623119916.3999996</v>
      </c>
      <c r="I50" s="224">
        <f t="shared" si="3"/>
        <v>0.44475246569011972</v>
      </c>
      <c r="J50" s="132">
        <v>6679263898.3999996</v>
      </c>
      <c r="K50" s="224">
        <f t="shared" si="7"/>
        <v>-0.22642635826416169</v>
      </c>
      <c r="L50" s="132">
        <v>5166902498</v>
      </c>
      <c r="M50" s="224">
        <f t="shared" si="8"/>
        <v>-0.11758289556250837</v>
      </c>
      <c r="N50" s="132">
        <v>5893896709</v>
      </c>
      <c r="O50" s="224" t="e">
        <f t="shared" si="9"/>
        <v>#REF!</v>
      </c>
      <c r="P50" s="132" t="e">
        <f>+'320303'!#REF!</f>
        <v>#REF!</v>
      </c>
    </row>
    <row r="51" spans="1:17" ht="89.25">
      <c r="A51" s="239">
        <v>37</v>
      </c>
      <c r="B51" s="81" t="s">
        <v>234</v>
      </c>
      <c r="C51" s="82" t="s">
        <v>199</v>
      </c>
      <c r="D51" s="82">
        <v>1</v>
      </c>
      <c r="E51" s="82">
        <v>1</v>
      </c>
      <c r="F51" s="82">
        <v>1</v>
      </c>
      <c r="G51" s="82">
        <v>1</v>
      </c>
      <c r="H51" s="132">
        <v>3576963272</v>
      </c>
      <c r="I51" s="224">
        <f t="shared" si="3"/>
        <v>-0.42331310384223592</v>
      </c>
      <c r="J51" s="132">
        <v>2062787847</v>
      </c>
      <c r="K51" s="224">
        <f t="shared" si="7"/>
        <v>0.27338744060382281</v>
      </c>
      <c r="L51" s="132">
        <v>2626728137</v>
      </c>
      <c r="M51" s="224">
        <f t="shared" si="8"/>
        <v>2.9885766046982145E-2</v>
      </c>
      <c r="N51" s="132">
        <v>2124435842</v>
      </c>
      <c r="O51" s="224">
        <f t="shared" si="9"/>
        <v>-0.27990798497587149</v>
      </c>
      <c r="P51" s="132">
        <f>+'320303'!H10</f>
        <v>1891485957.092905</v>
      </c>
    </row>
    <row r="52" spans="1:17" ht="15.75">
      <c r="A52" s="2058" t="s">
        <v>180</v>
      </c>
      <c r="B52" s="2059"/>
      <c r="C52" s="2059"/>
      <c r="D52" s="2059"/>
      <c r="E52" s="2059"/>
      <c r="F52" s="2059"/>
      <c r="G52" s="2059"/>
      <c r="H52" s="133">
        <f>SUM(H53:H59)</f>
        <v>2750155284</v>
      </c>
      <c r="I52" s="272">
        <f>+(J52-H52)/H52</f>
        <v>0.14155983884435822</v>
      </c>
      <c r="J52" s="133">
        <f>SUM(J53:J59)</f>
        <v>3139466822.8000002</v>
      </c>
      <c r="K52" s="272">
        <f t="shared" si="7"/>
        <v>-0.15000082067438375</v>
      </c>
      <c r="L52" s="133">
        <f>SUM(L53:L59)</f>
        <v>2668544222.9000001</v>
      </c>
      <c r="M52" s="272">
        <f>+(N52-L52)/L52</f>
        <v>8.2336208714287262E-2</v>
      </c>
      <c r="N52" s="133">
        <f>+SUM(N53:N59)</f>
        <v>2888262037</v>
      </c>
      <c r="O52" s="272" t="e">
        <f>+(P52-N52)/N52</f>
        <v>#REF!</v>
      </c>
      <c r="P52" s="133" t="e">
        <f>+SUM(P53:P59)</f>
        <v>#REF!</v>
      </c>
      <c r="Q52" s="33"/>
    </row>
    <row r="53" spans="1:17" ht="38.25">
      <c r="A53" s="240">
        <v>38</v>
      </c>
      <c r="B53" s="27" t="s">
        <v>45</v>
      </c>
      <c r="C53" s="24" t="s">
        <v>202</v>
      </c>
      <c r="D53" s="22">
        <v>100</v>
      </c>
      <c r="E53" s="22">
        <v>100</v>
      </c>
      <c r="F53" s="22">
        <v>100</v>
      </c>
      <c r="G53" s="22">
        <v>100</v>
      </c>
      <c r="H53" s="132">
        <v>26400000</v>
      </c>
      <c r="I53" s="224">
        <f t="shared" si="3"/>
        <v>-0.74899998484848496</v>
      </c>
      <c r="J53" s="132">
        <v>6626400.4000000004</v>
      </c>
      <c r="K53" s="224">
        <f t="shared" si="7"/>
        <v>0.56869990530605408</v>
      </c>
      <c r="L53" s="132">
        <v>10394833.68</v>
      </c>
      <c r="M53" s="224">
        <f t="shared" si="8"/>
        <v>-0.41435202134781957</v>
      </c>
      <c r="N53" s="132">
        <v>3880738</v>
      </c>
      <c r="O53" s="224" t="e">
        <f t="shared" si="9"/>
        <v>#REF!</v>
      </c>
      <c r="P53" s="132" t="e">
        <f>+#REF!</f>
        <v>#REF!</v>
      </c>
    </row>
    <row r="54" spans="1:17" ht="38.25">
      <c r="A54" s="240">
        <v>39</v>
      </c>
      <c r="B54" s="27" t="s">
        <v>47</v>
      </c>
      <c r="C54" s="24" t="s">
        <v>202</v>
      </c>
      <c r="D54" s="22">
        <v>100</v>
      </c>
      <c r="E54" s="22">
        <v>100</v>
      </c>
      <c r="F54" s="22">
        <v>100</v>
      </c>
      <c r="G54" s="22">
        <v>100</v>
      </c>
      <c r="H54" s="132">
        <v>26400000</v>
      </c>
      <c r="I54" s="224">
        <f t="shared" si="3"/>
        <v>-0.74899998484848496</v>
      </c>
      <c r="J54" s="132">
        <v>6626400.4000000004</v>
      </c>
      <c r="K54" s="224">
        <f t="shared" si="7"/>
        <v>4.5799936870702794E-2</v>
      </c>
      <c r="L54" s="132">
        <v>6929889.1200000001</v>
      </c>
      <c r="M54" s="224">
        <f t="shared" si="8"/>
        <v>0.17129595730436084</v>
      </c>
      <c r="N54" s="132">
        <v>7761476</v>
      </c>
      <c r="O54" s="224" t="e">
        <f t="shared" si="9"/>
        <v>#REF!</v>
      </c>
      <c r="P54" s="132" t="e">
        <f>+#REF!</f>
        <v>#REF!</v>
      </c>
    </row>
    <row r="55" spans="1:17" ht="25.5">
      <c r="A55" s="240">
        <v>40</v>
      </c>
      <c r="B55" s="27" t="s">
        <v>56</v>
      </c>
      <c r="C55" s="24" t="s">
        <v>202</v>
      </c>
      <c r="D55" s="22">
        <v>20</v>
      </c>
      <c r="E55" s="22">
        <v>60</v>
      </c>
      <c r="F55" s="22">
        <v>80</v>
      </c>
      <c r="G55" s="22">
        <v>100</v>
      </c>
      <c r="H55" s="132">
        <v>199288633</v>
      </c>
      <c r="I55" s="224">
        <f t="shared" si="3"/>
        <v>0.58995170085792104</v>
      </c>
      <c r="J55" s="132">
        <v>316859301</v>
      </c>
      <c r="K55" s="224">
        <f t="shared" si="7"/>
        <v>-0.99305685522546805</v>
      </c>
      <c r="L55" s="132">
        <v>2200000</v>
      </c>
      <c r="M55" s="224">
        <f t="shared" si="8"/>
        <v>-0.7035420462535199</v>
      </c>
      <c r="N55" s="132">
        <v>93935460</v>
      </c>
      <c r="O55" s="224" t="e">
        <f t="shared" si="9"/>
        <v>#REF!</v>
      </c>
      <c r="P55" s="132" t="e">
        <f>+#REF!</f>
        <v>#REF!</v>
      </c>
    </row>
    <row r="56" spans="1:17" ht="38.25">
      <c r="A56" s="240">
        <v>41</v>
      </c>
      <c r="B56" s="27" t="s">
        <v>57</v>
      </c>
      <c r="C56" s="24" t="s">
        <v>202</v>
      </c>
      <c r="D56" s="22">
        <v>20</v>
      </c>
      <c r="E56" s="22">
        <v>60</v>
      </c>
      <c r="F56" s="22">
        <v>80</v>
      </c>
      <c r="G56" s="22">
        <v>100</v>
      </c>
      <c r="H56" s="132">
        <v>324995200</v>
      </c>
      <c r="I56" s="224">
        <f t="shared" si="3"/>
        <v>1.2683338092377979E-2</v>
      </c>
      <c r="J56" s="132">
        <v>329117224</v>
      </c>
      <c r="K56" s="224">
        <f t="shared" si="7"/>
        <v>0.22244611239185708</v>
      </c>
      <c r="L56" s="132">
        <v>402328071</v>
      </c>
      <c r="M56" s="224">
        <f t="shared" si="8"/>
        <v>-0.34957226061192104</v>
      </c>
      <c r="N56" s="132">
        <v>214066972</v>
      </c>
      <c r="O56" s="224" t="e">
        <f t="shared" si="9"/>
        <v>#REF!</v>
      </c>
      <c r="P56" s="132" t="e">
        <f>+#REF!</f>
        <v>#REF!</v>
      </c>
    </row>
    <row r="57" spans="1:17" ht="57" customHeight="1">
      <c r="A57" s="239">
        <v>42</v>
      </c>
      <c r="B57" s="81" t="s">
        <v>58</v>
      </c>
      <c r="C57" s="82" t="s">
        <v>199</v>
      </c>
      <c r="D57" s="82">
        <v>1</v>
      </c>
      <c r="E57" s="82">
        <v>1</v>
      </c>
      <c r="F57" s="82">
        <v>1</v>
      </c>
      <c r="G57" s="82">
        <v>1</v>
      </c>
      <c r="H57" s="132">
        <v>1576566831</v>
      </c>
      <c r="I57" s="224">
        <f t="shared" si="3"/>
        <v>0.36430052168210303</v>
      </c>
      <c r="J57" s="132">
        <v>2150910950</v>
      </c>
      <c r="K57" s="224">
        <f t="shared" si="7"/>
        <v>-0.11883647200736046</v>
      </c>
      <c r="L57" s="132">
        <v>1895304281.0999999</v>
      </c>
      <c r="M57" s="224">
        <f t="shared" si="8"/>
        <v>3.9909188244171612E-2</v>
      </c>
      <c r="N57" s="132">
        <v>2236752060</v>
      </c>
      <c r="O57" s="224" t="e">
        <f t="shared" si="9"/>
        <v>#REF!</v>
      </c>
      <c r="P57" s="132" t="e">
        <f>+#REF!</f>
        <v>#REF!</v>
      </c>
    </row>
    <row r="58" spans="1:17" ht="38.25">
      <c r="A58" s="239">
        <v>43</v>
      </c>
      <c r="B58" s="81" t="s">
        <v>59</v>
      </c>
      <c r="C58" s="82" t="s">
        <v>199</v>
      </c>
      <c r="D58" s="82">
        <v>0</v>
      </c>
      <c r="E58" s="82">
        <v>0</v>
      </c>
      <c r="F58" s="82">
        <v>6</v>
      </c>
      <c r="G58" s="82">
        <v>7</v>
      </c>
      <c r="H58" s="132">
        <v>0</v>
      </c>
      <c r="I58" s="224"/>
      <c r="J58" s="132">
        <v>0</v>
      </c>
      <c r="K58" s="224"/>
      <c r="L58" s="132">
        <v>278658189</v>
      </c>
      <c r="M58" s="224"/>
      <c r="N58" s="132">
        <v>324103857</v>
      </c>
      <c r="O58" s="224"/>
      <c r="P58" s="132" t="e">
        <f>+#REF!</f>
        <v>#REF!</v>
      </c>
    </row>
    <row r="59" spans="1:17" ht="25.5">
      <c r="A59" s="83">
        <v>44</v>
      </c>
      <c r="B59" s="241" t="s">
        <v>3</v>
      </c>
      <c r="C59" s="21" t="s">
        <v>202</v>
      </c>
      <c r="D59" s="21">
        <v>100</v>
      </c>
      <c r="E59" s="21">
        <v>100</v>
      </c>
      <c r="F59" s="21">
        <v>100</v>
      </c>
      <c r="G59" s="21">
        <v>100</v>
      </c>
      <c r="H59" s="132">
        <v>596504620</v>
      </c>
      <c r="I59" s="224">
        <f t="shared" si="3"/>
        <v>-0.44790612518642353</v>
      </c>
      <c r="J59" s="132">
        <v>329326547</v>
      </c>
      <c r="K59" s="224">
        <f>+(L59-J59)/J59</f>
        <v>-0.77915852923936924</v>
      </c>
      <c r="L59" s="132">
        <v>72728959</v>
      </c>
      <c r="M59" s="224">
        <f>+(N59-J59)/J59</f>
        <v>-0.97643228561224982</v>
      </c>
      <c r="N59" s="132">
        <v>7761474</v>
      </c>
      <c r="O59" s="224" t="e">
        <f>+(P59-L59)/L59</f>
        <v>#REF!</v>
      </c>
      <c r="P59" s="132" t="e">
        <f>+#REF!</f>
        <v>#REF!</v>
      </c>
    </row>
    <row r="60" spans="1:17" ht="16.5" customHeight="1">
      <c r="A60" s="2064" t="s">
        <v>297</v>
      </c>
      <c r="B60" s="2065"/>
      <c r="C60" s="2065"/>
      <c r="D60" s="2065"/>
      <c r="E60" s="2065"/>
      <c r="F60" s="2065"/>
      <c r="G60" s="2066"/>
      <c r="H60" s="271"/>
      <c r="I60" s="271"/>
      <c r="J60" s="271"/>
      <c r="K60" s="271"/>
      <c r="L60" s="271"/>
      <c r="M60" s="271"/>
      <c r="N60" s="271"/>
      <c r="O60" s="271"/>
      <c r="P60" s="271"/>
    </row>
    <row r="61" spans="1:17" ht="16.5" thickBot="1">
      <c r="A61" s="2060" t="s">
        <v>182</v>
      </c>
      <c r="B61" s="2061"/>
      <c r="C61" s="2061"/>
      <c r="D61" s="2061"/>
      <c r="E61" s="2061"/>
      <c r="F61" s="2061"/>
      <c r="G61" s="2061"/>
      <c r="H61" s="133">
        <f>SUM(H62:H63)</f>
        <v>227759591</v>
      </c>
      <c r="I61" s="272">
        <f>+(J61-H61)/H61</f>
        <v>0.18300395964444807</v>
      </c>
      <c r="J61" s="133">
        <f>SUM(J62:J63)</f>
        <v>269440498</v>
      </c>
      <c r="K61" s="272">
        <f>+(L61-J61)/J61</f>
        <v>-5.1257596799720744E-2</v>
      </c>
      <c r="L61" s="133">
        <f>SUM(L62:L63)</f>
        <v>255629625.59200004</v>
      </c>
      <c r="M61" s="272">
        <f>+(N61-L61)/L61</f>
        <v>0.38990430071309851</v>
      </c>
      <c r="N61" s="133">
        <f>+SUM(N62:N63)</f>
        <v>355300716</v>
      </c>
      <c r="O61" s="272">
        <f>+(P61-N61)/N61</f>
        <v>0.49593526797170867</v>
      </c>
      <c r="P61" s="133">
        <f>+SUM(P62:P63)</f>
        <v>531506871.79999995</v>
      </c>
    </row>
    <row r="62" spans="1:17" ht="51.75" thickBot="1">
      <c r="A62" s="84">
        <v>45</v>
      </c>
      <c r="B62" s="80" t="s">
        <v>54</v>
      </c>
      <c r="C62" s="79" t="s">
        <v>202</v>
      </c>
      <c r="D62" s="85">
        <v>1</v>
      </c>
      <c r="E62" s="85">
        <v>1</v>
      </c>
      <c r="F62" s="85">
        <v>1</v>
      </c>
      <c r="G62" s="85">
        <v>1</v>
      </c>
      <c r="H62" s="132">
        <v>191281761</v>
      </c>
      <c r="I62" s="224">
        <f t="shared" si="3"/>
        <v>-2.9932090598015774E-2</v>
      </c>
      <c r="J62" s="132">
        <v>185556298</v>
      </c>
      <c r="K62" s="224">
        <f>+(L62-J62)/J62</f>
        <v>8.9617990718913978E-2</v>
      </c>
      <c r="L62" s="369">
        <v>202185480.59200004</v>
      </c>
      <c r="M62" s="224">
        <f>+(N62-J62)/J62</f>
        <v>0.54879042693554925</v>
      </c>
      <c r="N62" s="132">
        <v>287387818</v>
      </c>
      <c r="O62" s="224">
        <f>+(P62-L62)/L62</f>
        <v>-0.7368144287898708</v>
      </c>
      <c r="P62" s="132">
        <f>+'320401'!I10</f>
        <v>53212301.200000003</v>
      </c>
    </row>
    <row r="63" spans="1:17" ht="26.25" thickBot="1">
      <c r="A63" s="86">
        <v>46</v>
      </c>
      <c r="B63" s="242" t="s">
        <v>55</v>
      </c>
      <c r="C63" s="87" t="s">
        <v>202</v>
      </c>
      <c r="D63" s="88">
        <v>0.9</v>
      </c>
      <c r="E63" s="88">
        <v>0.9</v>
      </c>
      <c r="F63" s="88">
        <v>0.9</v>
      </c>
      <c r="G63" s="88">
        <v>0.9</v>
      </c>
      <c r="H63" s="132">
        <v>36477830</v>
      </c>
      <c r="I63" s="224">
        <f t="shared" si="3"/>
        <v>1.2995940273859492</v>
      </c>
      <c r="J63" s="132">
        <v>83884200</v>
      </c>
      <c r="K63" s="224">
        <f>+(L63-J63)/J63</f>
        <v>-0.36288186571487835</v>
      </c>
      <c r="L63" s="369">
        <v>53444145</v>
      </c>
      <c r="M63" s="224">
        <f>+(N63-J63)/J63</f>
        <v>-0.19039702351575147</v>
      </c>
      <c r="N63" s="132">
        <v>67912898</v>
      </c>
      <c r="O63" s="224">
        <f>+(P63-L63)/L63</f>
        <v>7.9494288027247881</v>
      </c>
      <c r="P63" s="132">
        <f>+'320401'!I12</f>
        <v>478294570.59999996</v>
      </c>
    </row>
    <row r="64" spans="1:17" ht="15.75">
      <c r="A64" s="2055" t="s">
        <v>298</v>
      </c>
      <c r="B64" s="2056"/>
      <c r="C64" s="2056"/>
      <c r="D64" s="2056"/>
      <c r="E64" s="2056"/>
      <c r="F64" s="2056"/>
      <c r="G64" s="2057"/>
      <c r="H64" s="270"/>
      <c r="I64" s="270"/>
      <c r="J64" s="270"/>
      <c r="K64" s="270"/>
      <c r="L64" s="270"/>
      <c r="M64" s="270"/>
      <c r="N64" s="270"/>
      <c r="O64" s="270"/>
      <c r="P64" s="270"/>
    </row>
    <row r="65" spans="1:16" ht="15.75">
      <c r="A65" s="2053" t="s">
        <v>299</v>
      </c>
      <c r="B65" s="2054"/>
      <c r="C65" s="2054"/>
      <c r="D65" s="2054"/>
      <c r="E65" s="2054"/>
      <c r="F65" s="2054"/>
      <c r="G65" s="2054"/>
      <c r="H65" s="133">
        <f>SUM(H66:H67)</f>
        <v>139387741</v>
      </c>
      <c r="I65" s="272">
        <f>+(J65-H65)/H65</f>
        <v>0.65080339453955283</v>
      </c>
      <c r="J65" s="133">
        <f>SUM(J66:J67)</f>
        <v>230101756</v>
      </c>
      <c r="K65" s="272">
        <f t="shared" ref="K65:K72" si="10">+(L65-J65)/J65</f>
        <v>1.5924571866370285</v>
      </c>
      <c r="L65" s="133">
        <f>SUM(L66:L67)</f>
        <v>596528951</v>
      </c>
      <c r="M65" s="272">
        <f>+(N65-L65)/L65</f>
        <v>-0.28885328987159248</v>
      </c>
      <c r="N65" s="133">
        <f>+SUM(N66:N67)</f>
        <v>424219601</v>
      </c>
      <c r="O65" s="272" t="e">
        <f>+(P65-N65)/N65</f>
        <v>#REF!</v>
      </c>
      <c r="P65" s="133" t="e">
        <f>+SUM(P66:P67)</f>
        <v>#REF!</v>
      </c>
    </row>
    <row r="66" spans="1:16" ht="89.25">
      <c r="A66" s="240">
        <v>47</v>
      </c>
      <c r="B66" s="27" t="s">
        <v>1</v>
      </c>
      <c r="C66" s="74" t="s">
        <v>202</v>
      </c>
      <c r="D66" s="74">
        <v>100</v>
      </c>
      <c r="E66" s="74">
        <v>100</v>
      </c>
      <c r="F66" s="74">
        <v>100</v>
      </c>
      <c r="G66" s="74">
        <v>100</v>
      </c>
      <c r="H66" s="132">
        <v>122413704</v>
      </c>
      <c r="I66" s="224">
        <f t="shared" si="3"/>
        <v>6.0544250829956098E-2</v>
      </c>
      <c r="J66" s="132">
        <v>129825150</v>
      </c>
      <c r="K66" s="224">
        <f t="shared" si="10"/>
        <v>2.80956611257526</v>
      </c>
      <c r="L66" s="132">
        <v>494577492</v>
      </c>
      <c r="M66" s="224">
        <f t="shared" ref="M66:M72" si="11">+(N66-J66)/J66</f>
        <v>1.4296165881572254</v>
      </c>
      <c r="N66" s="132">
        <v>315425338</v>
      </c>
      <c r="O66" s="224">
        <f t="shared" ref="O66:O72" si="12">+(P66-L66)/L66</f>
        <v>-0.25293675244851438</v>
      </c>
      <c r="P66" s="132">
        <f>+'320501'!G10</f>
        <v>369480667.33938891</v>
      </c>
    </row>
    <row r="67" spans="1:16" ht="25.5">
      <c r="A67" s="90">
        <v>48</v>
      </c>
      <c r="B67" s="89" t="s">
        <v>0</v>
      </c>
      <c r="C67" s="17" t="s">
        <v>238</v>
      </c>
      <c r="D67" s="17">
        <v>1</v>
      </c>
      <c r="E67" s="17">
        <v>1</v>
      </c>
      <c r="F67" s="17">
        <v>1</v>
      </c>
      <c r="G67" s="17">
        <v>1</v>
      </c>
      <c r="H67" s="132">
        <v>16974037</v>
      </c>
      <c r="I67" s="224">
        <f t="shared" si="3"/>
        <v>4.9076462482083665</v>
      </c>
      <c r="J67" s="132">
        <v>100276606</v>
      </c>
      <c r="K67" s="224">
        <f t="shared" si="10"/>
        <v>1.6702330352106252E-2</v>
      </c>
      <c r="L67" s="132">
        <v>101951459</v>
      </c>
      <c r="M67" s="224">
        <f t="shared" si="11"/>
        <v>8.4941616392561189E-2</v>
      </c>
      <c r="N67" s="132">
        <v>108794263</v>
      </c>
      <c r="O67" s="224" t="e">
        <f t="shared" si="12"/>
        <v>#REF!</v>
      </c>
      <c r="P67" s="132" t="e">
        <f>+'320501'!#REF!</f>
        <v>#REF!</v>
      </c>
    </row>
    <row r="68" spans="1:16" ht="15.75">
      <c r="A68" s="2060" t="s">
        <v>300</v>
      </c>
      <c r="B68" s="2061"/>
      <c r="C68" s="2061"/>
      <c r="D68" s="2061"/>
      <c r="E68" s="2061"/>
      <c r="F68" s="2061"/>
      <c r="G68" s="2061"/>
      <c r="H68" s="133">
        <f>SUM(H69:H70)</f>
        <v>1604055594</v>
      </c>
      <c r="I68" s="272">
        <f>+(J68-H68)/H68</f>
        <v>0.13077246560819636</v>
      </c>
      <c r="J68" s="133">
        <f>SUM(J69:J70)</f>
        <v>1813821899</v>
      </c>
      <c r="K68" s="272">
        <f t="shared" si="10"/>
        <v>0.54033037727702504</v>
      </c>
      <c r="L68" s="133">
        <f>SUM(L69:L70)</f>
        <v>2793884970</v>
      </c>
      <c r="M68" s="272">
        <f>+(N68-L68)/L68</f>
        <v>0.17664800458839219</v>
      </c>
      <c r="N68" s="133">
        <f>+SUM(N69:N70)</f>
        <v>3287419175</v>
      </c>
      <c r="O68" s="272" t="e">
        <f>+(P68-N68)/N68</f>
        <v>#REF!</v>
      </c>
      <c r="P68" s="133" t="e">
        <f>+SUM(P69:P70)</f>
        <v>#REF!</v>
      </c>
    </row>
    <row r="69" spans="1:16" ht="30.75" customHeight="1">
      <c r="A69" s="261">
        <v>49</v>
      </c>
      <c r="B69" s="262" t="s">
        <v>301</v>
      </c>
      <c r="C69" s="17" t="s">
        <v>202</v>
      </c>
      <c r="D69" s="17">
        <v>100</v>
      </c>
      <c r="E69" s="17">
        <v>100</v>
      </c>
      <c r="F69" s="17">
        <v>100</v>
      </c>
      <c r="G69" s="17">
        <v>100</v>
      </c>
      <c r="H69" s="132">
        <v>1498230496</v>
      </c>
      <c r="I69" s="224">
        <f t="shared" si="3"/>
        <v>3.8883661196013997E-2</v>
      </c>
      <c r="J69" s="132">
        <v>1556487183</v>
      </c>
      <c r="K69" s="224">
        <f t="shared" si="10"/>
        <v>-0.52769603500165796</v>
      </c>
      <c r="L69" s="132">
        <v>735135068</v>
      </c>
      <c r="M69" s="224">
        <f t="shared" si="11"/>
        <v>-0.53474891415151471</v>
      </c>
      <c r="N69" s="132">
        <v>724157352</v>
      </c>
      <c r="O69" s="224">
        <f t="shared" si="12"/>
        <v>2.1313319337256806</v>
      </c>
      <c r="P69" s="132">
        <f>+'320502'!J10</f>
        <v>2301951914.0299997</v>
      </c>
    </row>
    <row r="70" spans="1:16" ht="27.75" customHeight="1">
      <c r="A70" s="90">
        <v>50</v>
      </c>
      <c r="B70" s="89" t="s">
        <v>302</v>
      </c>
      <c r="C70" s="17" t="s">
        <v>202</v>
      </c>
      <c r="D70" s="17">
        <v>100</v>
      </c>
      <c r="E70" s="17">
        <v>100</v>
      </c>
      <c r="F70" s="17">
        <v>100</v>
      </c>
      <c r="G70" s="17">
        <v>100</v>
      </c>
      <c r="H70" s="132">
        <v>105825098</v>
      </c>
      <c r="I70" s="224">
        <f t="shared" si="3"/>
        <v>1.4316983481555576</v>
      </c>
      <c r="J70" s="132">
        <v>257334716</v>
      </c>
      <c r="K70" s="224">
        <f t="shared" si="10"/>
        <v>7.0002804674049495</v>
      </c>
      <c r="L70" s="132">
        <v>2058749902</v>
      </c>
      <c r="M70" s="224">
        <f t="shared" si="11"/>
        <v>8.9608084864849715</v>
      </c>
      <c r="N70" s="132">
        <v>2563261823</v>
      </c>
      <c r="O70" s="224" t="e">
        <f t="shared" si="12"/>
        <v>#REF!</v>
      </c>
      <c r="P70" s="132" t="e">
        <f>+'320502'!#REF!</f>
        <v>#REF!</v>
      </c>
    </row>
    <row r="71" spans="1:16" ht="15.75">
      <c r="A71" s="2060" t="s">
        <v>303</v>
      </c>
      <c r="B71" s="2061"/>
      <c r="C71" s="2061"/>
      <c r="D71" s="2061"/>
      <c r="E71" s="2061"/>
      <c r="F71" s="2061"/>
      <c r="G71" s="2061"/>
      <c r="H71" s="133">
        <f>SUM(H72:H73)</f>
        <v>200000000</v>
      </c>
      <c r="I71" s="272">
        <f>+(J71-H71)/H71</f>
        <v>0.65</v>
      </c>
      <c r="J71" s="133">
        <f>SUM(J72:J73)</f>
        <v>330000000</v>
      </c>
      <c r="K71" s="272">
        <f t="shared" si="10"/>
        <v>0.2895390575757576</v>
      </c>
      <c r="L71" s="133">
        <f>SUM(L72:L73)</f>
        <v>425547889</v>
      </c>
      <c r="M71" s="272">
        <f>+(N71-L71)/L71</f>
        <v>0.5740540167501571</v>
      </c>
      <c r="N71" s="133">
        <f>+SUM(N72:N73)</f>
        <v>669835364</v>
      </c>
      <c r="O71" s="272" t="e">
        <f>+(P71-N71)/N71</f>
        <v>#REF!</v>
      </c>
      <c r="P71" s="133" t="e">
        <f>+SUM(P72:P73)</f>
        <v>#REF!</v>
      </c>
    </row>
    <row r="72" spans="1:16" ht="25.5">
      <c r="A72" s="90">
        <v>51</v>
      </c>
      <c r="B72" s="89" t="s">
        <v>4</v>
      </c>
      <c r="C72" s="79" t="s">
        <v>304</v>
      </c>
      <c r="D72" s="8">
        <v>5</v>
      </c>
      <c r="E72" s="8">
        <v>5</v>
      </c>
      <c r="F72" s="8">
        <v>5</v>
      </c>
      <c r="G72" s="8">
        <v>5</v>
      </c>
      <c r="H72" s="132">
        <v>200000000</v>
      </c>
      <c r="I72" s="224">
        <f t="shared" ref="I72:I90" si="13">+(J72-H72)/H72</f>
        <v>0.37590000000000001</v>
      </c>
      <c r="J72" s="132">
        <v>275180000</v>
      </c>
      <c r="K72" s="224">
        <f t="shared" si="10"/>
        <v>0.12313027472926812</v>
      </c>
      <c r="L72" s="132">
        <v>309062989</v>
      </c>
      <c r="M72" s="224">
        <f t="shared" si="11"/>
        <v>0.92914534486517919</v>
      </c>
      <c r="N72" s="132">
        <v>530862216</v>
      </c>
      <c r="O72" s="224" t="e">
        <f t="shared" si="12"/>
        <v>#REF!</v>
      </c>
      <c r="P72" s="132" t="e">
        <f>+'320503'!#REF!</f>
        <v>#REF!</v>
      </c>
    </row>
    <row r="73" spans="1:16" ht="25.5">
      <c r="A73" s="90">
        <v>52</v>
      </c>
      <c r="B73" s="89" t="s">
        <v>0</v>
      </c>
      <c r="C73" s="79" t="s">
        <v>238</v>
      </c>
      <c r="D73" s="8">
        <v>1</v>
      </c>
      <c r="E73" s="8">
        <v>1</v>
      </c>
      <c r="F73" s="8">
        <v>1</v>
      </c>
      <c r="G73" s="8">
        <v>1</v>
      </c>
      <c r="H73" s="132">
        <v>0</v>
      </c>
      <c r="I73" s="224">
        <v>1</v>
      </c>
      <c r="J73" s="132">
        <v>54820000</v>
      </c>
      <c r="K73" s="224">
        <v>1</v>
      </c>
      <c r="L73" s="132">
        <v>116484900</v>
      </c>
      <c r="M73" s="224">
        <v>1</v>
      </c>
      <c r="N73" s="132">
        <v>138973148</v>
      </c>
      <c r="O73" s="224">
        <v>1</v>
      </c>
      <c r="P73" s="132" t="e">
        <f>+'320503'!#REF!</f>
        <v>#REF!</v>
      </c>
    </row>
    <row r="74" spans="1:16" ht="15.75">
      <c r="A74" s="2067" t="s">
        <v>778</v>
      </c>
      <c r="B74" s="2068"/>
      <c r="C74" s="2068"/>
      <c r="D74" s="2068"/>
      <c r="E74" s="2068"/>
      <c r="F74" s="2068"/>
      <c r="G74" s="2068"/>
      <c r="H74" s="367"/>
      <c r="I74" s="368"/>
      <c r="J74" s="367">
        <v>3926666100</v>
      </c>
      <c r="K74" s="368"/>
      <c r="L74" s="367">
        <v>2436712259</v>
      </c>
      <c r="M74" s="368"/>
      <c r="N74" s="367">
        <v>0</v>
      </c>
      <c r="O74" s="368"/>
      <c r="P74" s="367">
        <v>0</v>
      </c>
    </row>
    <row r="75" spans="1:16" ht="15.75">
      <c r="A75" s="2076" t="s">
        <v>184</v>
      </c>
      <c r="B75" s="2077"/>
      <c r="C75" s="2077"/>
      <c r="D75" s="2077"/>
      <c r="E75" s="2077"/>
      <c r="F75" s="2077"/>
      <c r="G75" s="2078"/>
      <c r="H75" s="270"/>
      <c r="I75" s="270"/>
      <c r="J75" s="270"/>
      <c r="K75" s="270"/>
      <c r="L75" s="270"/>
      <c r="M75" s="270"/>
      <c r="N75" s="270"/>
      <c r="O75" s="270"/>
      <c r="P75" s="270"/>
    </row>
    <row r="76" spans="1:16" ht="15.75">
      <c r="A76" s="2060" t="s">
        <v>305</v>
      </c>
      <c r="B76" s="2061"/>
      <c r="C76" s="2061"/>
      <c r="D76" s="2061"/>
      <c r="E76" s="2061"/>
      <c r="F76" s="2061"/>
      <c r="G76" s="2061"/>
      <c r="H76" s="133">
        <f>SUM(H77:H78)</f>
        <v>160416014</v>
      </c>
      <c r="I76" s="272">
        <f>+(J76-H76)/H76</f>
        <v>1.67024890046202</v>
      </c>
      <c r="J76" s="133">
        <f>SUM(J77:J78)</f>
        <v>428350685</v>
      </c>
      <c r="K76" s="272">
        <f>+(L76-J76)/J76</f>
        <v>-0.35158268744218302</v>
      </c>
      <c r="L76" s="133">
        <f>SUM(L77:L78)</f>
        <v>277750000</v>
      </c>
      <c r="M76" s="272">
        <f>+(N76-L76)/L76</f>
        <v>18.176831603960395</v>
      </c>
      <c r="N76" s="133">
        <f>+SUM(N77:N78)</f>
        <v>5326364978</v>
      </c>
      <c r="O76" s="272">
        <f>+(P76-N76)/N76</f>
        <v>-6.7241704496202814E-2</v>
      </c>
      <c r="P76" s="133">
        <f>+SUM(P77:P78)</f>
        <v>4968211118.1104002</v>
      </c>
    </row>
    <row r="77" spans="1:16" ht="76.5">
      <c r="A77" s="240">
        <v>53</v>
      </c>
      <c r="B77" s="27" t="s">
        <v>2</v>
      </c>
      <c r="C77" s="21" t="s">
        <v>202</v>
      </c>
      <c r="D77" s="21">
        <v>100</v>
      </c>
      <c r="E77" s="21">
        <v>100</v>
      </c>
      <c r="F77" s="21">
        <v>100</v>
      </c>
      <c r="G77" s="21">
        <v>100</v>
      </c>
      <c r="H77" s="132">
        <v>49285263</v>
      </c>
      <c r="I77" s="224">
        <f t="shared" si="13"/>
        <v>6.4414170012646581</v>
      </c>
      <c r="J77" s="132">
        <v>366752194</v>
      </c>
      <c r="K77" s="224">
        <f>+(L77-J77)/J77</f>
        <v>-0.40013992118067604</v>
      </c>
      <c r="L77" s="132">
        <v>220000000</v>
      </c>
      <c r="M77" s="224">
        <f>+(N77-J77)/J77</f>
        <v>-0.83969552749287713</v>
      </c>
      <c r="N77" s="132">
        <v>58792017</v>
      </c>
      <c r="O77" s="224">
        <f>+(P77-L77)/L77</f>
        <v>-0.88156552113454545</v>
      </c>
      <c r="P77" s="132">
        <f>+'320601'!J10</f>
        <v>26055585.350400001</v>
      </c>
    </row>
    <row r="78" spans="1:16" ht="36" customHeight="1">
      <c r="A78" s="263">
        <v>54</v>
      </c>
      <c r="B78" s="264" t="s">
        <v>12</v>
      </c>
      <c r="C78" s="8" t="s">
        <v>202</v>
      </c>
      <c r="D78" s="8">
        <v>100</v>
      </c>
      <c r="E78" s="8">
        <v>100</v>
      </c>
      <c r="F78" s="8">
        <v>100</v>
      </c>
      <c r="G78" s="8">
        <v>100</v>
      </c>
      <c r="H78" s="132">
        <v>111130751</v>
      </c>
      <c r="I78" s="224">
        <f t="shared" si="13"/>
        <v>-0.44571155647098976</v>
      </c>
      <c r="J78" s="132">
        <v>61598491</v>
      </c>
      <c r="K78" s="224">
        <f>+(L78-J78)/J78</f>
        <v>-6.2477033731232152E-2</v>
      </c>
      <c r="L78" s="132">
        <v>57750000</v>
      </c>
      <c r="M78" s="224">
        <f>+(N78-J78)/J78</f>
        <v>84.514642899287907</v>
      </c>
      <c r="N78" s="132">
        <v>5267572961</v>
      </c>
      <c r="O78" s="224">
        <f>+(P78-L78)/L78</f>
        <v>84.578450783722943</v>
      </c>
      <c r="P78" s="132">
        <f>+'320601'!J12</f>
        <v>4942155532.7600002</v>
      </c>
    </row>
    <row r="79" spans="1:16" ht="15.75">
      <c r="A79" s="2055" t="s">
        <v>306</v>
      </c>
      <c r="B79" s="2056"/>
      <c r="C79" s="2056"/>
      <c r="D79" s="2056"/>
      <c r="E79" s="2056"/>
      <c r="F79" s="2056"/>
      <c r="G79" s="2057"/>
      <c r="H79" s="270"/>
      <c r="I79" s="270"/>
      <c r="J79" s="270"/>
      <c r="K79" s="270"/>
      <c r="L79" s="270"/>
      <c r="M79" s="270"/>
      <c r="N79" s="270"/>
      <c r="O79" s="270"/>
      <c r="P79" s="270"/>
    </row>
    <row r="80" spans="1:16" ht="15.75">
      <c r="A80" s="2060" t="s">
        <v>186</v>
      </c>
      <c r="B80" s="2061"/>
      <c r="C80" s="2061"/>
      <c r="D80" s="2061"/>
      <c r="E80" s="2061"/>
      <c r="F80" s="2061"/>
      <c r="G80" s="2061"/>
      <c r="H80" s="133">
        <f>SUM(H81:H82)</f>
        <v>726656802</v>
      </c>
      <c r="I80" s="272">
        <f>+(J80-H80)/H80</f>
        <v>0.50571535336704942</v>
      </c>
      <c r="J80" s="133">
        <f>SUM(J81:J82)</f>
        <v>1094138303.4000001</v>
      </c>
      <c r="K80" s="272">
        <f>+(L80-J80)/J80</f>
        <v>0.2862615164422182</v>
      </c>
      <c r="L80" s="133">
        <f>SUM(L81:L82)</f>
        <v>1407347993.3288</v>
      </c>
      <c r="M80" s="272">
        <f>+(N80-L80)/L80</f>
        <v>3.3570991020466008</v>
      </c>
      <c r="N80" s="133">
        <f>+SUM(N81:N82)</f>
        <v>6131954678</v>
      </c>
      <c r="O80" s="272" t="e">
        <f>+(P80-N80)/N80</f>
        <v>#REF!</v>
      </c>
      <c r="P80" s="133" t="e">
        <f>+SUM(P81:P82)</f>
        <v>#REF!</v>
      </c>
    </row>
    <row r="81" spans="1:16" ht="25.5">
      <c r="A81" s="236">
        <v>55</v>
      </c>
      <c r="B81" s="19" t="s">
        <v>239</v>
      </c>
      <c r="C81" s="74" t="s">
        <v>202</v>
      </c>
      <c r="D81" s="74">
        <v>100</v>
      </c>
      <c r="E81" s="74">
        <v>100</v>
      </c>
      <c r="F81" s="74">
        <v>100</v>
      </c>
      <c r="G81" s="74">
        <v>100</v>
      </c>
      <c r="H81" s="132">
        <v>701093902</v>
      </c>
      <c r="I81" s="224">
        <f t="shared" si="13"/>
        <v>0.36696835283556634</v>
      </c>
      <c r="J81" s="132">
        <v>958373176.39999998</v>
      </c>
      <c r="K81" s="224">
        <f>+(L81-J81)/J81</f>
        <v>0.36614643185958851</v>
      </c>
      <c r="L81" s="132">
        <v>1309278095.3288</v>
      </c>
      <c r="M81" s="224">
        <f>+(N81-J81)/J81</f>
        <v>5.2712110094486997</v>
      </c>
      <c r="N81" s="132">
        <v>6010160415</v>
      </c>
      <c r="O81" s="224">
        <f>+(P81-L81)/L81</f>
        <v>-0.84410362876441369</v>
      </c>
      <c r="P81" s="132">
        <f>+'320801'!I10</f>
        <v>204111704</v>
      </c>
    </row>
    <row r="82" spans="1:16" ht="25.5">
      <c r="A82" s="11">
        <v>56</v>
      </c>
      <c r="B82" s="91" t="s">
        <v>0</v>
      </c>
      <c r="C82" s="12" t="s">
        <v>238</v>
      </c>
      <c r="D82" s="12">
        <v>1</v>
      </c>
      <c r="E82" s="12">
        <v>1</v>
      </c>
      <c r="F82" s="12">
        <v>1</v>
      </c>
      <c r="G82" s="12">
        <v>1</v>
      </c>
      <c r="H82" s="132">
        <v>25562900</v>
      </c>
      <c r="I82" s="224">
        <f t="shared" si="13"/>
        <v>4.3110221062555496</v>
      </c>
      <c r="J82" s="132">
        <v>135765127</v>
      </c>
      <c r="K82" s="224">
        <f>+(L82-J82)/J82</f>
        <v>-0.27765030558988835</v>
      </c>
      <c r="L82" s="132">
        <v>98069898</v>
      </c>
      <c r="M82" s="224">
        <f>+(N82-J82)/J82</f>
        <v>-0.10290465827796853</v>
      </c>
      <c r="N82" s="132">
        <v>121794263</v>
      </c>
      <c r="O82" s="224" t="e">
        <f>+(P82-L82)/L82</f>
        <v>#REF!</v>
      </c>
      <c r="P82" s="132" t="e">
        <f>+'320801'!#REF!</f>
        <v>#REF!</v>
      </c>
    </row>
    <row r="83" spans="1:16" ht="15.75">
      <c r="A83" s="2055" t="s">
        <v>307</v>
      </c>
      <c r="B83" s="2056"/>
      <c r="C83" s="2056"/>
      <c r="D83" s="2056"/>
      <c r="E83" s="2056"/>
      <c r="F83" s="2056"/>
      <c r="G83" s="2057"/>
      <c r="H83" s="270"/>
      <c r="I83" s="270"/>
      <c r="J83" s="270"/>
      <c r="K83" s="270"/>
      <c r="L83" s="270"/>
      <c r="M83" s="270"/>
      <c r="N83" s="270"/>
      <c r="O83" s="270"/>
      <c r="P83" s="270"/>
    </row>
    <row r="84" spans="1:16" ht="15.75">
      <c r="A84" s="2060" t="s">
        <v>308</v>
      </c>
      <c r="B84" s="2061"/>
      <c r="C84" s="2061"/>
      <c r="D84" s="2061"/>
      <c r="E84" s="2061"/>
      <c r="F84" s="2061"/>
      <c r="G84" s="2061"/>
      <c r="H84" s="133">
        <f>SUM(H85:H90)</f>
        <v>877773853</v>
      </c>
      <c r="I84" s="272">
        <f>+(J84-H84)/H84</f>
        <v>2.0183984044920056</v>
      </c>
      <c r="J84" s="133">
        <f>SUM(J85:J90)</f>
        <v>2649471197.4000001</v>
      </c>
      <c r="K84" s="272">
        <f t="shared" ref="K84:K91" si="14">+(L84-J84)/J84</f>
        <v>-0.17601581956075521</v>
      </c>
      <c r="L84" s="133">
        <f>SUM(L85:L90)</f>
        <v>2183122353.1870236</v>
      </c>
      <c r="M84" s="272">
        <f>+(N84-L84)/L84</f>
        <v>-6.5664757166609786E-2</v>
      </c>
      <c r="N84" s="133">
        <f>+SUM(N85:N90)</f>
        <v>2039768154</v>
      </c>
      <c r="O84" s="272" t="e">
        <f>+(P84-N84)/N84</f>
        <v>#REF!</v>
      </c>
      <c r="P84" s="133" t="e">
        <f>+SUM(P85:P90)</f>
        <v>#REF!</v>
      </c>
    </row>
    <row r="85" spans="1:16" ht="38.25">
      <c r="A85" s="92">
        <v>57</v>
      </c>
      <c r="B85" s="243" t="s">
        <v>6</v>
      </c>
      <c r="C85" s="12" t="s">
        <v>202</v>
      </c>
      <c r="D85" s="12">
        <v>25</v>
      </c>
      <c r="E85" s="12">
        <v>50</v>
      </c>
      <c r="F85" s="12">
        <v>75</v>
      </c>
      <c r="G85" s="12">
        <v>100</v>
      </c>
      <c r="H85" s="132">
        <v>268297197</v>
      </c>
      <c r="I85" s="224">
        <f t="shared" si="13"/>
        <v>-1.8303357824494878E-2</v>
      </c>
      <c r="J85" s="132">
        <v>263386457.40000001</v>
      </c>
      <c r="K85" s="224">
        <f t="shared" si="14"/>
        <v>0.59497340524236064</v>
      </c>
      <c r="L85" s="132">
        <v>420094394.85399997</v>
      </c>
      <c r="M85" s="224">
        <f t="shared" ref="M85:M90" si="15">+(N85-J85)/J85</f>
        <v>0.7727572047901351</v>
      </c>
      <c r="N85" s="132">
        <v>466920240</v>
      </c>
      <c r="O85" s="224">
        <f t="shared" ref="O85:O90" si="16">+(P85-L85)/L85</f>
        <v>0.28901807162340049</v>
      </c>
      <c r="P85" s="132">
        <v>541509266.75450242</v>
      </c>
    </row>
    <row r="86" spans="1:16" ht="25.5">
      <c r="A86" s="92">
        <v>58</v>
      </c>
      <c r="B86" s="243" t="s">
        <v>7</v>
      </c>
      <c r="C86" s="12" t="s">
        <v>202</v>
      </c>
      <c r="D86" s="12">
        <v>5</v>
      </c>
      <c r="E86" s="12">
        <v>40</v>
      </c>
      <c r="F86" s="12">
        <v>70</v>
      </c>
      <c r="G86" s="12">
        <v>100</v>
      </c>
      <c r="H86" s="132">
        <v>8494925</v>
      </c>
      <c r="I86" s="224">
        <f t="shared" si="13"/>
        <v>1.1687510366483516</v>
      </c>
      <c r="J86" s="132">
        <v>18423377.399999999</v>
      </c>
      <c r="K86" s="224">
        <f t="shared" si="14"/>
        <v>8.9919593136055589E-2</v>
      </c>
      <c r="L86" s="132">
        <v>20080000</v>
      </c>
      <c r="M86" s="224">
        <f t="shared" si="15"/>
        <v>0.28174544152800135</v>
      </c>
      <c r="N86" s="132">
        <v>23614080</v>
      </c>
      <c r="O86" s="224">
        <f t="shared" si="16"/>
        <v>33.924193598972074</v>
      </c>
      <c r="P86" s="132">
        <f>+'329901'!G12</f>
        <v>701277807.46735919</v>
      </c>
    </row>
    <row r="87" spans="1:16" ht="51" customHeight="1">
      <c r="A87" s="265">
        <v>59</v>
      </c>
      <c r="B87" s="266" t="s">
        <v>8</v>
      </c>
      <c r="C87" s="12" t="s">
        <v>202</v>
      </c>
      <c r="D87" s="12">
        <v>25</v>
      </c>
      <c r="E87" s="12">
        <v>50</v>
      </c>
      <c r="F87" s="12">
        <v>75</v>
      </c>
      <c r="G87" s="12">
        <v>100</v>
      </c>
      <c r="H87" s="132">
        <v>515401441</v>
      </c>
      <c r="I87" s="224">
        <f t="shared" si="13"/>
        <v>0.23070671857124289</v>
      </c>
      <c r="J87" s="132">
        <v>634308016.20000005</v>
      </c>
      <c r="K87" s="224">
        <f t="shared" si="14"/>
        <v>7.080316311005487E-2</v>
      </c>
      <c r="L87" s="132">
        <v>679219030.13302398</v>
      </c>
      <c r="M87" s="224">
        <f t="shared" si="15"/>
        <v>0.18090791992106617</v>
      </c>
      <c r="N87" s="132">
        <v>749059360</v>
      </c>
      <c r="O87" s="224">
        <f t="shared" si="16"/>
        <v>0.78371751589462668</v>
      </c>
      <c r="P87" s="132">
        <f>+'329901'!G14</f>
        <v>1211534881.1772351</v>
      </c>
    </row>
    <row r="88" spans="1:16" ht="38.25">
      <c r="A88" s="11">
        <v>60</v>
      </c>
      <c r="B88" s="91" t="s">
        <v>241</v>
      </c>
      <c r="C88" s="12" t="s">
        <v>202</v>
      </c>
      <c r="D88" s="12">
        <v>20</v>
      </c>
      <c r="E88" s="12">
        <v>60</v>
      </c>
      <c r="F88" s="12">
        <v>80</v>
      </c>
      <c r="G88" s="12">
        <v>100</v>
      </c>
      <c r="H88" s="132">
        <v>67000000</v>
      </c>
      <c r="I88" s="224">
        <f t="shared" si="13"/>
        <v>-0.4665307462686567</v>
      </c>
      <c r="J88" s="132">
        <v>35742440</v>
      </c>
      <c r="K88" s="224">
        <f t="shared" si="14"/>
        <v>1.26271538820517</v>
      </c>
      <c r="L88" s="132">
        <v>80874969</v>
      </c>
      <c r="M88" s="224">
        <f t="shared" si="15"/>
        <v>2.8707100858251424</v>
      </c>
      <c r="N88" s="132">
        <v>138348623</v>
      </c>
      <c r="O88" s="224" t="e">
        <f t="shared" si="16"/>
        <v>#REF!</v>
      </c>
      <c r="P88" s="132" t="e">
        <f>+'329901'!#REF!</f>
        <v>#REF!</v>
      </c>
    </row>
    <row r="89" spans="1:16" ht="51" customHeight="1">
      <c r="A89" s="267">
        <v>61</v>
      </c>
      <c r="B89" s="268" t="s">
        <v>9</v>
      </c>
      <c r="C89" s="12" t="s">
        <v>202</v>
      </c>
      <c r="D89" s="12">
        <v>100</v>
      </c>
      <c r="E89" s="12">
        <v>100</v>
      </c>
      <c r="F89" s="12">
        <v>100</v>
      </c>
      <c r="G89" s="12">
        <v>100</v>
      </c>
      <c r="H89" s="132">
        <v>14016000</v>
      </c>
      <c r="I89" s="224">
        <f t="shared" si="13"/>
        <v>102.12530767694065</v>
      </c>
      <c r="J89" s="132">
        <v>1445404312.4000001</v>
      </c>
      <c r="K89" s="224">
        <f t="shared" si="14"/>
        <v>-0.50974610901541417</v>
      </c>
      <c r="L89" s="132">
        <v>708615088.19999993</v>
      </c>
      <c r="M89" s="224">
        <f t="shared" si="15"/>
        <v>-0.77451312881526446</v>
      </c>
      <c r="N89" s="132">
        <v>325919696</v>
      </c>
      <c r="O89" s="224" t="e">
        <f t="shared" si="16"/>
        <v>#REF!</v>
      </c>
      <c r="P89" s="132" t="e">
        <f>+'329901'!#REF!</f>
        <v>#REF!</v>
      </c>
    </row>
    <row r="90" spans="1:16" ht="26.25" thickBot="1">
      <c r="A90" s="244">
        <v>62</v>
      </c>
      <c r="B90" s="245" t="s">
        <v>0</v>
      </c>
      <c r="C90" s="246" t="s">
        <v>238</v>
      </c>
      <c r="D90" s="246">
        <v>1</v>
      </c>
      <c r="E90" s="246">
        <v>1</v>
      </c>
      <c r="F90" s="246">
        <v>1</v>
      </c>
      <c r="G90" s="246">
        <v>1</v>
      </c>
      <c r="H90" s="247">
        <v>4564290</v>
      </c>
      <c r="I90" s="248">
        <f t="shared" si="13"/>
        <v>54.256478882805432</v>
      </c>
      <c r="J90" s="247">
        <v>252206594</v>
      </c>
      <c r="K90" s="248">
        <f t="shared" si="14"/>
        <v>8.7358052977790104E-2</v>
      </c>
      <c r="L90" s="247">
        <v>274238871</v>
      </c>
      <c r="M90" s="248">
        <f t="shared" si="15"/>
        <v>0.33186904304333931</v>
      </c>
      <c r="N90" s="247">
        <v>335906155</v>
      </c>
      <c r="O90" s="248" t="e">
        <f t="shared" si="16"/>
        <v>#REF!</v>
      </c>
      <c r="P90" s="247" t="e">
        <f>+'329901'!#REF!</f>
        <v>#REF!</v>
      </c>
    </row>
    <row r="91" spans="1:16" ht="30.75" customHeight="1" thickBot="1">
      <c r="A91" s="2070" t="s">
        <v>361</v>
      </c>
      <c r="B91" s="2071"/>
      <c r="C91" s="2071"/>
      <c r="D91" s="2071"/>
      <c r="E91" s="2071"/>
      <c r="F91" s="2071"/>
      <c r="G91" s="2072"/>
      <c r="H91" s="273">
        <f>+H84+H80+H76+H71+H68+H65+H61+H52+H48+H41+H37+H26+H12+H9+H6</f>
        <v>23849676253.079998</v>
      </c>
      <c r="I91" s="275">
        <f>+(J91-H91)/H91</f>
        <v>0.46634022342771508</v>
      </c>
      <c r="J91" s="273">
        <f>+J84+J80+J76+J71+J68+J65+J61+J52+J48+J41+J37+J26+J12+J9+J6+J74</f>
        <v>34971739605.619995</v>
      </c>
      <c r="K91" s="275">
        <f t="shared" si="14"/>
        <v>3.1959691271229024E-2</v>
      </c>
      <c r="L91" s="273">
        <f>+L84+L80+L76+L71+L68+L65+L61+L52+L48+L41+L37+L26+L12+L9+L6+L74</f>
        <v>36089425606.633423</v>
      </c>
      <c r="M91" s="275">
        <f>+(N91-L91)/L91</f>
        <v>0.325788023714223</v>
      </c>
      <c r="N91" s="273">
        <f>+N84+N80+N76+N71+N68+N65+N61+N52+N48+N41+N37+N26+N12+N9+N6</f>
        <v>47846928252</v>
      </c>
      <c r="O91" s="370" t="e">
        <f>+(P91-N91)/N91</f>
        <v>#REF!</v>
      </c>
      <c r="P91" s="273" t="e">
        <f>+P84+P80+P76+P71+P68+P65+P61+P52+P48+P41+P37+P26+P12+P9+P6</f>
        <v>#REF!</v>
      </c>
    </row>
    <row r="92" spans="1:16" ht="30.75" customHeight="1" thickBot="1">
      <c r="A92" s="2073" t="s">
        <v>362</v>
      </c>
      <c r="B92" s="2074"/>
      <c r="C92" s="2074"/>
      <c r="D92" s="2074"/>
      <c r="E92" s="2074"/>
      <c r="F92" s="2074"/>
      <c r="G92" s="2075"/>
      <c r="H92" s="274"/>
      <c r="I92" s="274"/>
      <c r="J92" s="274"/>
      <c r="K92" s="274"/>
      <c r="L92" s="274"/>
      <c r="M92" s="274"/>
      <c r="N92" s="274"/>
      <c r="O92" s="274"/>
      <c r="P92" s="274"/>
    </row>
    <row r="93" spans="1:16" ht="25.5" customHeight="1">
      <c r="H93" s="34"/>
      <c r="I93" s="226"/>
      <c r="J93" s="34"/>
      <c r="K93" s="34"/>
      <c r="L93" s="34"/>
      <c r="M93" s="226"/>
      <c r="N93" s="34"/>
      <c r="O93" s="226"/>
      <c r="P93" s="34"/>
    </row>
    <row r="94" spans="1:16">
      <c r="H94" s="34"/>
      <c r="I94" s="226"/>
      <c r="J94" s="34"/>
      <c r="K94" s="34"/>
      <c r="L94" s="34"/>
      <c r="M94" s="226"/>
      <c r="N94" s="34"/>
      <c r="O94" s="226"/>
      <c r="P94" s="34"/>
    </row>
    <row r="95" spans="1:16">
      <c r="H95" s="34"/>
      <c r="I95" s="226"/>
      <c r="J95" s="34"/>
      <c r="K95" s="34"/>
      <c r="L95" s="34"/>
      <c r="M95" s="226"/>
      <c r="N95" s="34"/>
      <c r="O95" s="226"/>
      <c r="P95" s="34"/>
    </row>
    <row r="96" spans="1:16">
      <c r="H96" s="34"/>
      <c r="I96" s="226"/>
      <c r="J96" s="34"/>
      <c r="K96" s="34"/>
      <c r="L96" s="34"/>
      <c r="M96" s="226"/>
      <c r="N96" s="34"/>
      <c r="O96" s="226"/>
      <c r="P96" s="34"/>
    </row>
    <row r="97" spans="5:16">
      <c r="H97" s="34"/>
      <c r="I97" s="226"/>
      <c r="J97" s="34"/>
      <c r="K97" s="34"/>
      <c r="L97" s="34"/>
      <c r="M97" s="226"/>
      <c r="N97" s="34"/>
      <c r="O97" s="226"/>
      <c r="P97" s="34"/>
    </row>
    <row r="98" spans="5:16">
      <c r="E98">
        <v>2020</v>
      </c>
      <c r="F98" t="s">
        <v>324</v>
      </c>
      <c r="H98" s="34">
        <v>23755585130</v>
      </c>
      <c r="I98" s="226"/>
      <c r="J98" s="34">
        <f>+H98+H99</f>
        <v>29059735810</v>
      </c>
      <c r="K98" s="34"/>
      <c r="L98" s="34"/>
      <c r="M98" s="226"/>
      <c r="N98" s="34"/>
      <c r="O98" s="226"/>
      <c r="P98" s="34"/>
    </row>
    <row r="99" spans="5:16">
      <c r="F99" t="s">
        <v>244</v>
      </c>
      <c r="H99" s="34">
        <v>5304150680</v>
      </c>
      <c r="I99" s="226"/>
      <c r="J99" s="34"/>
      <c r="K99" s="34"/>
      <c r="L99" s="34"/>
      <c r="M99" s="226"/>
      <c r="N99" s="34"/>
      <c r="O99" s="226"/>
      <c r="P99" s="34"/>
    </row>
    <row r="100" spans="5:16">
      <c r="F100" t="s">
        <v>325</v>
      </c>
      <c r="H100" s="34">
        <v>27912027693</v>
      </c>
      <c r="I100" s="226"/>
      <c r="J100" s="34"/>
      <c r="K100" s="34"/>
      <c r="L100" s="34"/>
      <c r="M100" s="226"/>
      <c r="N100" s="34"/>
      <c r="O100" s="226"/>
      <c r="P100" s="34"/>
    </row>
    <row r="101" spans="5:16">
      <c r="H101" s="34"/>
      <c r="I101" s="226"/>
      <c r="J101" s="34"/>
      <c r="K101" s="34"/>
      <c r="L101" s="34"/>
      <c r="M101" s="226"/>
      <c r="N101" s="34"/>
      <c r="O101" s="226"/>
      <c r="P101" s="34"/>
    </row>
    <row r="102" spans="5:16">
      <c r="H102" s="34"/>
      <c r="I102" s="226"/>
      <c r="J102" s="34"/>
      <c r="K102" s="34"/>
      <c r="L102" s="34"/>
      <c r="M102" s="226"/>
      <c r="N102" s="34"/>
      <c r="O102" s="226"/>
      <c r="P102" s="34"/>
    </row>
    <row r="103" spans="5:16">
      <c r="E103">
        <v>2021</v>
      </c>
      <c r="F103" t="s">
        <v>324</v>
      </c>
      <c r="H103" s="34">
        <v>24873867190</v>
      </c>
      <c r="I103" s="226"/>
      <c r="J103" s="34">
        <f>+H103+H104</f>
        <v>34394749006</v>
      </c>
      <c r="K103" s="34"/>
      <c r="L103" s="34"/>
      <c r="M103" s="226"/>
      <c r="N103" s="34"/>
      <c r="O103" s="226"/>
      <c r="P103" s="34"/>
    </row>
    <row r="104" spans="5:16">
      <c r="F104" t="s">
        <v>244</v>
      </c>
      <c r="H104" s="34">
        <v>9520881816</v>
      </c>
      <c r="I104" s="226"/>
      <c r="J104" s="34"/>
      <c r="K104" s="34"/>
      <c r="L104" s="34"/>
      <c r="M104" s="226"/>
      <c r="N104" s="34"/>
      <c r="O104" s="226"/>
      <c r="P104" s="34"/>
    </row>
    <row r="105" spans="5:16">
      <c r="F105" t="s">
        <v>325</v>
      </c>
      <c r="H105" s="33">
        <f>+H104+H103</f>
        <v>34394749006</v>
      </c>
    </row>
    <row r="107" spans="5:16">
      <c r="E107">
        <v>2022</v>
      </c>
      <c r="F107" t="s">
        <v>324</v>
      </c>
      <c r="H107" s="34">
        <v>27934280541</v>
      </c>
      <c r="I107" s="226"/>
    </row>
    <row r="109" spans="5:16">
      <c r="G109" t="s">
        <v>324</v>
      </c>
      <c r="J109" t="s">
        <v>327</v>
      </c>
    </row>
    <row r="110" spans="5:16">
      <c r="G110">
        <v>2019</v>
      </c>
      <c r="H110" s="33">
        <v>20417974353</v>
      </c>
      <c r="J110" s="136">
        <f>+(H111-H110)/H110</f>
        <v>0.16346434368547472</v>
      </c>
      <c r="K110" s="136"/>
      <c r="L110" s="136"/>
      <c r="N110" s="131"/>
      <c r="P110" s="131"/>
    </row>
    <row r="111" spans="5:16">
      <c r="G111">
        <v>2020</v>
      </c>
      <c r="H111" s="33">
        <f>+H98</f>
        <v>23755585130</v>
      </c>
      <c r="J111" s="136">
        <f>+(H112-H111)/H111</f>
        <v>4.7074490225364529E-2</v>
      </c>
      <c r="K111" s="136"/>
      <c r="L111" s="136"/>
      <c r="N111" s="136"/>
      <c r="P111" s="136"/>
    </row>
    <row r="112" spans="5:16">
      <c r="G112">
        <v>2021</v>
      </c>
      <c r="H112" s="33">
        <f>+H103</f>
        <v>24873867190</v>
      </c>
      <c r="J112" s="136">
        <f>+(H113-H112)/H112</f>
        <v>0.12303729563332126</v>
      </c>
      <c r="K112" s="136"/>
      <c r="L112" s="136"/>
      <c r="M112" s="227"/>
      <c r="N112" s="136"/>
      <c r="O112" s="227"/>
      <c r="P112" s="136"/>
    </row>
    <row r="113" spans="7:23">
      <c r="G113">
        <v>2022</v>
      </c>
      <c r="H113" s="33">
        <f>+H107</f>
        <v>27934280541</v>
      </c>
      <c r="J113" s="131"/>
      <c r="K113" s="131"/>
      <c r="L113" s="131"/>
      <c r="M113" s="227"/>
      <c r="O113" s="227"/>
    </row>
    <row r="115" spans="7:23">
      <c r="H115" s="33">
        <v>22607877013</v>
      </c>
    </row>
    <row r="117" spans="7:23">
      <c r="G117" t="s">
        <v>326</v>
      </c>
    </row>
    <row r="118" spans="7:23">
      <c r="G118">
        <v>2019</v>
      </c>
      <c r="H118" s="33">
        <v>28214806441</v>
      </c>
      <c r="U118" s="2079" t="s">
        <v>332</v>
      </c>
      <c r="V118" s="2069" t="s">
        <v>330</v>
      </c>
      <c r="W118" s="2069" t="s">
        <v>331</v>
      </c>
    </row>
    <row r="119" spans="7:23">
      <c r="G119">
        <v>2020</v>
      </c>
      <c r="H119" s="33">
        <v>29059735810</v>
      </c>
      <c r="J119" s="135">
        <v>0.97699999999999998</v>
      </c>
      <c r="K119" s="135"/>
      <c r="L119" s="135"/>
      <c r="N119" s="33"/>
      <c r="P119" s="33"/>
      <c r="U119" s="2079"/>
      <c r="V119" s="2069"/>
      <c r="W119" s="2069"/>
    </row>
    <row r="120" spans="7:23">
      <c r="G120">
        <v>2021</v>
      </c>
      <c r="H120" s="33">
        <v>34394749006</v>
      </c>
      <c r="J120" s="131">
        <v>0.71</v>
      </c>
      <c r="K120" s="131"/>
      <c r="L120" s="131"/>
      <c r="M120" s="227"/>
      <c r="N120" s="33"/>
      <c r="O120" s="227"/>
      <c r="P120" s="33"/>
      <c r="Q120" t="s">
        <v>328</v>
      </c>
      <c r="U120" s="137">
        <v>2020</v>
      </c>
      <c r="V120" s="140">
        <v>0.16346434368547472</v>
      </c>
      <c r="W120" s="138"/>
    </row>
    <row r="121" spans="7:23">
      <c r="N121" s="33"/>
      <c r="P121" s="33"/>
      <c r="Q121" t="s">
        <v>329</v>
      </c>
      <c r="U121" s="137">
        <v>2021</v>
      </c>
      <c r="V121" s="139">
        <v>4.7074490225364529E-2</v>
      </c>
      <c r="W121" s="139">
        <v>0.74380000000000002</v>
      </c>
    </row>
    <row r="122" spans="7:23">
      <c r="U122" s="137">
        <v>2022</v>
      </c>
      <c r="V122" s="139">
        <v>0.12303729563332126</v>
      </c>
      <c r="W122" s="139">
        <v>0.74519999999999997</v>
      </c>
    </row>
  </sheetData>
  <mergeCells count="47">
    <mergeCell ref="A80:G80"/>
    <mergeCell ref="A75:G75"/>
    <mergeCell ref="A79:G79"/>
    <mergeCell ref="A83:G83"/>
    <mergeCell ref="U118:U119"/>
    <mergeCell ref="V118:V119"/>
    <mergeCell ref="W118:W119"/>
    <mergeCell ref="A84:G84"/>
    <mergeCell ref="A91:G91"/>
    <mergeCell ref="A92:G92"/>
    <mergeCell ref="A71:G71"/>
    <mergeCell ref="A76:G76"/>
    <mergeCell ref="A37:G37"/>
    <mergeCell ref="A41:G41"/>
    <mergeCell ref="A48:G48"/>
    <mergeCell ref="A52:G52"/>
    <mergeCell ref="A61:G61"/>
    <mergeCell ref="A47:G47"/>
    <mergeCell ref="A60:G60"/>
    <mergeCell ref="A74:G74"/>
    <mergeCell ref="A64:G64"/>
    <mergeCell ref="A65:G65"/>
    <mergeCell ref="A68:G68"/>
    <mergeCell ref="A5:G5"/>
    <mergeCell ref="O3:O4"/>
    <mergeCell ref="A12:G12"/>
    <mergeCell ref="A26:G26"/>
    <mergeCell ref="A25:G25"/>
    <mergeCell ref="A9:G9"/>
    <mergeCell ref="A6:G6"/>
    <mergeCell ref="M3:M4"/>
    <mergeCell ref="N3:N4"/>
    <mergeCell ref="P3:P4"/>
    <mergeCell ref="Q3:Q4"/>
    <mergeCell ref="A1:P1"/>
    <mergeCell ref="A3:A4"/>
    <mergeCell ref="B3:B4"/>
    <mergeCell ref="C3:C4"/>
    <mergeCell ref="D3:D4"/>
    <mergeCell ref="E3:E4"/>
    <mergeCell ref="F3:F4"/>
    <mergeCell ref="G3:G4"/>
    <mergeCell ref="L3:L4"/>
    <mergeCell ref="K3:K4"/>
    <mergeCell ref="H3:H4"/>
    <mergeCell ref="I3:I4"/>
    <mergeCell ref="J3:J4"/>
  </mergeCells>
  <pageMargins left="0.70866141732283472" right="0.70866141732283472" top="0.74803149606299213" bottom="0.74803149606299213" header="0.31496062992125984" footer="0.31496062992125984"/>
  <pageSetup scale="70" orientation="portrait" verticalDpi="597"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8"/>
  <sheetViews>
    <sheetView workbookViewId="0"/>
  </sheetViews>
  <sheetFormatPr baseColWidth="10" defaultRowHeight="15"/>
  <cols>
    <col min="1" max="1" width="36.5703125" style="912" customWidth="1"/>
    <col min="2" max="2" width="12.140625" style="913" customWidth="1"/>
    <col min="3" max="6" width="6.7109375" style="913" hidden="1" customWidth="1"/>
    <col min="7" max="7" width="9.140625" style="913" hidden="1" customWidth="1"/>
    <col min="8" max="8" width="19.85546875" style="979" customWidth="1"/>
    <col min="9" max="9" width="16.7109375" style="934" customWidth="1"/>
    <col min="10" max="12" width="17.140625" style="934" customWidth="1"/>
    <col min="13" max="13" width="18.28515625" style="934" customWidth="1"/>
    <col min="14" max="14" width="60" style="956" customWidth="1"/>
  </cols>
  <sheetData>
    <row r="1" spans="1:14">
      <c r="A1" s="125"/>
      <c r="B1"/>
      <c r="C1"/>
      <c r="D1"/>
      <c r="E1"/>
      <c r="F1"/>
      <c r="G1"/>
      <c r="H1" s="963"/>
      <c r="I1"/>
      <c r="J1"/>
      <c r="K1"/>
      <c r="L1"/>
      <c r="M1"/>
      <c r="N1"/>
    </row>
    <row r="2" spans="1:14">
      <c r="A2" s="125"/>
      <c r="B2"/>
      <c r="C2"/>
      <c r="D2"/>
      <c r="E2"/>
      <c r="F2"/>
      <c r="G2"/>
      <c r="H2" s="963"/>
      <c r="I2"/>
      <c r="J2"/>
      <c r="K2"/>
      <c r="L2"/>
      <c r="M2"/>
      <c r="N2"/>
    </row>
    <row r="3" spans="1:14">
      <c r="A3" s="891"/>
      <c r="B3" s="2083" t="s">
        <v>1165</v>
      </c>
      <c r="C3" s="2083"/>
      <c r="D3" s="2083"/>
      <c r="E3" s="2083"/>
      <c r="F3" s="2083"/>
      <c r="G3" s="2083"/>
      <c r="H3" s="964"/>
      <c r="I3" s="914"/>
      <c r="J3" s="2083"/>
      <c r="K3" s="2083"/>
      <c r="L3" s="2083"/>
      <c r="M3" s="2083"/>
      <c r="N3" s="901"/>
    </row>
    <row r="4" spans="1:14" ht="45">
      <c r="A4" s="892" t="s">
        <v>188</v>
      </c>
      <c r="B4" s="893" t="s">
        <v>190</v>
      </c>
      <c r="C4" s="892">
        <v>2024</v>
      </c>
      <c r="D4" s="892">
        <v>2025</v>
      </c>
      <c r="E4" s="892">
        <v>2026</v>
      </c>
      <c r="F4" s="892">
        <v>2027</v>
      </c>
      <c r="G4" s="893" t="s">
        <v>142</v>
      </c>
      <c r="H4" s="965" t="s">
        <v>1264</v>
      </c>
      <c r="I4" s="892" t="s">
        <v>1196</v>
      </c>
      <c r="J4" s="892">
        <v>2025</v>
      </c>
      <c r="K4" s="892">
        <v>2026</v>
      </c>
      <c r="L4" s="892">
        <v>2027</v>
      </c>
      <c r="M4" s="915" t="s">
        <v>10</v>
      </c>
      <c r="N4" s="937" t="s">
        <v>1166</v>
      </c>
    </row>
    <row r="5" spans="1:14" ht="57">
      <c r="A5" s="894" t="s">
        <v>988</v>
      </c>
      <c r="B5" s="895" t="s">
        <v>202</v>
      </c>
      <c r="C5" s="895">
        <v>100</v>
      </c>
      <c r="D5" s="895">
        <v>100</v>
      </c>
      <c r="E5" s="895">
        <v>100</v>
      </c>
      <c r="F5" s="895">
        <v>100</v>
      </c>
      <c r="G5" s="895">
        <v>100</v>
      </c>
      <c r="H5" s="966" t="e">
        <f>SUM(H6:H11)</f>
        <v>#REF!</v>
      </c>
      <c r="I5" s="916">
        <f>SUM(I6:I11)</f>
        <v>1503102944</v>
      </c>
      <c r="J5" s="916">
        <f>SUM(J6:J11)</f>
        <v>914598805.11600006</v>
      </c>
      <c r="K5" s="916">
        <f t="shared" ref="K5" si="0">SUM(K6:K11)</f>
        <v>279942805.71254295</v>
      </c>
      <c r="L5" s="916">
        <f>SUM(L6:L11)</f>
        <v>296962891.47333491</v>
      </c>
      <c r="M5" s="916">
        <f>SUM(M6:M11)</f>
        <v>2994607446.3018775</v>
      </c>
      <c r="N5" s="938"/>
    </row>
    <row r="6" spans="1:14" s="161" customFormat="1" ht="62.25" customHeight="1">
      <c r="A6" s="900" t="s">
        <v>989</v>
      </c>
      <c r="B6" s="783" t="s">
        <v>408</v>
      </c>
      <c r="C6" s="784">
        <v>1</v>
      </c>
      <c r="D6" s="784">
        <v>3</v>
      </c>
      <c r="E6" s="784">
        <v>3</v>
      </c>
      <c r="F6" s="784">
        <v>2</v>
      </c>
      <c r="G6" s="784">
        <v>9</v>
      </c>
      <c r="H6" s="967">
        <f>+'320101'!K10</f>
        <v>61846400.20000001</v>
      </c>
      <c r="I6" s="936">
        <v>61846400</v>
      </c>
      <c r="J6" s="936">
        <v>62155631.999999993</v>
      </c>
      <c r="K6" s="936">
        <v>65263413.599999994</v>
      </c>
      <c r="L6" s="936">
        <v>70484486.687999994</v>
      </c>
      <c r="M6" s="920">
        <f>SUM(I6:L6)</f>
        <v>259749932.28799999</v>
      </c>
      <c r="N6" s="897" t="s">
        <v>1197</v>
      </c>
    </row>
    <row r="7" spans="1:14" s="161" customFormat="1" ht="39" customHeight="1">
      <c r="A7" s="900" t="s">
        <v>991</v>
      </c>
      <c r="B7" s="783" t="s">
        <v>408</v>
      </c>
      <c r="C7" s="784">
        <v>2</v>
      </c>
      <c r="D7" s="784">
        <v>2</v>
      </c>
      <c r="E7" s="784">
        <v>2</v>
      </c>
      <c r="F7" s="784">
        <v>2</v>
      </c>
      <c r="G7" s="784">
        <v>8</v>
      </c>
      <c r="H7" s="967">
        <f>+'320101'!I11</f>
        <v>112849600</v>
      </c>
      <c r="I7" s="918">
        <v>84256320</v>
      </c>
      <c r="J7" s="918">
        <v>84677601.599999994</v>
      </c>
      <c r="K7" s="918">
        <v>88911481.679999992</v>
      </c>
      <c r="L7" s="918">
        <v>96024400.214399993</v>
      </c>
      <c r="M7" s="920">
        <f t="shared" ref="M7:M11" si="1">SUM(I7:L7)</f>
        <v>353869803.49439996</v>
      </c>
      <c r="N7" s="896" t="s">
        <v>1198</v>
      </c>
    </row>
    <row r="8" spans="1:14" s="161" customFormat="1" ht="42.75">
      <c r="A8" s="900" t="s">
        <v>990</v>
      </c>
      <c r="B8" s="783" t="s">
        <v>1096</v>
      </c>
      <c r="C8" s="784">
        <v>5</v>
      </c>
      <c r="D8" s="784">
        <v>5</v>
      </c>
      <c r="E8" s="784">
        <v>5</v>
      </c>
      <c r="F8" s="784">
        <v>5</v>
      </c>
      <c r="G8" s="784">
        <v>20</v>
      </c>
      <c r="H8" s="967">
        <f>+'320101'!I12</f>
        <v>29465599.538560003</v>
      </c>
      <c r="I8" s="918">
        <v>44150624</v>
      </c>
      <c r="J8" s="918">
        <v>44371377.119999997</v>
      </c>
      <c r="K8" s="918">
        <v>46589945.975999996</v>
      </c>
      <c r="L8" s="918">
        <v>50317141.654079996</v>
      </c>
      <c r="M8" s="920">
        <f t="shared" si="1"/>
        <v>185429088.75008002</v>
      </c>
      <c r="N8" s="939" t="s">
        <v>1167</v>
      </c>
    </row>
    <row r="9" spans="1:14" s="161" customFormat="1" ht="42.75">
      <c r="A9" s="900" t="s">
        <v>992</v>
      </c>
      <c r="B9" s="784" t="s">
        <v>1097</v>
      </c>
      <c r="C9" s="784">
        <v>2</v>
      </c>
      <c r="D9" s="784">
        <v>1</v>
      </c>
      <c r="E9" s="784"/>
      <c r="F9" s="784"/>
      <c r="G9" s="784">
        <v>3</v>
      </c>
      <c r="H9" s="967">
        <f>+'320101'!I13</f>
        <v>556871097.64513397</v>
      </c>
      <c r="I9" s="918">
        <v>1312849600</v>
      </c>
      <c r="J9" s="918">
        <v>673394194.39600003</v>
      </c>
      <c r="K9" s="918"/>
      <c r="L9" s="918"/>
      <c r="M9" s="920">
        <f t="shared" si="1"/>
        <v>1986243794.3959999</v>
      </c>
      <c r="N9" s="939" t="s">
        <v>1199</v>
      </c>
    </row>
    <row r="10" spans="1:14" s="161" customFormat="1" ht="57">
      <c r="A10" s="900" t="s">
        <v>1116</v>
      </c>
      <c r="B10" s="784" t="s">
        <v>408</v>
      </c>
      <c r="C10" s="784"/>
      <c r="D10" s="784">
        <v>1</v>
      </c>
      <c r="E10" s="784"/>
      <c r="F10" s="784"/>
      <c r="G10" s="784">
        <v>1</v>
      </c>
      <c r="H10" s="967" t="e">
        <f>+'320101'!#REF!</f>
        <v>#REF!</v>
      </c>
      <c r="I10" s="918"/>
      <c r="J10" s="918">
        <v>50000000</v>
      </c>
      <c r="K10" s="918"/>
      <c r="L10" s="918"/>
      <c r="M10" s="920">
        <f t="shared" si="1"/>
        <v>50000000</v>
      </c>
      <c r="N10" s="939" t="s">
        <v>1200</v>
      </c>
    </row>
    <row r="11" spans="1:14" s="161" customFormat="1" ht="71.25">
      <c r="A11" s="900" t="s">
        <v>1168</v>
      </c>
      <c r="B11" s="784" t="s">
        <v>1169</v>
      </c>
      <c r="C11" s="784"/>
      <c r="D11" s="784"/>
      <c r="E11" s="784">
        <v>1</v>
      </c>
      <c r="F11" s="784">
        <v>1</v>
      </c>
      <c r="G11" s="784">
        <v>2</v>
      </c>
      <c r="H11" s="967" t="e">
        <f>+'320101'!#REF!</f>
        <v>#REF!</v>
      </c>
      <c r="I11" s="919"/>
      <c r="J11" s="919"/>
      <c r="K11" s="918">
        <v>79177964.456542969</v>
      </c>
      <c r="L11" s="918">
        <v>80136862.916854903</v>
      </c>
      <c r="M11" s="920">
        <f t="shared" si="1"/>
        <v>159314827.37339789</v>
      </c>
      <c r="N11" s="939" t="s">
        <v>1201</v>
      </c>
    </row>
    <row r="12" spans="1:14" ht="42.75">
      <c r="A12" s="898" t="s">
        <v>962</v>
      </c>
      <c r="B12" s="899" t="s">
        <v>1098</v>
      </c>
      <c r="C12" s="899">
        <v>100</v>
      </c>
      <c r="D12" s="899">
        <v>100</v>
      </c>
      <c r="E12" s="899">
        <v>100</v>
      </c>
      <c r="F12" s="899">
        <v>100</v>
      </c>
      <c r="G12" s="899">
        <v>100</v>
      </c>
      <c r="H12" s="968" t="e">
        <f>+'320101'!#REF!</f>
        <v>#REF!</v>
      </c>
      <c r="I12" s="921">
        <v>123713719</v>
      </c>
      <c r="J12" s="921">
        <v>124332287.59499998</v>
      </c>
      <c r="K12" s="921">
        <v>130548901.97474998</v>
      </c>
      <c r="L12" s="921">
        <v>140992814.13272998</v>
      </c>
      <c r="M12" s="921">
        <v>519587722.70247996</v>
      </c>
      <c r="N12" s="940"/>
    </row>
    <row r="13" spans="1:14">
      <c r="A13" s="2080" t="s">
        <v>1170</v>
      </c>
      <c r="B13" s="2081"/>
      <c r="C13" s="2081"/>
      <c r="D13" s="2081"/>
      <c r="E13" s="2081"/>
      <c r="F13" s="2081"/>
      <c r="G13" s="2082"/>
      <c r="H13" s="969" t="e">
        <f t="shared" ref="H13:M13" si="2">+H5+H12</f>
        <v>#REF!</v>
      </c>
      <c r="I13" s="923">
        <f t="shared" si="2"/>
        <v>1626816663</v>
      </c>
      <c r="J13" s="923">
        <f t="shared" si="2"/>
        <v>1038931092.7110001</v>
      </c>
      <c r="K13" s="923">
        <f t="shared" si="2"/>
        <v>410491707.68729293</v>
      </c>
      <c r="L13" s="923">
        <f t="shared" si="2"/>
        <v>437955705.60606492</v>
      </c>
      <c r="M13" s="923">
        <f t="shared" si="2"/>
        <v>3514195169.0043573</v>
      </c>
      <c r="N13" s="941"/>
    </row>
    <row r="14" spans="1:14">
      <c r="A14" s="125"/>
      <c r="B14"/>
      <c r="C14"/>
      <c r="D14"/>
      <c r="E14"/>
      <c r="F14"/>
      <c r="G14"/>
      <c r="H14" s="963"/>
      <c r="I14"/>
      <c r="J14"/>
      <c r="K14"/>
      <c r="L14"/>
      <c r="M14"/>
      <c r="N14"/>
    </row>
    <row r="15" spans="1:14" ht="45">
      <c r="A15" s="892" t="s">
        <v>188</v>
      </c>
      <c r="B15" s="893" t="s">
        <v>190</v>
      </c>
      <c r="C15" s="892">
        <v>2024</v>
      </c>
      <c r="D15" s="892">
        <v>2025</v>
      </c>
      <c r="E15" s="892">
        <v>2026</v>
      </c>
      <c r="F15" s="892">
        <v>2027</v>
      </c>
      <c r="G15" s="893" t="s">
        <v>142</v>
      </c>
      <c r="H15" s="970"/>
      <c r="I15" s="892" t="s">
        <v>1196</v>
      </c>
      <c r="J15" s="892">
        <v>2025</v>
      </c>
      <c r="K15" s="892">
        <v>2026</v>
      </c>
      <c r="L15" s="892">
        <v>2027</v>
      </c>
      <c r="M15" s="915" t="s">
        <v>10</v>
      </c>
      <c r="N15" s="937" t="s">
        <v>1166</v>
      </c>
    </row>
    <row r="16" spans="1:14" ht="42.75">
      <c r="A16" s="894" t="s">
        <v>993</v>
      </c>
      <c r="B16" s="895" t="s">
        <v>202</v>
      </c>
      <c r="C16" s="895">
        <v>100</v>
      </c>
      <c r="D16" s="895">
        <v>100</v>
      </c>
      <c r="E16" s="895">
        <v>100</v>
      </c>
      <c r="F16" s="895">
        <v>100</v>
      </c>
      <c r="G16" s="895">
        <v>100</v>
      </c>
      <c r="H16" s="966" t="e">
        <f>SUM(H17:H22)</f>
        <v>#REF!</v>
      </c>
      <c r="I16" s="916">
        <f>SUM(I17:I22)</f>
        <v>422937802</v>
      </c>
      <c r="J16" s="916">
        <f t="shared" ref="J16:L16" si="3">SUM(J17:J22)</f>
        <v>338942290.69499993</v>
      </c>
      <c r="K16" s="916">
        <f t="shared" si="3"/>
        <v>359895374.16975003</v>
      </c>
      <c r="L16" s="916">
        <f t="shared" si="3"/>
        <v>389933748.49007249</v>
      </c>
      <c r="M16" s="916">
        <f>SUM(M17:M22)</f>
        <v>1511709215.3548224</v>
      </c>
      <c r="N16" s="938"/>
    </row>
    <row r="17" spans="1:14" s="161" customFormat="1" ht="91.5" customHeight="1">
      <c r="A17" s="900" t="s">
        <v>1057</v>
      </c>
      <c r="B17" s="784" t="s">
        <v>408</v>
      </c>
      <c r="C17" s="784">
        <v>17</v>
      </c>
      <c r="D17" s="784">
        <v>13</v>
      </c>
      <c r="E17" s="784">
        <v>20</v>
      </c>
      <c r="F17" s="784">
        <v>15</v>
      </c>
      <c r="G17" s="784">
        <v>65</v>
      </c>
      <c r="H17" s="967">
        <f>+'320102'!F10+'320102'!H10</f>
        <v>57698358.400000006</v>
      </c>
      <c r="I17" s="926">
        <v>82097001</v>
      </c>
      <c r="J17" s="926">
        <v>82507486.004999995</v>
      </c>
      <c r="K17" s="926">
        <v>86632860.305250004</v>
      </c>
      <c r="L17" s="926">
        <v>93563489.129670009</v>
      </c>
      <c r="M17" s="922">
        <f t="shared" ref="M17:M22" si="4">SUM(I17:L17)</f>
        <v>344800836.43992001</v>
      </c>
      <c r="N17" s="905" t="s">
        <v>1202</v>
      </c>
    </row>
    <row r="18" spans="1:14" s="161" customFormat="1" ht="85.5" customHeight="1">
      <c r="A18" s="900" t="s">
        <v>1058</v>
      </c>
      <c r="B18" s="784" t="s">
        <v>1098</v>
      </c>
      <c r="C18" s="783">
        <v>42</v>
      </c>
      <c r="D18" s="783">
        <v>48</v>
      </c>
      <c r="E18" s="783">
        <v>53</v>
      </c>
      <c r="F18" s="783">
        <v>58</v>
      </c>
      <c r="G18" s="784">
        <v>58</v>
      </c>
      <c r="H18" s="967">
        <f>+'320102'!F11+'320102'!H11</f>
        <v>49951811.200000003</v>
      </c>
      <c r="I18" s="926">
        <v>80810817</v>
      </c>
      <c r="J18" s="926">
        <v>81214871.084999993</v>
      </c>
      <c r="K18" s="926">
        <v>85275614.639249995</v>
      </c>
      <c r="L18" s="926">
        <v>92097663.810389996</v>
      </c>
      <c r="M18" s="922">
        <f t="shared" si="4"/>
        <v>339398966.53463995</v>
      </c>
      <c r="N18" s="905" t="s">
        <v>1203</v>
      </c>
    </row>
    <row r="19" spans="1:14" s="161" customFormat="1" ht="42.75">
      <c r="A19" s="900" t="s">
        <v>994</v>
      </c>
      <c r="B19" s="784" t="s">
        <v>408</v>
      </c>
      <c r="C19" s="784">
        <v>5</v>
      </c>
      <c r="D19" s="784">
        <v>5</v>
      </c>
      <c r="E19" s="784">
        <v>5</v>
      </c>
      <c r="F19" s="784">
        <v>5</v>
      </c>
      <c r="G19" s="784">
        <v>20</v>
      </c>
      <c r="H19" s="967">
        <f>+'320102'!F12+'320102'!H12</f>
        <v>274169101.94513398</v>
      </c>
      <c r="I19" s="925">
        <v>112255383</v>
      </c>
      <c r="J19" s="926">
        <v>26706459.600000001</v>
      </c>
      <c r="K19" s="926">
        <v>32047751.520000003</v>
      </c>
      <c r="L19" s="926">
        <v>38457301.824000001</v>
      </c>
      <c r="M19" s="922">
        <f t="shared" si="4"/>
        <v>209466895.94400001</v>
      </c>
      <c r="N19" s="905" t="s">
        <v>1171</v>
      </c>
    </row>
    <row r="20" spans="1:14" s="161" customFormat="1" ht="99.75">
      <c r="A20" s="900" t="s">
        <v>1059</v>
      </c>
      <c r="B20" s="784" t="s">
        <v>1098</v>
      </c>
      <c r="C20" s="784">
        <v>80</v>
      </c>
      <c r="D20" s="784">
        <v>100</v>
      </c>
      <c r="E20" s="784">
        <v>100</v>
      </c>
      <c r="F20" s="784">
        <v>100</v>
      </c>
      <c r="G20" s="784">
        <v>100</v>
      </c>
      <c r="H20" s="967">
        <f>+'320102'!F13+'320102'!H13</f>
        <v>49951811.200000003</v>
      </c>
      <c r="I20" s="926">
        <v>131355201</v>
      </c>
      <c r="J20" s="926">
        <v>132011977.005</v>
      </c>
      <c r="K20" s="926">
        <v>86632859.855250001</v>
      </c>
      <c r="L20" s="926">
        <v>90964502.848012507</v>
      </c>
      <c r="M20" s="922">
        <f t="shared" si="4"/>
        <v>440964540.7082625</v>
      </c>
      <c r="N20" s="905" t="s">
        <v>1204</v>
      </c>
    </row>
    <row r="21" spans="1:14" s="161" customFormat="1" ht="71.25">
      <c r="A21" s="900" t="s">
        <v>1060</v>
      </c>
      <c r="B21" s="784" t="s">
        <v>1098</v>
      </c>
      <c r="C21" s="784">
        <v>5</v>
      </c>
      <c r="D21" s="784">
        <v>8</v>
      </c>
      <c r="E21" s="784">
        <v>10</v>
      </c>
      <c r="F21" s="784">
        <v>7</v>
      </c>
      <c r="G21" s="784">
        <v>30</v>
      </c>
      <c r="H21" s="967">
        <f>+'320102'!F14+'320102'!H14</f>
        <v>100754211.2</v>
      </c>
      <c r="I21" s="926">
        <v>16419400</v>
      </c>
      <c r="J21" s="926">
        <v>16501496.999999998</v>
      </c>
      <c r="K21" s="926">
        <v>17326571.849999998</v>
      </c>
      <c r="L21" s="926">
        <v>18712697.597999997</v>
      </c>
      <c r="M21" s="922">
        <f t="shared" si="4"/>
        <v>68960166.447999984</v>
      </c>
      <c r="N21" s="942" t="s">
        <v>1205</v>
      </c>
    </row>
    <row r="22" spans="1:14" s="161" customFormat="1" ht="71.25">
      <c r="A22" s="900" t="s">
        <v>1061</v>
      </c>
      <c r="B22" s="784" t="s">
        <v>408</v>
      </c>
      <c r="C22" s="784"/>
      <c r="D22" s="784"/>
      <c r="E22" s="784">
        <v>1</v>
      </c>
      <c r="F22" s="784">
        <v>1</v>
      </c>
      <c r="G22" s="784">
        <v>1</v>
      </c>
      <c r="H22" s="967" t="e">
        <f>+'320102'!#REF!+'320102'!#REF!+'320102'!F15</f>
        <v>#REF!</v>
      </c>
      <c r="I22" s="926"/>
      <c r="J22" s="926"/>
      <c r="K22" s="926">
        <v>51979716</v>
      </c>
      <c r="L22" s="926">
        <v>56138093.280000001</v>
      </c>
      <c r="M22" s="922">
        <f t="shared" si="4"/>
        <v>108117809.28</v>
      </c>
      <c r="N22" s="905" t="s">
        <v>1206</v>
      </c>
    </row>
    <row r="23" spans="1:14" ht="28.5">
      <c r="A23" s="898" t="s">
        <v>1062</v>
      </c>
      <c r="B23" s="785" t="s">
        <v>1099</v>
      </c>
      <c r="C23" s="785">
        <v>800</v>
      </c>
      <c r="D23" s="785">
        <v>1200</v>
      </c>
      <c r="E23" s="785">
        <v>1500</v>
      </c>
      <c r="F23" s="785">
        <v>1500</v>
      </c>
      <c r="G23" s="785">
        <v>5000</v>
      </c>
      <c r="H23" s="968">
        <f>SUM(H24)</f>
        <v>49951811.200000003</v>
      </c>
      <c r="I23" s="921">
        <f>SUM(I24)</f>
        <v>17705584</v>
      </c>
      <c r="J23" s="921">
        <f t="shared" ref="J23:L23" si="5">SUM(J24)</f>
        <v>17794111.919999998</v>
      </c>
      <c r="K23" s="921">
        <f t="shared" si="5"/>
        <v>18683817.515999999</v>
      </c>
      <c r="L23" s="921">
        <f t="shared" si="5"/>
        <v>20178522.91728</v>
      </c>
      <c r="M23" s="921">
        <f>SUM(M24)</f>
        <v>74362036.353280008</v>
      </c>
      <c r="N23" s="943"/>
    </row>
    <row r="24" spans="1:14" ht="71.25">
      <c r="A24" s="900" t="s">
        <v>1063</v>
      </c>
      <c r="B24" s="784" t="s">
        <v>1099</v>
      </c>
      <c r="C24" s="784">
        <v>800</v>
      </c>
      <c r="D24" s="783">
        <v>1200</v>
      </c>
      <c r="E24" s="783">
        <v>1500</v>
      </c>
      <c r="F24" s="783">
        <v>1500</v>
      </c>
      <c r="G24" s="783">
        <v>5000</v>
      </c>
      <c r="H24" s="971">
        <f>+'320102'!F17+'320102'!H17</f>
        <v>49951811.200000003</v>
      </c>
      <c r="I24" s="924">
        <v>17705584</v>
      </c>
      <c r="J24" s="924">
        <v>17794111.919999998</v>
      </c>
      <c r="K24" s="924">
        <v>18683817.515999999</v>
      </c>
      <c r="L24" s="924">
        <v>20178522.91728</v>
      </c>
      <c r="M24" s="922">
        <f>SUM(I24:L24)</f>
        <v>74362036.353280008</v>
      </c>
      <c r="N24" s="905" t="s">
        <v>1207</v>
      </c>
    </row>
    <row r="25" spans="1:14" ht="42.75">
      <c r="A25" s="898" t="s">
        <v>962</v>
      </c>
      <c r="B25" s="899" t="s">
        <v>1098</v>
      </c>
      <c r="C25" s="899">
        <v>100</v>
      </c>
      <c r="D25" s="899">
        <v>100</v>
      </c>
      <c r="E25" s="899">
        <v>100</v>
      </c>
      <c r="F25" s="899">
        <v>100</v>
      </c>
      <c r="G25" s="899">
        <v>100</v>
      </c>
      <c r="H25" s="968" t="e">
        <f>+'320102'!#REF!+'320102'!#REF!</f>
        <v>#REF!</v>
      </c>
      <c r="I25" s="921">
        <v>141833719</v>
      </c>
      <c r="J25" s="921">
        <v>142542887.59499997</v>
      </c>
      <c r="K25" s="921">
        <v>149670031.97474998</v>
      </c>
      <c r="L25" s="921">
        <v>161643634.53272998</v>
      </c>
      <c r="M25" s="921">
        <v>595690273.10247993</v>
      </c>
      <c r="N25" s="940"/>
    </row>
    <row r="26" spans="1:14">
      <c r="A26" s="2080" t="s">
        <v>1170</v>
      </c>
      <c r="B26" s="2081"/>
      <c r="C26" s="2081"/>
      <c r="D26" s="2081"/>
      <c r="E26" s="2081"/>
      <c r="F26" s="2081"/>
      <c r="G26" s="2082"/>
      <c r="H26" s="969" t="e">
        <f t="shared" ref="H26:M26" si="6">H16+H23+H25</f>
        <v>#REF!</v>
      </c>
      <c r="I26" s="923">
        <f t="shared" si="6"/>
        <v>582477105</v>
      </c>
      <c r="J26" s="923">
        <f t="shared" si="6"/>
        <v>499279290.20999992</v>
      </c>
      <c r="K26" s="923">
        <f t="shared" si="6"/>
        <v>528249223.66049999</v>
      </c>
      <c r="L26" s="923">
        <f t="shared" si="6"/>
        <v>571755905.94008255</v>
      </c>
      <c r="M26" s="923">
        <f t="shared" si="6"/>
        <v>2181761524.8105822</v>
      </c>
      <c r="N26" s="941"/>
    </row>
    <row r="27" spans="1:14">
      <c r="A27" s="125"/>
      <c r="B27"/>
      <c r="C27"/>
      <c r="D27"/>
      <c r="E27"/>
      <c r="F27"/>
      <c r="G27"/>
      <c r="H27" s="963"/>
      <c r="I27"/>
      <c r="J27"/>
      <c r="K27"/>
      <c r="L27"/>
      <c r="M27"/>
      <c r="N27"/>
    </row>
    <row r="28" spans="1:14">
      <c r="A28" s="125"/>
      <c r="B28"/>
      <c r="C28"/>
      <c r="D28"/>
      <c r="E28"/>
      <c r="F28"/>
      <c r="G28"/>
      <c r="H28" s="963"/>
      <c r="I28"/>
      <c r="J28"/>
      <c r="K28"/>
      <c r="L28"/>
      <c r="M28"/>
      <c r="N28"/>
    </row>
    <row r="29" spans="1:14" ht="45">
      <c r="A29" s="892" t="s">
        <v>188</v>
      </c>
      <c r="B29" s="893" t="s">
        <v>190</v>
      </c>
      <c r="C29" s="892">
        <v>2024</v>
      </c>
      <c r="D29" s="892">
        <v>2025</v>
      </c>
      <c r="E29" s="892">
        <v>2026</v>
      </c>
      <c r="F29" s="892">
        <v>2027</v>
      </c>
      <c r="G29" s="893" t="s">
        <v>142</v>
      </c>
      <c r="H29" s="970"/>
      <c r="I29" s="892" t="s">
        <v>1196</v>
      </c>
      <c r="J29" s="892">
        <v>2025</v>
      </c>
      <c r="K29" s="892">
        <v>2026</v>
      </c>
      <c r="L29" s="892">
        <v>2027</v>
      </c>
      <c r="M29" s="915" t="s">
        <v>10</v>
      </c>
      <c r="N29" s="937" t="s">
        <v>1166</v>
      </c>
    </row>
    <row r="30" spans="1:14" ht="28.5">
      <c r="A30" s="894" t="s">
        <v>997</v>
      </c>
      <c r="B30" s="895" t="s">
        <v>1098</v>
      </c>
      <c r="C30" s="895">
        <v>100</v>
      </c>
      <c r="D30" s="895">
        <v>100</v>
      </c>
      <c r="E30" s="895">
        <v>100</v>
      </c>
      <c r="F30" s="895">
        <v>100</v>
      </c>
      <c r="G30" s="895">
        <v>100</v>
      </c>
      <c r="H30" s="972">
        <f>SUM(H31)</f>
        <v>1838180605.0811338</v>
      </c>
      <c r="I30" s="916">
        <f>SUM(I31)</f>
        <v>1878672903</v>
      </c>
      <c r="J30" s="916">
        <f t="shared" ref="J30:M30" si="7">SUM(J31)</f>
        <v>1770722966.9999998</v>
      </c>
      <c r="K30" s="916">
        <f t="shared" si="7"/>
        <v>1859259115.3499999</v>
      </c>
      <c r="L30" s="916">
        <f t="shared" si="7"/>
        <v>2007999844.5780001</v>
      </c>
      <c r="M30" s="916">
        <f t="shared" si="7"/>
        <v>7516654829.9280005</v>
      </c>
      <c r="N30" s="944"/>
    </row>
    <row r="31" spans="1:14" ht="99.75">
      <c r="A31" s="900" t="s">
        <v>998</v>
      </c>
      <c r="B31" s="783" t="s">
        <v>408</v>
      </c>
      <c r="C31" s="783">
        <v>10</v>
      </c>
      <c r="D31" s="783">
        <v>10</v>
      </c>
      <c r="E31" s="783">
        <v>10</v>
      </c>
      <c r="F31" s="783">
        <v>10</v>
      </c>
      <c r="G31" s="783">
        <v>10</v>
      </c>
      <c r="H31" s="971">
        <f>+'320201'!M10</f>
        <v>1838180605.0811338</v>
      </c>
      <c r="I31" s="920">
        <v>1878672903</v>
      </c>
      <c r="J31" s="927">
        <v>1770722966.9999998</v>
      </c>
      <c r="K31" s="927">
        <v>1859259115.3499999</v>
      </c>
      <c r="L31" s="927">
        <v>2007999844.5780001</v>
      </c>
      <c r="M31" s="922">
        <f>SUM(I31:L31)</f>
        <v>7516654829.9280005</v>
      </c>
      <c r="N31" s="905" t="s">
        <v>1208</v>
      </c>
    </row>
    <row r="32" spans="1:14" ht="42.75">
      <c r="A32" s="898" t="s">
        <v>1065</v>
      </c>
      <c r="B32" s="785" t="s">
        <v>1098</v>
      </c>
      <c r="C32" s="785">
        <v>100</v>
      </c>
      <c r="D32" s="785">
        <v>100</v>
      </c>
      <c r="E32" s="785">
        <v>100</v>
      </c>
      <c r="F32" s="785">
        <v>100</v>
      </c>
      <c r="G32" s="785">
        <v>100</v>
      </c>
      <c r="H32" s="973" t="e">
        <f>SUM(H33:H36)</f>
        <v>#REF!</v>
      </c>
      <c r="I32" s="921">
        <f>SUM(I33:I36)</f>
        <v>296157237</v>
      </c>
      <c r="J32" s="921">
        <f t="shared" ref="J32:M32" si="8">SUM(J33:J36)</f>
        <v>358939793.185</v>
      </c>
      <c r="K32" s="921">
        <f t="shared" si="8"/>
        <v>376886782.84424996</v>
      </c>
      <c r="L32" s="921">
        <f t="shared" si="8"/>
        <v>407037725.47179002</v>
      </c>
      <c r="M32" s="921">
        <f t="shared" si="8"/>
        <v>1439021538.5010402</v>
      </c>
      <c r="N32" s="943"/>
    </row>
    <row r="33" spans="1:14" s="161" customFormat="1" ht="114">
      <c r="A33" s="900" t="s">
        <v>1075</v>
      </c>
      <c r="B33" s="783" t="s">
        <v>408</v>
      </c>
      <c r="C33" s="784">
        <v>21</v>
      </c>
      <c r="D33" s="784">
        <v>21</v>
      </c>
      <c r="E33" s="784">
        <v>21</v>
      </c>
      <c r="F33" s="784">
        <v>21</v>
      </c>
      <c r="G33" s="784">
        <v>21</v>
      </c>
      <c r="H33" s="967">
        <f>+'320201'!M12</f>
        <v>175174750.676</v>
      </c>
      <c r="I33" s="920">
        <v>120874387</v>
      </c>
      <c r="J33" s="920">
        <v>121478758.93499999</v>
      </c>
      <c r="K33" s="920">
        <v>127552696.88174999</v>
      </c>
      <c r="L33" s="920">
        <v>137756912.63229001</v>
      </c>
      <c r="M33" s="922">
        <f t="shared" ref="M33:M35" si="9">SUM(I33:L33)</f>
        <v>507662755.44904</v>
      </c>
      <c r="N33" s="905" t="s">
        <v>1209</v>
      </c>
    </row>
    <row r="34" spans="1:14" s="161" customFormat="1" ht="57">
      <c r="A34" s="900" t="s">
        <v>1076</v>
      </c>
      <c r="B34" s="783" t="s">
        <v>408</v>
      </c>
      <c r="C34" s="784">
        <v>27</v>
      </c>
      <c r="D34" s="784">
        <v>27</v>
      </c>
      <c r="E34" s="784">
        <v>27</v>
      </c>
      <c r="F34" s="784">
        <v>28</v>
      </c>
      <c r="G34" s="784">
        <v>109</v>
      </c>
      <c r="H34" s="967">
        <f>+'320201'!M13</f>
        <v>70615049</v>
      </c>
      <c r="I34" s="928">
        <v>67541602</v>
      </c>
      <c r="J34" s="920">
        <v>67879310.00999999</v>
      </c>
      <c r="K34" s="920">
        <v>71273275.510499999</v>
      </c>
      <c r="L34" s="920">
        <v>76975137.551339999</v>
      </c>
      <c r="M34" s="922">
        <f t="shared" si="9"/>
        <v>283669325.07183999</v>
      </c>
      <c r="N34" s="905" t="s">
        <v>1210</v>
      </c>
    </row>
    <row r="35" spans="1:14" s="161" customFormat="1" ht="99.75">
      <c r="A35" s="900" t="s">
        <v>1077</v>
      </c>
      <c r="B35" s="783" t="s">
        <v>1100</v>
      </c>
      <c r="C35" s="784">
        <v>1</v>
      </c>
      <c r="D35" s="784">
        <v>1</v>
      </c>
      <c r="E35" s="784">
        <v>1</v>
      </c>
      <c r="F35" s="784">
        <v>1</v>
      </c>
      <c r="G35" s="784">
        <v>1</v>
      </c>
      <c r="H35" s="967">
        <f>+'320201'!M14</f>
        <v>101561792.5</v>
      </c>
      <c r="I35" s="928">
        <v>107741248</v>
      </c>
      <c r="J35" s="920">
        <v>108279954.23999999</v>
      </c>
      <c r="K35" s="920">
        <v>113693951.95199999</v>
      </c>
      <c r="L35" s="920">
        <v>122789468.10816</v>
      </c>
      <c r="M35" s="922">
        <f t="shared" si="9"/>
        <v>452504622.30016005</v>
      </c>
      <c r="N35" s="905" t="s">
        <v>1211</v>
      </c>
    </row>
    <row r="36" spans="1:14" s="161" customFormat="1" ht="114">
      <c r="A36" s="900" t="s">
        <v>1078</v>
      </c>
      <c r="B36" s="784" t="s">
        <v>1098</v>
      </c>
      <c r="C36" s="784"/>
      <c r="D36" s="784">
        <v>100</v>
      </c>
      <c r="E36" s="784">
        <v>100</v>
      </c>
      <c r="F36" s="784">
        <v>100</v>
      </c>
      <c r="G36" s="784">
        <v>100</v>
      </c>
      <c r="H36" s="967" t="e">
        <f>+'320201'!#REF!</f>
        <v>#REF!</v>
      </c>
      <c r="I36" s="920"/>
      <c r="J36" s="920">
        <v>61301770</v>
      </c>
      <c r="K36" s="920">
        <v>64366858.5</v>
      </c>
      <c r="L36" s="920">
        <v>69516207.180000007</v>
      </c>
      <c r="M36" s="922">
        <f>SUM(I36:L36)</f>
        <v>195184835.68000001</v>
      </c>
      <c r="N36" s="905" t="s">
        <v>1212</v>
      </c>
    </row>
    <row r="37" spans="1:14" ht="28.5">
      <c r="A37" s="898" t="s">
        <v>1001</v>
      </c>
      <c r="B37" s="785" t="s">
        <v>1098</v>
      </c>
      <c r="C37" s="785">
        <v>100</v>
      </c>
      <c r="D37" s="785">
        <v>100</v>
      </c>
      <c r="E37" s="785">
        <v>100</v>
      </c>
      <c r="F37" s="785">
        <v>100</v>
      </c>
      <c r="G37" s="785">
        <v>100</v>
      </c>
      <c r="H37" s="973">
        <f>SUM(H38:H39)</f>
        <v>410300711.72000003</v>
      </c>
      <c r="I37" s="921">
        <f>SUM(I38:I39)</f>
        <v>235160611</v>
      </c>
      <c r="J37" s="921">
        <f t="shared" ref="J37:L37" si="10">SUM(J38:J39)</f>
        <v>246918641.55000001</v>
      </c>
      <c r="K37" s="921">
        <f t="shared" si="10"/>
        <v>259264573.6275</v>
      </c>
      <c r="L37" s="921">
        <f t="shared" si="10"/>
        <v>280005739.51770002</v>
      </c>
      <c r="M37" s="921">
        <f>SUM(M38:M39)</f>
        <v>1021349565.6952</v>
      </c>
      <c r="N37" s="943"/>
    </row>
    <row r="38" spans="1:14" s="161" customFormat="1" ht="99.75">
      <c r="A38" s="900" t="s">
        <v>1002</v>
      </c>
      <c r="B38" s="784" t="s">
        <v>1098</v>
      </c>
      <c r="C38" s="784">
        <v>100</v>
      </c>
      <c r="D38" s="783">
        <v>100</v>
      </c>
      <c r="E38" s="783">
        <v>100</v>
      </c>
      <c r="F38" s="783">
        <v>100</v>
      </c>
      <c r="G38" s="784">
        <v>100</v>
      </c>
      <c r="H38" s="967">
        <f>+'320201'!M16</f>
        <v>57674778.860000007</v>
      </c>
      <c r="I38" s="928">
        <v>105127011</v>
      </c>
      <c r="J38" s="928">
        <v>110383361.55000001</v>
      </c>
      <c r="K38" s="928">
        <v>115902529.62750001</v>
      </c>
      <c r="L38" s="928">
        <v>125174731.99770002</v>
      </c>
      <c r="M38" s="922">
        <f t="shared" ref="M38:M39" si="11">SUM(I38:L38)</f>
        <v>456587634.17520005</v>
      </c>
      <c r="N38" s="939" t="s">
        <v>1213</v>
      </c>
    </row>
    <row r="39" spans="1:14" s="161" customFormat="1" ht="71.25">
      <c r="A39" s="900" t="s">
        <v>1003</v>
      </c>
      <c r="B39" s="784" t="s">
        <v>1098</v>
      </c>
      <c r="C39" s="784">
        <v>100</v>
      </c>
      <c r="D39" s="783">
        <v>100</v>
      </c>
      <c r="E39" s="783">
        <v>100</v>
      </c>
      <c r="F39" s="783">
        <v>100</v>
      </c>
      <c r="G39" s="784">
        <v>100</v>
      </c>
      <c r="H39" s="967">
        <f>+'320201'!M17</f>
        <v>352625932.86000001</v>
      </c>
      <c r="I39" s="928">
        <v>130033600</v>
      </c>
      <c r="J39" s="928">
        <v>136535280</v>
      </c>
      <c r="K39" s="928">
        <v>143362044</v>
      </c>
      <c r="L39" s="928">
        <v>154831007.52000001</v>
      </c>
      <c r="M39" s="922">
        <f t="shared" si="11"/>
        <v>564761931.51999998</v>
      </c>
      <c r="N39" s="939" t="s">
        <v>1214</v>
      </c>
    </row>
    <row r="40" spans="1:14" ht="42.75">
      <c r="A40" s="898" t="s">
        <v>999</v>
      </c>
      <c r="B40" s="785" t="s">
        <v>1098</v>
      </c>
      <c r="C40" s="785">
        <v>100</v>
      </c>
      <c r="D40" s="785">
        <v>100</v>
      </c>
      <c r="E40" s="785">
        <v>100</v>
      </c>
      <c r="F40" s="785">
        <v>100</v>
      </c>
      <c r="G40" s="785">
        <v>100</v>
      </c>
      <c r="H40" s="973">
        <f>SUM(H41)</f>
        <v>520944435</v>
      </c>
      <c r="I40" s="921">
        <f>SUM(I41)</f>
        <v>680703167</v>
      </c>
      <c r="J40" s="921">
        <f>SUM(J41)</f>
        <v>378464774.10000002</v>
      </c>
      <c r="K40" s="921">
        <f t="shared" ref="K40" si="12">SUM(K41)</f>
        <v>397388012.80500007</v>
      </c>
      <c r="L40" s="921">
        <f>SUM(L41)</f>
        <v>429179053.82940012</v>
      </c>
      <c r="M40" s="921">
        <f>SUM(M41)</f>
        <v>1885735007.7344003</v>
      </c>
      <c r="N40" s="943"/>
    </row>
    <row r="41" spans="1:14" ht="57">
      <c r="A41" s="900" t="s">
        <v>1000</v>
      </c>
      <c r="B41" s="784" t="s">
        <v>408</v>
      </c>
      <c r="C41" s="784">
        <v>2</v>
      </c>
      <c r="D41" s="784">
        <v>2</v>
      </c>
      <c r="E41" s="784">
        <v>2</v>
      </c>
      <c r="F41" s="784">
        <v>2</v>
      </c>
      <c r="G41" s="784">
        <v>2</v>
      </c>
      <c r="H41" s="967">
        <f>+'320201'!M19</f>
        <v>520944435</v>
      </c>
      <c r="I41" s="922">
        <v>680703167</v>
      </c>
      <c r="J41" s="922">
        <v>378464774.10000002</v>
      </c>
      <c r="K41" s="922">
        <v>397388012.80500007</v>
      </c>
      <c r="L41" s="922">
        <v>429179053.82940012</v>
      </c>
      <c r="M41" s="922">
        <f>SUM(I41:L41)</f>
        <v>1885735007.7344003</v>
      </c>
      <c r="N41" s="939" t="s">
        <v>1215</v>
      </c>
    </row>
    <row r="42" spans="1:14" ht="42.75">
      <c r="A42" s="898" t="s">
        <v>962</v>
      </c>
      <c r="B42" s="899"/>
      <c r="C42" s="785">
        <v>100</v>
      </c>
      <c r="D42" s="785">
        <v>100</v>
      </c>
      <c r="E42" s="785">
        <v>100</v>
      </c>
      <c r="F42" s="785">
        <v>100</v>
      </c>
      <c r="G42" s="785">
        <v>100</v>
      </c>
      <c r="H42" s="974" t="e">
        <f>+'320201'!#REF!</f>
        <v>#REF!</v>
      </c>
      <c r="I42" s="921">
        <v>248680195</v>
      </c>
      <c r="J42" s="921">
        <v>249923595.97499996</v>
      </c>
      <c r="K42" s="921">
        <v>262419775.77375001</v>
      </c>
      <c r="L42" s="921">
        <v>283413357.83565003</v>
      </c>
      <c r="M42" s="921">
        <v>1044436924.5843999</v>
      </c>
      <c r="N42" s="940"/>
    </row>
    <row r="43" spans="1:14">
      <c r="A43" s="2080" t="s">
        <v>1170</v>
      </c>
      <c r="B43" s="2081"/>
      <c r="C43" s="2081"/>
      <c r="D43" s="2081"/>
      <c r="E43" s="2081"/>
      <c r="F43" s="2081"/>
      <c r="G43" s="2082"/>
      <c r="H43" s="975" t="e">
        <f t="shared" ref="H43:M43" si="13">+H30+H32+H37+H40+H42</f>
        <v>#REF!</v>
      </c>
      <c r="I43" s="923">
        <f t="shared" si="13"/>
        <v>3339374113</v>
      </c>
      <c r="J43" s="923">
        <f t="shared" si="13"/>
        <v>3004969771.8099995</v>
      </c>
      <c r="K43" s="923">
        <f t="shared" si="13"/>
        <v>3155218260.4004998</v>
      </c>
      <c r="L43" s="923">
        <f t="shared" si="13"/>
        <v>3407635721.2325401</v>
      </c>
      <c r="M43" s="923">
        <f t="shared" si="13"/>
        <v>12907197866.443041</v>
      </c>
      <c r="N43" s="941"/>
    </row>
    <row r="44" spans="1:14">
      <c r="A44" s="125"/>
      <c r="B44"/>
      <c r="C44"/>
      <c r="D44"/>
      <c r="E44"/>
      <c r="F44"/>
      <c r="G44"/>
      <c r="H44" s="963"/>
      <c r="I44"/>
      <c r="J44"/>
      <c r="K44"/>
      <c r="L44"/>
      <c r="M44"/>
      <c r="N44"/>
    </row>
    <row r="45" spans="1:14" ht="45">
      <c r="A45" s="892" t="s">
        <v>188</v>
      </c>
      <c r="B45" s="893" t="s">
        <v>190</v>
      </c>
      <c r="C45" s="892">
        <v>2024</v>
      </c>
      <c r="D45" s="893">
        <v>2025</v>
      </c>
      <c r="E45" s="893">
        <v>2026</v>
      </c>
      <c r="F45" s="893">
        <v>2027</v>
      </c>
      <c r="G45" s="893" t="s">
        <v>142</v>
      </c>
      <c r="H45" s="970"/>
      <c r="I45" s="892" t="s">
        <v>1196</v>
      </c>
      <c r="J45" s="892">
        <v>2025</v>
      </c>
      <c r="K45" s="892">
        <v>2026</v>
      </c>
      <c r="L45" s="892">
        <v>2027</v>
      </c>
      <c r="M45" s="915" t="s">
        <v>10</v>
      </c>
      <c r="N45" s="937" t="s">
        <v>1166</v>
      </c>
    </row>
    <row r="46" spans="1:14" ht="42.75">
      <c r="A46" s="894" t="s">
        <v>1006</v>
      </c>
      <c r="B46" s="895" t="s">
        <v>1098</v>
      </c>
      <c r="C46" s="895">
        <v>100</v>
      </c>
      <c r="D46" s="895">
        <v>100</v>
      </c>
      <c r="E46" s="895">
        <v>100</v>
      </c>
      <c r="F46" s="895">
        <v>100</v>
      </c>
      <c r="G46" s="895">
        <v>100</v>
      </c>
      <c r="H46" s="972">
        <f t="shared" ref="H46:L46" si="14">SUM(H47:H49)</f>
        <v>1002214843.1873777</v>
      </c>
      <c r="I46" s="916">
        <f t="shared" si="14"/>
        <v>948602641</v>
      </c>
      <c r="J46" s="916">
        <f t="shared" si="14"/>
        <v>703345654.20499992</v>
      </c>
      <c r="K46" s="916">
        <f t="shared" si="14"/>
        <v>738512936.91524982</v>
      </c>
      <c r="L46" s="916">
        <f t="shared" si="14"/>
        <v>797593971.86846995</v>
      </c>
      <c r="M46" s="916">
        <f>SUM(M47:M49)</f>
        <v>3188055203.9887199</v>
      </c>
      <c r="N46" s="945"/>
    </row>
    <row r="47" spans="1:14" ht="38.25" customHeight="1">
      <c r="A47" s="900" t="s">
        <v>1067</v>
      </c>
      <c r="B47" s="784" t="s">
        <v>1098</v>
      </c>
      <c r="C47" s="786">
        <v>100</v>
      </c>
      <c r="D47" s="786">
        <v>100</v>
      </c>
      <c r="E47" s="786">
        <v>100</v>
      </c>
      <c r="F47" s="786">
        <v>100</v>
      </c>
      <c r="G47" s="786">
        <v>100</v>
      </c>
      <c r="H47" s="967">
        <f>+'320202'!G10</f>
        <v>54733723.280000001</v>
      </c>
      <c r="I47" s="928">
        <v>54733723</v>
      </c>
      <c r="J47" s="928">
        <v>55007391.614999995</v>
      </c>
      <c r="K47" s="928">
        <v>57757761.195749998</v>
      </c>
      <c r="L47" s="928">
        <v>62378382.091410004</v>
      </c>
      <c r="M47" s="922">
        <f t="shared" ref="M47:M49" si="15">SUM(I47:L47)</f>
        <v>229877257.90216002</v>
      </c>
      <c r="N47" s="939" t="s">
        <v>1216</v>
      </c>
    </row>
    <row r="48" spans="1:14" ht="38.25" customHeight="1">
      <c r="A48" s="900" t="s">
        <v>1068</v>
      </c>
      <c r="B48" s="784" t="s">
        <v>1098</v>
      </c>
      <c r="C48" s="786">
        <v>100</v>
      </c>
      <c r="D48" s="786">
        <v>100</v>
      </c>
      <c r="E48" s="786">
        <v>100</v>
      </c>
      <c r="F48" s="786">
        <v>100</v>
      </c>
      <c r="G48" s="786">
        <v>100</v>
      </c>
      <c r="H48" s="967">
        <f>+'320202'!G11</f>
        <v>765468572.90737772</v>
      </c>
      <c r="I48" s="928">
        <v>633013723</v>
      </c>
      <c r="J48" s="928">
        <v>486178791.61499989</v>
      </c>
      <c r="K48" s="928">
        <v>510487731.19574988</v>
      </c>
      <c r="L48" s="928">
        <v>551326749.69140995</v>
      </c>
      <c r="M48" s="922">
        <f t="shared" si="15"/>
        <v>2181006995.5021596</v>
      </c>
      <c r="N48" s="896" t="s">
        <v>1217</v>
      </c>
    </row>
    <row r="49" spans="1:14" ht="71.25">
      <c r="A49" s="900" t="s">
        <v>1066</v>
      </c>
      <c r="B49" s="784" t="s">
        <v>1101</v>
      </c>
      <c r="C49" s="784">
        <v>3</v>
      </c>
      <c r="D49" s="784">
        <v>3</v>
      </c>
      <c r="E49" s="784">
        <v>3</v>
      </c>
      <c r="F49" s="784">
        <v>3</v>
      </c>
      <c r="G49" s="784">
        <v>12</v>
      </c>
      <c r="H49" s="967">
        <f>+'320202'!G12</f>
        <v>182012547</v>
      </c>
      <c r="I49" s="920">
        <v>260855195</v>
      </c>
      <c r="J49" s="928">
        <v>162159470.97499996</v>
      </c>
      <c r="K49" s="928">
        <v>170267444.52374998</v>
      </c>
      <c r="L49" s="928">
        <v>183888840.08565</v>
      </c>
      <c r="M49" s="922">
        <f t="shared" si="15"/>
        <v>777170950.58439994</v>
      </c>
      <c r="N49" s="939" t="s">
        <v>1218</v>
      </c>
    </row>
    <row r="50" spans="1:14" ht="42.75">
      <c r="A50" s="894" t="s">
        <v>1004</v>
      </c>
      <c r="B50" s="895" t="s">
        <v>1098</v>
      </c>
      <c r="C50" s="895">
        <v>100</v>
      </c>
      <c r="D50" s="895">
        <v>100</v>
      </c>
      <c r="E50" s="895">
        <v>100</v>
      </c>
      <c r="F50" s="895">
        <v>100</v>
      </c>
      <c r="G50" s="895">
        <v>100</v>
      </c>
      <c r="H50" s="972">
        <f t="shared" ref="H50:M50" si="16">SUM(H51:H51)</f>
        <v>51230681</v>
      </c>
      <c r="I50" s="916">
        <f t="shared" si="16"/>
        <v>51230681</v>
      </c>
      <c r="J50" s="916">
        <f t="shared" si="16"/>
        <v>51486834.404999994</v>
      </c>
      <c r="K50" s="916">
        <f t="shared" si="16"/>
        <v>54061176.125249997</v>
      </c>
      <c r="L50" s="916">
        <f t="shared" si="16"/>
        <v>58386070.215269998</v>
      </c>
      <c r="M50" s="916">
        <f t="shared" si="16"/>
        <v>215164761.74552</v>
      </c>
      <c r="N50" s="944"/>
    </row>
    <row r="51" spans="1:14" ht="83.25" customHeight="1">
      <c r="A51" s="900" t="s">
        <v>1005</v>
      </c>
      <c r="B51" s="784" t="s">
        <v>1098</v>
      </c>
      <c r="C51" s="786">
        <v>100</v>
      </c>
      <c r="D51" s="786">
        <v>100</v>
      </c>
      <c r="E51" s="786">
        <v>100</v>
      </c>
      <c r="F51" s="786">
        <v>100</v>
      </c>
      <c r="G51" s="786">
        <v>100</v>
      </c>
      <c r="H51" s="967">
        <f>+'320202'!G14</f>
        <v>51230681</v>
      </c>
      <c r="I51" s="929">
        <v>51230681</v>
      </c>
      <c r="J51" s="929">
        <v>51486834.404999994</v>
      </c>
      <c r="K51" s="929">
        <v>54061176.125249997</v>
      </c>
      <c r="L51" s="929">
        <v>58386070.215269998</v>
      </c>
      <c r="M51" s="922">
        <f>SUM(I51:L51)</f>
        <v>215164761.74552</v>
      </c>
      <c r="N51" s="939" t="s">
        <v>1219</v>
      </c>
    </row>
    <row r="52" spans="1:14">
      <c r="A52" s="2080" t="s">
        <v>1170</v>
      </c>
      <c r="B52" s="2081"/>
      <c r="C52" s="2081"/>
      <c r="D52" s="2081"/>
      <c r="E52" s="2081"/>
      <c r="F52" s="2081"/>
      <c r="G52" s="2082"/>
      <c r="H52" s="975">
        <f t="shared" ref="H52:M52" si="17">+H46+H50</f>
        <v>1053445524.1873777</v>
      </c>
      <c r="I52" s="923">
        <f t="shared" si="17"/>
        <v>999833322</v>
      </c>
      <c r="J52" s="923">
        <f>+J46+J50</f>
        <v>754832488.6099999</v>
      </c>
      <c r="K52" s="923">
        <f t="shared" si="17"/>
        <v>792574113.04049981</v>
      </c>
      <c r="L52" s="923">
        <f t="shared" si="17"/>
        <v>855980042.08374</v>
      </c>
      <c r="M52" s="923">
        <f t="shared" si="17"/>
        <v>3403219965.7342401</v>
      </c>
      <c r="N52" s="941"/>
    </row>
    <row r="53" spans="1:14">
      <c r="A53" s="125"/>
      <c r="B53"/>
      <c r="C53"/>
      <c r="D53"/>
      <c r="E53"/>
      <c r="F53"/>
      <c r="G53"/>
      <c r="H53" s="963"/>
      <c r="I53" s="25"/>
      <c r="J53"/>
      <c r="K53"/>
      <c r="L53"/>
      <c r="M53"/>
      <c r="N53"/>
    </row>
    <row r="54" spans="1:14">
      <c r="A54" s="125"/>
      <c r="B54"/>
      <c r="C54"/>
      <c r="D54"/>
      <c r="E54"/>
      <c r="F54"/>
      <c r="G54"/>
      <c r="H54" s="963"/>
      <c r="I54"/>
      <c r="J54"/>
      <c r="K54"/>
      <c r="L54"/>
      <c r="M54"/>
      <c r="N54"/>
    </row>
    <row r="55" spans="1:14" ht="45">
      <c r="A55" s="892" t="s">
        <v>188</v>
      </c>
      <c r="B55" s="893" t="s">
        <v>190</v>
      </c>
      <c r="C55" s="892">
        <v>2024</v>
      </c>
      <c r="D55" s="892">
        <v>2025</v>
      </c>
      <c r="E55" s="892">
        <v>2026</v>
      </c>
      <c r="F55" s="892">
        <v>2027</v>
      </c>
      <c r="G55" s="893" t="s">
        <v>142</v>
      </c>
      <c r="H55" s="970"/>
      <c r="I55" s="892" t="s">
        <v>1196</v>
      </c>
      <c r="J55" s="892">
        <v>2025</v>
      </c>
      <c r="K55" s="892">
        <v>2026</v>
      </c>
      <c r="L55" s="892">
        <v>2027</v>
      </c>
      <c r="M55" s="915" t="s">
        <v>10</v>
      </c>
      <c r="N55" s="937" t="s">
        <v>1166</v>
      </c>
    </row>
    <row r="56" spans="1:14" ht="42.75">
      <c r="A56" s="894" t="s">
        <v>1080</v>
      </c>
      <c r="B56" s="895" t="s">
        <v>1098</v>
      </c>
      <c r="C56" s="895">
        <v>15</v>
      </c>
      <c r="D56" s="895">
        <v>35</v>
      </c>
      <c r="E56" s="895">
        <v>15</v>
      </c>
      <c r="F56" s="895">
        <v>35</v>
      </c>
      <c r="G56" s="895">
        <v>100</v>
      </c>
      <c r="H56" s="972">
        <f>SUM(H57)</f>
        <v>209279173.49640009</v>
      </c>
      <c r="I56" s="916">
        <f>SUM(I57)</f>
        <v>201974178</v>
      </c>
      <c r="J56" s="916">
        <f t="shared" ref="J56:M56" si="18">SUM(J57)</f>
        <v>442061200</v>
      </c>
      <c r="K56" s="916">
        <f>SUM(K57)</f>
        <v>202743603.44</v>
      </c>
      <c r="L56" s="916">
        <f t="shared" si="18"/>
        <v>451268020.55999994</v>
      </c>
      <c r="M56" s="916">
        <f t="shared" si="18"/>
        <v>1298047002</v>
      </c>
      <c r="N56" s="944"/>
    </row>
    <row r="57" spans="1:14" ht="64.5" customHeight="1">
      <c r="A57" s="900" t="s">
        <v>1081</v>
      </c>
      <c r="B57" s="783" t="s">
        <v>1115</v>
      </c>
      <c r="C57" s="784">
        <v>15</v>
      </c>
      <c r="D57" s="784">
        <v>35</v>
      </c>
      <c r="E57" s="784">
        <v>15</v>
      </c>
      <c r="F57" s="784">
        <v>35</v>
      </c>
      <c r="G57" s="784">
        <v>100</v>
      </c>
      <c r="H57" s="967">
        <f>+'320301'!N11</f>
        <v>209279173.49640009</v>
      </c>
      <c r="I57" s="922">
        <v>201974178</v>
      </c>
      <c r="J57" s="922">
        <v>442061200</v>
      </c>
      <c r="K57" s="922">
        <v>202743603.44</v>
      </c>
      <c r="L57" s="922">
        <v>451268020.55999994</v>
      </c>
      <c r="M57" s="922">
        <f>SUM(I57:L57)</f>
        <v>1298047002</v>
      </c>
      <c r="N57" s="939" t="s">
        <v>1220</v>
      </c>
    </row>
    <row r="58" spans="1:14" ht="42.75">
      <c r="A58" s="894" t="s">
        <v>1082</v>
      </c>
      <c r="B58" s="895" t="s">
        <v>1098</v>
      </c>
      <c r="C58" s="895"/>
      <c r="D58" s="895">
        <v>100</v>
      </c>
      <c r="E58" s="895">
        <v>100</v>
      </c>
      <c r="F58" s="895">
        <v>100</v>
      </c>
      <c r="G58" s="895">
        <v>100</v>
      </c>
      <c r="H58" s="972">
        <f t="shared" ref="H58:M58" si="19">SUM(H59)</f>
        <v>7028000</v>
      </c>
      <c r="I58" s="916">
        <f t="shared" si="19"/>
        <v>127593802</v>
      </c>
      <c r="J58" s="916">
        <f t="shared" si="19"/>
        <v>257590256</v>
      </c>
      <c r="K58" s="916">
        <f t="shared" si="19"/>
        <v>115632457.08</v>
      </c>
      <c r="L58" s="916">
        <f t="shared" si="19"/>
        <v>308353218.88000005</v>
      </c>
      <c r="M58" s="916">
        <f t="shared" si="19"/>
        <v>809169733.96000004</v>
      </c>
      <c r="N58" s="944"/>
    </row>
    <row r="59" spans="1:14" ht="53.25" customHeight="1">
      <c r="A59" s="900" t="s">
        <v>1083</v>
      </c>
      <c r="B59" s="784" t="s">
        <v>408</v>
      </c>
      <c r="C59" s="786"/>
      <c r="D59" s="786">
        <v>50</v>
      </c>
      <c r="E59" s="786">
        <v>15</v>
      </c>
      <c r="F59" s="786">
        <v>35</v>
      </c>
      <c r="G59" s="786">
        <v>100</v>
      </c>
      <c r="H59" s="996">
        <v>7028000</v>
      </c>
      <c r="I59" s="922">
        <v>127593802</v>
      </c>
      <c r="J59" s="922">
        <v>257590256</v>
      </c>
      <c r="K59" s="922">
        <v>115632457.08</v>
      </c>
      <c r="L59" s="922">
        <v>308353218.88000005</v>
      </c>
      <c r="M59" s="922">
        <f>SUM(I59:L59)</f>
        <v>809169733.96000004</v>
      </c>
      <c r="N59" s="939" t="s">
        <v>1221</v>
      </c>
    </row>
    <row r="60" spans="1:14" ht="28.5">
      <c r="A60" s="898" t="s">
        <v>1084</v>
      </c>
      <c r="B60" s="785" t="s">
        <v>1098</v>
      </c>
      <c r="C60" s="785">
        <v>100</v>
      </c>
      <c r="D60" s="785">
        <v>100</v>
      </c>
      <c r="E60" s="785">
        <v>100</v>
      </c>
      <c r="F60" s="785">
        <v>100</v>
      </c>
      <c r="G60" s="785">
        <v>100</v>
      </c>
      <c r="H60" s="973">
        <f t="shared" ref="H60:M60" si="20">SUM(H61)</f>
        <v>1607633589.011065</v>
      </c>
      <c r="I60" s="921">
        <f t="shared" si="20"/>
        <v>1496805311</v>
      </c>
      <c r="J60" s="921">
        <f t="shared" si="20"/>
        <v>1221437254.2599998</v>
      </c>
      <c r="K60" s="921">
        <f t="shared" si="20"/>
        <v>1282509116.9729998</v>
      </c>
      <c r="L60" s="921">
        <f t="shared" si="20"/>
        <v>1385109846.3308399</v>
      </c>
      <c r="M60" s="921">
        <f t="shared" si="20"/>
        <v>5385861528.5638399</v>
      </c>
      <c r="N60" s="943"/>
    </row>
    <row r="61" spans="1:14" ht="42.75">
      <c r="A61" s="903" t="s">
        <v>1085</v>
      </c>
      <c r="B61" s="783" t="s">
        <v>1098</v>
      </c>
      <c r="C61" s="786">
        <v>100</v>
      </c>
      <c r="D61" s="786">
        <v>100</v>
      </c>
      <c r="E61" s="786">
        <v>100</v>
      </c>
      <c r="F61" s="786">
        <v>100</v>
      </c>
      <c r="G61" s="786">
        <v>100</v>
      </c>
      <c r="H61" s="930">
        <f>+'320301'!N15</f>
        <v>1607633589.011065</v>
      </c>
      <c r="I61" s="922">
        <v>1496805311</v>
      </c>
      <c r="J61" s="922">
        <v>1221437254.2599998</v>
      </c>
      <c r="K61" s="922">
        <v>1282509116.9729998</v>
      </c>
      <c r="L61" s="922">
        <v>1385109846.3308399</v>
      </c>
      <c r="M61" s="922">
        <f>SUM(I61:L61)</f>
        <v>5385861528.5638399</v>
      </c>
      <c r="N61" s="902" t="s">
        <v>1222</v>
      </c>
    </row>
    <row r="62" spans="1:14">
      <c r="A62" s="898" t="s">
        <v>1120</v>
      </c>
      <c r="B62" s="785" t="s">
        <v>1098</v>
      </c>
      <c r="C62" s="785">
        <v>100</v>
      </c>
      <c r="D62" s="785">
        <v>100</v>
      </c>
      <c r="E62" s="785">
        <v>100</v>
      </c>
      <c r="F62" s="785">
        <v>100</v>
      </c>
      <c r="G62" s="785">
        <v>100</v>
      </c>
      <c r="H62" s="973">
        <f>SUM(H63:H65)</f>
        <v>1413980995.1136</v>
      </c>
      <c r="I62" s="921">
        <f>SUM(I63:I65)</f>
        <v>1413980995</v>
      </c>
      <c r="J62" s="921">
        <f t="shared" ref="J62:L62" si="21">SUM(J63:J65)</f>
        <v>1142027648.78</v>
      </c>
      <c r="K62" s="921">
        <f t="shared" si="21"/>
        <v>1197711531.2189999</v>
      </c>
      <c r="L62" s="921">
        <f t="shared" si="21"/>
        <v>1278948453.7165201</v>
      </c>
      <c r="M62" s="921">
        <f>SUM(M63:M65)</f>
        <v>5032668628.7155199</v>
      </c>
      <c r="N62" s="943"/>
    </row>
    <row r="63" spans="1:14" ht="48" customHeight="1">
      <c r="A63" s="900" t="s">
        <v>1119</v>
      </c>
      <c r="B63" s="783" t="s">
        <v>1098</v>
      </c>
      <c r="C63" s="784">
        <v>100</v>
      </c>
      <c r="D63" s="784">
        <v>100</v>
      </c>
      <c r="E63" s="784">
        <v>100</v>
      </c>
      <c r="F63" s="784">
        <v>100</v>
      </c>
      <c r="G63" s="784">
        <v>100</v>
      </c>
      <c r="H63" s="930">
        <f>+'320301'!N17</f>
        <v>333276996.79999995</v>
      </c>
      <c r="I63" s="922">
        <v>333276997</v>
      </c>
      <c r="J63" s="922">
        <v>334879627.98499995</v>
      </c>
      <c r="K63" s="922">
        <v>351623609.38424999</v>
      </c>
      <c r="L63" s="922">
        <v>379753498.13499004</v>
      </c>
      <c r="M63" s="922">
        <f t="shared" ref="M63:M65" si="22">SUM(I63:L63)</f>
        <v>1399533732.5042398</v>
      </c>
      <c r="N63" s="939" t="s">
        <v>1223</v>
      </c>
    </row>
    <row r="64" spans="1:14" ht="42.75" customHeight="1">
      <c r="A64" s="900" t="s">
        <v>1121</v>
      </c>
      <c r="B64" s="783" t="s">
        <v>1098</v>
      </c>
      <c r="C64" s="784">
        <v>100</v>
      </c>
      <c r="D64" s="784">
        <v>100</v>
      </c>
      <c r="E64" s="784">
        <v>100</v>
      </c>
      <c r="F64" s="784">
        <v>100</v>
      </c>
      <c r="G64" s="784">
        <v>100</v>
      </c>
      <c r="H64" s="930">
        <f>+'320301'!N18</f>
        <v>1080703998.3136001</v>
      </c>
      <c r="I64" s="922">
        <v>1080703998</v>
      </c>
      <c r="J64" s="922">
        <v>535798020.79499996</v>
      </c>
      <c r="K64" s="922">
        <v>562587921.83474994</v>
      </c>
      <c r="L64" s="922">
        <v>607594955.58152997</v>
      </c>
      <c r="M64" s="922">
        <f t="shared" si="22"/>
        <v>2786684896.2112803</v>
      </c>
      <c r="N64" s="939" t="s">
        <v>1224</v>
      </c>
    </row>
    <row r="65" spans="1:14" ht="58.5" customHeight="1">
      <c r="A65" s="900" t="s">
        <v>1122</v>
      </c>
      <c r="B65" s="783" t="s">
        <v>1115</v>
      </c>
      <c r="C65" s="783">
        <v>100</v>
      </c>
      <c r="D65" s="783">
        <v>100</v>
      </c>
      <c r="E65" s="783">
        <v>100</v>
      </c>
      <c r="F65" s="783">
        <v>100</v>
      </c>
      <c r="G65" s="783">
        <v>100</v>
      </c>
      <c r="H65" s="930">
        <f>+'320301'!N19</f>
        <v>0</v>
      </c>
      <c r="I65" s="922"/>
      <c r="J65" s="922">
        <v>271350000</v>
      </c>
      <c r="K65" s="922">
        <v>283500000</v>
      </c>
      <c r="L65" s="922">
        <v>291600000</v>
      </c>
      <c r="M65" s="922">
        <f t="shared" si="22"/>
        <v>846450000</v>
      </c>
      <c r="N65" s="939" t="s">
        <v>1225</v>
      </c>
    </row>
    <row r="66" spans="1:14" ht="28.5">
      <c r="A66" s="898" t="s">
        <v>1172</v>
      </c>
      <c r="B66" s="785" t="s">
        <v>1098</v>
      </c>
      <c r="C66" s="785"/>
      <c r="D66" s="785"/>
      <c r="E66" s="785">
        <v>50</v>
      </c>
      <c r="F66" s="785">
        <v>50</v>
      </c>
      <c r="G66" s="785">
        <v>100</v>
      </c>
      <c r="H66" s="973" t="e">
        <f t="shared" ref="H66:M66" si="23">SUM(H67)</f>
        <v>#REF!</v>
      </c>
      <c r="I66" s="921">
        <f t="shared" si="23"/>
        <v>0</v>
      </c>
      <c r="J66" s="921">
        <f t="shared" si="23"/>
        <v>0</v>
      </c>
      <c r="K66" s="921">
        <f t="shared" si="23"/>
        <v>400000000</v>
      </c>
      <c r="L66" s="921">
        <f t="shared" si="23"/>
        <v>432000000</v>
      </c>
      <c r="M66" s="921">
        <f t="shared" si="23"/>
        <v>832000000</v>
      </c>
      <c r="N66" s="943"/>
    </row>
    <row r="67" spans="1:14" ht="95.1" customHeight="1">
      <c r="A67" s="900" t="s">
        <v>1173</v>
      </c>
      <c r="B67" s="783" t="s">
        <v>1098</v>
      </c>
      <c r="C67" s="784"/>
      <c r="D67" s="784"/>
      <c r="E67" s="784">
        <v>50</v>
      </c>
      <c r="F67" s="784">
        <v>50</v>
      </c>
      <c r="G67" s="784">
        <v>100</v>
      </c>
      <c r="H67" s="930" t="e">
        <f>+'320301'!#REF!</f>
        <v>#REF!</v>
      </c>
      <c r="I67" s="922"/>
      <c r="J67" s="922"/>
      <c r="K67" s="922">
        <v>400000000</v>
      </c>
      <c r="L67" s="922">
        <v>432000000</v>
      </c>
      <c r="M67" s="922">
        <f>SUM(I67:L67)</f>
        <v>832000000</v>
      </c>
      <c r="N67" s="939" t="s">
        <v>1226</v>
      </c>
    </row>
    <row r="68" spans="1:14">
      <c r="A68" s="2080" t="s">
        <v>1170</v>
      </c>
      <c r="B68" s="2081"/>
      <c r="C68" s="2081"/>
      <c r="D68" s="2081"/>
      <c r="E68" s="2081"/>
      <c r="F68" s="2081"/>
      <c r="G68" s="2082"/>
      <c r="H68" s="975" t="e">
        <f>+H56+H58+H60+H62+H66</f>
        <v>#REF!</v>
      </c>
      <c r="I68" s="923">
        <f>+I56+I58+I60+I62+I66</f>
        <v>3240354286</v>
      </c>
      <c r="J68" s="923">
        <f t="shared" ref="J68:M68" si="24">+J56+J58+J60+J62+J66</f>
        <v>3063116359.04</v>
      </c>
      <c r="K68" s="923">
        <f t="shared" si="24"/>
        <v>3198596708.7119999</v>
      </c>
      <c r="L68" s="923">
        <f t="shared" si="24"/>
        <v>3855679539.48736</v>
      </c>
      <c r="M68" s="923">
        <f t="shared" si="24"/>
        <v>13357746893.239361</v>
      </c>
      <c r="N68" s="941"/>
    </row>
    <row r="69" spans="1:14">
      <c r="A69" s="125"/>
      <c r="B69"/>
      <c r="C69"/>
      <c r="D69"/>
      <c r="E69"/>
      <c r="F69"/>
      <c r="G69"/>
      <c r="H69" s="963"/>
      <c r="I69"/>
      <c r="J69"/>
      <c r="K69"/>
      <c r="L69"/>
      <c r="M69"/>
      <c r="N69"/>
    </row>
    <row r="70" spans="1:14" ht="45">
      <c r="A70" s="892" t="s">
        <v>188</v>
      </c>
      <c r="B70" s="893" t="s">
        <v>190</v>
      </c>
      <c r="C70" s="892">
        <v>2024</v>
      </c>
      <c r="D70" s="892">
        <v>2025</v>
      </c>
      <c r="E70" s="892">
        <v>2026</v>
      </c>
      <c r="F70" s="892">
        <v>2027</v>
      </c>
      <c r="G70" s="893" t="s">
        <v>142</v>
      </c>
      <c r="H70" s="970"/>
      <c r="I70" s="892" t="s">
        <v>1196</v>
      </c>
      <c r="J70" s="892">
        <v>2025</v>
      </c>
      <c r="K70" s="892">
        <v>2026</v>
      </c>
      <c r="L70" s="892">
        <v>2027</v>
      </c>
      <c r="M70" s="915" t="s">
        <v>10</v>
      </c>
      <c r="N70" s="937" t="s">
        <v>1166</v>
      </c>
    </row>
    <row r="71" spans="1:14" ht="57">
      <c r="A71" s="898" t="s">
        <v>1046</v>
      </c>
      <c r="B71" s="785" t="s">
        <v>1098</v>
      </c>
      <c r="C71" s="785"/>
      <c r="D71" s="785">
        <v>100</v>
      </c>
      <c r="E71" s="785"/>
      <c r="F71" s="785"/>
      <c r="G71" s="785">
        <v>100</v>
      </c>
      <c r="H71" s="973" t="e">
        <f>SUM(H72)</f>
        <v>#REF!</v>
      </c>
      <c r="I71" s="921">
        <f>SUM(I72)</f>
        <v>0</v>
      </c>
      <c r="J71" s="921">
        <f t="shared" ref="J71:K71" si="25">SUM(J72)</f>
        <v>50000000</v>
      </c>
      <c r="K71" s="921">
        <f t="shared" si="25"/>
        <v>0</v>
      </c>
      <c r="L71" s="921">
        <f>SUM(L72)</f>
        <v>0</v>
      </c>
      <c r="M71" s="921">
        <f>SUM(M72)</f>
        <v>50000000</v>
      </c>
      <c r="N71" s="943"/>
    </row>
    <row r="72" spans="1:14" ht="65.25" customHeight="1">
      <c r="A72" s="900" t="s">
        <v>1047</v>
      </c>
      <c r="B72" s="787" t="s">
        <v>408</v>
      </c>
      <c r="C72" s="787"/>
      <c r="D72" s="787">
        <v>1</v>
      </c>
      <c r="E72" s="787"/>
      <c r="F72" s="787"/>
      <c r="G72" s="787">
        <v>1</v>
      </c>
      <c r="H72" s="930" t="e">
        <f>+'320302'!#REF!</f>
        <v>#REF!</v>
      </c>
      <c r="I72" s="922"/>
      <c r="J72" s="922">
        <v>50000000</v>
      </c>
      <c r="K72" s="922"/>
      <c r="L72" s="922"/>
      <c r="M72" s="922">
        <f>SUM(I72:L72)</f>
        <v>50000000</v>
      </c>
      <c r="N72" s="905" t="s">
        <v>1227</v>
      </c>
    </row>
    <row r="73" spans="1:14" ht="42.75">
      <c r="A73" s="898" t="s">
        <v>1048</v>
      </c>
      <c r="B73" s="785" t="s">
        <v>1098</v>
      </c>
      <c r="C73" s="785">
        <v>100</v>
      </c>
      <c r="D73" s="785">
        <v>100</v>
      </c>
      <c r="E73" s="785">
        <v>100</v>
      </c>
      <c r="F73" s="785">
        <v>100</v>
      </c>
      <c r="G73" s="785">
        <v>100</v>
      </c>
      <c r="H73" s="973" t="e">
        <f t="shared" ref="H73:M73" si="26">SUM(H74)</f>
        <v>#REF!</v>
      </c>
      <c r="I73" s="921">
        <f t="shared" si="26"/>
        <v>30000000</v>
      </c>
      <c r="J73" s="921">
        <f t="shared" si="26"/>
        <v>50000000</v>
      </c>
      <c r="K73" s="921">
        <f t="shared" si="26"/>
        <v>56100000</v>
      </c>
      <c r="L73" s="921">
        <f t="shared" si="26"/>
        <v>60588000.000000007</v>
      </c>
      <c r="M73" s="921">
        <f t="shared" si="26"/>
        <v>196688000</v>
      </c>
      <c r="N73" s="943"/>
    </row>
    <row r="74" spans="1:14" s="161" customFormat="1" ht="60.75" customHeight="1">
      <c r="A74" s="900" t="s">
        <v>1049</v>
      </c>
      <c r="B74" s="787" t="s">
        <v>408</v>
      </c>
      <c r="C74" s="787">
        <v>6</v>
      </c>
      <c r="D74" s="787">
        <v>6</v>
      </c>
      <c r="E74" s="787">
        <v>6</v>
      </c>
      <c r="F74" s="787">
        <v>6</v>
      </c>
      <c r="G74" s="787">
        <v>6</v>
      </c>
      <c r="H74" s="930" t="e">
        <f>+'320302'!#REF!</f>
        <v>#REF!</v>
      </c>
      <c r="I74" s="922">
        <v>30000000</v>
      </c>
      <c r="J74" s="922">
        <v>50000000</v>
      </c>
      <c r="K74" s="922">
        <v>56100000</v>
      </c>
      <c r="L74" s="922">
        <v>60588000.000000007</v>
      </c>
      <c r="M74" s="922">
        <f>SUM(I74:L74)</f>
        <v>196688000</v>
      </c>
      <c r="N74" s="906" t="s">
        <v>1228</v>
      </c>
    </row>
    <row r="75" spans="1:14" ht="71.25">
      <c r="A75" s="894" t="s">
        <v>1079</v>
      </c>
      <c r="B75" s="895" t="s">
        <v>1098</v>
      </c>
      <c r="C75" s="895">
        <v>100</v>
      </c>
      <c r="D75" s="895">
        <v>100</v>
      </c>
      <c r="E75" s="895">
        <v>100</v>
      </c>
      <c r="F75" s="895">
        <v>100</v>
      </c>
      <c r="G75" s="895">
        <v>100</v>
      </c>
      <c r="H75" s="972">
        <f t="shared" ref="H75:M75" si="27">SUM(H76)</f>
        <v>5973722513.7700005</v>
      </c>
      <c r="I75" s="916">
        <f t="shared" si="27"/>
        <v>5755042319</v>
      </c>
      <c r="J75" s="916">
        <f t="shared" si="27"/>
        <v>5643794434.9499998</v>
      </c>
      <c r="K75" s="916">
        <f t="shared" si="27"/>
        <v>5925984156.6975002</v>
      </c>
      <c r="L75" s="916">
        <f t="shared" si="27"/>
        <v>6332119066.8609056</v>
      </c>
      <c r="M75" s="916">
        <f t="shared" si="27"/>
        <v>23656939977.508404</v>
      </c>
      <c r="N75" s="944"/>
    </row>
    <row r="76" spans="1:14" s="161" customFormat="1" ht="48.75" customHeight="1">
      <c r="A76" s="900" t="s">
        <v>1174</v>
      </c>
      <c r="B76" s="787" t="s">
        <v>1102</v>
      </c>
      <c r="C76" s="787">
        <v>7</v>
      </c>
      <c r="D76" s="787">
        <v>7</v>
      </c>
      <c r="E76" s="787">
        <v>7</v>
      </c>
      <c r="F76" s="787">
        <v>8</v>
      </c>
      <c r="G76" s="787">
        <v>8</v>
      </c>
      <c r="H76" s="922">
        <f>+'320302'!L11</f>
        <v>5973722513.7700005</v>
      </c>
      <c r="I76" s="922">
        <v>5755042319</v>
      </c>
      <c r="J76" s="922">
        <v>5643794434.9499998</v>
      </c>
      <c r="K76" s="922">
        <v>5925984156.6975002</v>
      </c>
      <c r="L76" s="922">
        <v>6332119066.8609056</v>
      </c>
      <c r="M76" s="922">
        <f>SUM(I76:L76)</f>
        <v>23656939977.508404</v>
      </c>
      <c r="N76" s="905" t="s">
        <v>1265</v>
      </c>
    </row>
    <row r="77" spans="1:14" ht="28.5">
      <c r="A77" s="894" t="s">
        <v>1175</v>
      </c>
      <c r="B77" s="895" t="s">
        <v>1098</v>
      </c>
      <c r="C77" s="895">
        <v>100</v>
      </c>
      <c r="D77" s="895">
        <v>100</v>
      </c>
      <c r="E77" s="895">
        <v>100</v>
      </c>
      <c r="F77" s="895">
        <v>100</v>
      </c>
      <c r="G77" s="895">
        <v>100</v>
      </c>
      <c r="H77" s="972">
        <f t="shared" ref="H77:M77" si="28">SUM(H78)</f>
        <v>120000000</v>
      </c>
      <c r="I77" s="916">
        <f t="shared" si="28"/>
        <v>120000000</v>
      </c>
      <c r="J77" s="916">
        <f t="shared" si="28"/>
        <v>120599999.99999999</v>
      </c>
      <c r="K77" s="916">
        <f t="shared" si="28"/>
        <v>126629999.99999999</v>
      </c>
      <c r="L77" s="916">
        <f t="shared" si="28"/>
        <v>132961499.99999999</v>
      </c>
      <c r="M77" s="916">
        <f t="shared" si="28"/>
        <v>500191500</v>
      </c>
      <c r="N77" s="944"/>
    </row>
    <row r="78" spans="1:14" ht="57">
      <c r="A78" s="900" t="s">
        <v>1176</v>
      </c>
      <c r="B78" s="783" t="s">
        <v>1099</v>
      </c>
      <c r="C78" s="783">
        <v>30</v>
      </c>
      <c r="D78" s="783">
        <v>30</v>
      </c>
      <c r="E78" s="783">
        <v>30</v>
      </c>
      <c r="F78" s="783">
        <v>30</v>
      </c>
      <c r="G78" s="783">
        <v>120</v>
      </c>
      <c r="H78" s="930">
        <f>+'320302'!L13</f>
        <v>120000000</v>
      </c>
      <c r="I78" s="922">
        <v>120000000</v>
      </c>
      <c r="J78" s="922">
        <v>120599999.99999999</v>
      </c>
      <c r="K78" s="922">
        <v>126629999.99999999</v>
      </c>
      <c r="L78" s="922">
        <v>132961499.99999999</v>
      </c>
      <c r="M78" s="922">
        <f>SUM(I78:L78)</f>
        <v>500191500</v>
      </c>
      <c r="N78" s="942" t="s">
        <v>1229</v>
      </c>
    </row>
    <row r="79" spans="1:14" ht="42.75">
      <c r="A79" s="894" t="s">
        <v>1069</v>
      </c>
      <c r="B79" s="895" t="s">
        <v>1098</v>
      </c>
      <c r="C79" s="895">
        <v>100</v>
      </c>
      <c r="D79" s="895">
        <v>100</v>
      </c>
      <c r="E79" s="895">
        <v>100</v>
      </c>
      <c r="F79" s="895">
        <v>100</v>
      </c>
      <c r="G79" s="895">
        <v>100</v>
      </c>
      <c r="H79" s="972" t="e">
        <f t="shared" ref="H79" si="29">SUM(H80:H84)</f>
        <v>#REF!</v>
      </c>
      <c r="I79" s="916">
        <f t="shared" ref="I79:M79" si="30">SUM(I80:I84)</f>
        <v>2098713657</v>
      </c>
      <c r="J79" s="916">
        <f t="shared" si="30"/>
        <v>1226089235.865</v>
      </c>
      <c r="K79" s="916">
        <f t="shared" si="30"/>
        <v>1589934997.6582499</v>
      </c>
      <c r="L79" s="916">
        <f t="shared" si="30"/>
        <v>1795426923.5411625</v>
      </c>
      <c r="M79" s="916">
        <f t="shared" si="30"/>
        <v>6710164814.0644121</v>
      </c>
      <c r="N79" s="944"/>
    </row>
    <row r="80" spans="1:14" s="161" customFormat="1" ht="57">
      <c r="A80" s="900" t="s">
        <v>1070</v>
      </c>
      <c r="B80" s="784" t="s">
        <v>1099</v>
      </c>
      <c r="C80" s="784">
        <v>10</v>
      </c>
      <c r="D80" s="784">
        <v>10</v>
      </c>
      <c r="E80" s="784">
        <v>10</v>
      </c>
      <c r="F80" s="784">
        <v>10</v>
      </c>
      <c r="G80" s="784">
        <v>40</v>
      </c>
      <c r="H80" s="930">
        <f>+'320302'!L15</f>
        <v>292545188.22499996</v>
      </c>
      <c r="I80" s="922">
        <v>292545188</v>
      </c>
      <c r="J80" s="922">
        <v>229503883.36499998</v>
      </c>
      <c r="K80" s="922">
        <v>240979077.53324997</v>
      </c>
      <c r="L80" s="922">
        <v>253028031.4099125</v>
      </c>
      <c r="M80" s="922">
        <f t="shared" ref="M80:M84" si="31">SUM(I80:L80)</f>
        <v>1016056180.3081625</v>
      </c>
      <c r="N80" s="946" t="s">
        <v>1230</v>
      </c>
    </row>
    <row r="81" spans="1:14" s="161" customFormat="1" ht="42.75">
      <c r="A81" s="900" t="s">
        <v>1071</v>
      </c>
      <c r="B81" s="784" t="s">
        <v>1099</v>
      </c>
      <c r="C81" s="784">
        <v>50</v>
      </c>
      <c r="D81" s="784">
        <v>10</v>
      </c>
      <c r="E81" s="784">
        <v>10</v>
      </c>
      <c r="F81" s="784">
        <v>10</v>
      </c>
      <c r="G81" s="784">
        <v>80</v>
      </c>
      <c r="H81" s="930">
        <f>+'320302'!L16</f>
        <v>88852500</v>
      </c>
      <c r="I81" s="922">
        <v>88852500</v>
      </c>
      <c r="J81" s="922">
        <v>17859352.499999996</v>
      </c>
      <c r="K81" s="922">
        <v>18752320.124999996</v>
      </c>
      <c r="L81" s="922">
        <v>19689936.131249998</v>
      </c>
      <c r="M81" s="922">
        <f t="shared" si="31"/>
        <v>145154108.75624999</v>
      </c>
      <c r="N81" s="947" t="s">
        <v>1231</v>
      </c>
    </row>
    <row r="82" spans="1:14" s="161" customFormat="1" ht="57">
      <c r="A82" s="900" t="s">
        <v>1072</v>
      </c>
      <c r="B82" s="783" t="s">
        <v>1103</v>
      </c>
      <c r="C82" s="784">
        <v>40000</v>
      </c>
      <c r="D82" s="784">
        <v>20000</v>
      </c>
      <c r="E82" s="784">
        <v>20000</v>
      </c>
      <c r="F82" s="784">
        <v>20000</v>
      </c>
      <c r="G82" s="784">
        <v>100000</v>
      </c>
      <c r="H82" s="930">
        <f>+'320302'!L17</f>
        <v>1806627411</v>
      </c>
      <c r="I82" s="922">
        <v>1337815489</v>
      </c>
      <c r="J82" s="922">
        <v>639576000</v>
      </c>
      <c r="K82" s="922">
        <v>671554800</v>
      </c>
      <c r="L82" s="922">
        <v>705132540</v>
      </c>
      <c r="M82" s="922">
        <f t="shared" si="31"/>
        <v>3354078829</v>
      </c>
      <c r="N82" s="947" t="s">
        <v>1232</v>
      </c>
    </row>
    <row r="83" spans="1:14" s="161" customFormat="1" ht="57">
      <c r="A83" s="900" t="s">
        <v>1073</v>
      </c>
      <c r="B83" s="783" t="s">
        <v>1103</v>
      </c>
      <c r="C83" s="784">
        <v>10000</v>
      </c>
      <c r="D83" s="784">
        <v>30000</v>
      </c>
      <c r="E83" s="784">
        <v>20000</v>
      </c>
      <c r="F83" s="784">
        <v>20000</v>
      </c>
      <c r="G83" s="784">
        <v>80000</v>
      </c>
      <c r="H83" s="930">
        <f>+'320302'!L18</f>
        <v>379500480</v>
      </c>
      <c r="I83" s="922">
        <v>379500480</v>
      </c>
      <c r="J83" s="922">
        <v>139150000</v>
      </c>
      <c r="K83" s="922">
        <v>442648800</v>
      </c>
      <c r="L83" s="922">
        <v>584296416</v>
      </c>
      <c r="M83" s="922">
        <f t="shared" si="31"/>
        <v>1545595696</v>
      </c>
      <c r="N83" s="947" t="s">
        <v>1233</v>
      </c>
    </row>
    <row r="84" spans="1:14" s="161" customFormat="1" ht="85.5">
      <c r="A84" s="900" t="s">
        <v>1074</v>
      </c>
      <c r="B84" s="784" t="s">
        <v>1099</v>
      </c>
      <c r="C84" s="784"/>
      <c r="D84" s="784">
        <v>100</v>
      </c>
      <c r="E84" s="784">
        <v>100</v>
      </c>
      <c r="F84" s="784">
        <v>100</v>
      </c>
      <c r="G84" s="784">
        <v>300</v>
      </c>
      <c r="H84" s="930" t="e">
        <f>+'320302'!#REF!</f>
        <v>#REF!</v>
      </c>
      <c r="I84" s="922"/>
      <c r="J84" s="922">
        <v>200000000</v>
      </c>
      <c r="K84" s="922">
        <v>216000000</v>
      </c>
      <c r="L84" s="922">
        <v>233280000.00000003</v>
      </c>
      <c r="M84" s="922">
        <f t="shared" si="31"/>
        <v>649280000</v>
      </c>
      <c r="N84" s="948" t="s">
        <v>1234</v>
      </c>
    </row>
    <row r="85" spans="1:14" ht="71.25">
      <c r="A85" s="898" t="s">
        <v>1050</v>
      </c>
      <c r="B85" s="785" t="s">
        <v>1098</v>
      </c>
      <c r="C85" s="785">
        <v>100</v>
      </c>
      <c r="D85" s="785">
        <v>100</v>
      </c>
      <c r="E85" s="785">
        <v>100</v>
      </c>
      <c r="F85" s="785">
        <v>100</v>
      </c>
      <c r="G85" s="785">
        <v>100</v>
      </c>
      <c r="H85" s="973">
        <f>SUM(H86)</f>
        <v>20000000</v>
      </c>
      <c r="I85" s="921">
        <f>SUM(I86)</f>
        <v>20000000</v>
      </c>
      <c r="J85" s="921">
        <f t="shared" ref="J85:L85" si="32">SUM(J86)</f>
        <v>50000000</v>
      </c>
      <c r="K85" s="921">
        <f>SUM(K86)</f>
        <v>52500000</v>
      </c>
      <c r="L85" s="921">
        <f t="shared" si="32"/>
        <v>55125000</v>
      </c>
      <c r="M85" s="921">
        <f>SUM(M86)</f>
        <v>177625000</v>
      </c>
      <c r="N85" s="943"/>
    </row>
    <row r="86" spans="1:14" ht="48.75" customHeight="1">
      <c r="A86" s="900" t="s">
        <v>1051</v>
      </c>
      <c r="B86" s="784" t="s">
        <v>1104</v>
      </c>
      <c r="C86" s="784">
        <v>2</v>
      </c>
      <c r="D86" s="784">
        <v>5</v>
      </c>
      <c r="E86" s="784">
        <v>5</v>
      </c>
      <c r="F86" s="784">
        <v>5</v>
      </c>
      <c r="G86" s="784">
        <v>17</v>
      </c>
      <c r="H86" s="930">
        <f>+'320302'!L20</f>
        <v>20000000</v>
      </c>
      <c r="I86" s="922">
        <v>20000000</v>
      </c>
      <c r="J86" s="922">
        <v>50000000</v>
      </c>
      <c r="K86" s="922">
        <v>52500000</v>
      </c>
      <c r="L86" s="922">
        <v>55125000</v>
      </c>
      <c r="M86" s="922">
        <f>SUM(I86:L86)</f>
        <v>177625000</v>
      </c>
      <c r="N86" s="939" t="s">
        <v>1235</v>
      </c>
    </row>
    <row r="87" spans="1:14" ht="42.75">
      <c r="A87" s="898" t="s">
        <v>962</v>
      </c>
      <c r="B87" s="899"/>
      <c r="C87" s="899">
        <v>100</v>
      </c>
      <c r="D87" s="899">
        <v>100</v>
      </c>
      <c r="E87" s="899">
        <v>100</v>
      </c>
      <c r="F87" s="899">
        <v>100</v>
      </c>
      <c r="G87" s="899">
        <v>100</v>
      </c>
      <c r="H87" s="973" t="e">
        <f>+'320302'!#REF!</f>
        <v>#REF!</v>
      </c>
      <c r="I87" s="921">
        <v>321842671</v>
      </c>
      <c r="J87" s="921">
        <v>323451884.35499996</v>
      </c>
      <c r="K87" s="921">
        <v>339624478.57274997</v>
      </c>
      <c r="L87" s="921">
        <v>356605702.50138748</v>
      </c>
      <c r="M87" s="921">
        <v>1341524736.4291375</v>
      </c>
      <c r="N87" s="940"/>
    </row>
    <row r="88" spans="1:14">
      <c r="A88" s="2080" t="s">
        <v>1170</v>
      </c>
      <c r="B88" s="2081"/>
      <c r="C88" s="2081"/>
      <c r="D88" s="2081"/>
      <c r="E88" s="2081"/>
      <c r="F88" s="2081"/>
      <c r="G88" s="2082"/>
      <c r="H88" s="975" t="e">
        <f t="shared" ref="H88:M88" si="33">+H71+H73+H75+H77+H79+H85+H87</f>
        <v>#REF!</v>
      </c>
      <c r="I88" s="923">
        <f t="shared" si="33"/>
        <v>8345598647</v>
      </c>
      <c r="J88" s="923">
        <f t="shared" si="33"/>
        <v>7463935555.1699991</v>
      </c>
      <c r="K88" s="923">
        <f t="shared" si="33"/>
        <v>8090773632.9285002</v>
      </c>
      <c r="L88" s="923">
        <f t="shared" si="33"/>
        <v>8732826192.9034557</v>
      </c>
      <c r="M88" s="923">
        <f t="shared" si="33"/>
        <v>32633134028.001953</v>
      </c>
      <c r="N88" s="941"/>
    </row>
    <row r="89" spans="1:14">
      <c r="A89" s="125"/>
      <c r="B89"/>
      <c r="C89"/>
      <c r="D89"/>
      <c r="E89"/>
      <c r="F89"/>
      <c r="G89"/>
      <c r="H89" s="963"/>
      <c r="I89"/>
      <c r="J89"/>
      <c r="K89"/>
      <c r="L89"/>
      <c r="M89"/>
      <c r="N89"/>
    </row>
    <row r="90" spans="1:14" ht="45">
      <c r="A90" s="892" t="s">
        <v>188</v>
      </c>
      <c r="B90" s="893" t="s">
        <v>190</v>
      </c>
      <c r="C90" s="892">
        <v>2024</v>
      </c>
      <c r="D90" s="892">
        <v>2025</v>
      </c>
      <c r="E90" s="892">
        <v>2026</v>
      </c>
      <c r="F90" s="892">
        <v>2027</v>
      </c>
      <c r="G90" s="893" t="s">
        <v>142</v>
      </c>
      <c r="H90" s="970"/>
      <c r="I90" s="892" t="s">
        <v>1196</v>
      </c>
      <c r="J90" s="892">
        <v>2025</v>
      </c>
      <c r="K90" s="892">
        <v>2026</v>
      </c>
      <c r="L90" s="892">
        <v>2027</v>
      </c>
      <c r="M90" s="915" t="s">
        <v>10</v>
      </c>
      <c r="N90" s="937" t="s">
        <v>1166</v>
      </c>
    </row>
    <row r="91" spans="1:14" ht="99.75">
      <c r="A91" s="898" t="s">
        <v>1030</v>
      </c>
      <c r="B91" s="785" t="s">
        <v>1098</v>
      </c>
      <c r="C91" s="785">
        <v>100</v>
      </c>
      <c r="D91" s="785">
        <v>100</v>
      </c>
      <c r="E91" s="785">
        <v>100</v>
      </c>
      <c r="F91" s="785">
        <v>100</v>
      </c>
      <c r="G91" s="785">
        <v>100</v>
      </c>
      <c r="H91" s="973">
        <f>SUM(H92)</f>
        <v>2505773098.092905</v>
      </c>
      <c r="I91" s="921">
        <f>SUM(I92)</f>
        <v>1559662081</v>
      </c>
      <c r="J91" s="921">
        <f t="shared" ref="J91:K91" si="34">SUM(J92)</f>
        <v>1012202503.2</v>
      </c>
      <c r="K91" s="921">
        <f t="shared" si="34"/>
        <v>1093178703.4560001</v>
      </c>
      <c r="L91" s="921">
        <f>SUM(L92)</f>
        <v>1180632999.7324803</v>
      </c>
      <c r="M91" s="921">
        <f>SUM(M92)</f>
        <v>4845676287.3884802</v>
      </c>
      <c r="N91" s="943"/>
    </row>
    <row r="92" spans="1:14" ht="28.5">
      <c r="A92" s="900" t="s">
        <v>1031</v>
      </c>
      <c r="B92" s="784" t="s">
        <v>1106</v>
      </c>
      <c r="C92" s="784">
        <v>2</v>
      </c>
      <c r="D92" s="784">
        <v>2</v>
      </c>
      <c r="E92" s="784">
        <v>2</v>
      </c>
      <c r="F92" s="784">
        <v>2</v>
      </c>
      <c r="G92" s="784">
        <v>8</v>
      </c>
      <c r="H92" s="967">
        <f>+'320303'!K11</f>
        <v>2505773098.092905</v>
      </c>
      <c r="I92" s="922">
        <v>1559662081</v>
      </c>
      <c r="J92" s="922">
        <v>1012202503.2</v>
      </c>
      <c r="K92" s="922">
        <v>1093178703.4560001</v>
      </c>
      <c r="L92" s="922">
        <v>1180632999.7324803</v>
      </c>
      <c r="M92" s="922">
        <f>SUM(I92:L92)</f>
        <v>4845676287.3884802</v>
      </c>
      <c r="N92" s="949"/>
    </row>
    <row r="93" spans="1:14">
      <c r="A93" s="2080" t="s">
        <v>1170</v>
      </c>
      <c r="B93" s="2081"/>
      <c r="C93" s="2081"/>
      <c r="D93" s="2081"/>
      <c r="E93" s="2081"/>
      <c r="F93" s="2081"/>
      <c r="G93" s="2082"/>
      <c r="H93" s="975">
        <f t="shared" ref="H93:M93" si="35">+H91</f>
        <v>2505773098.092905</v>
      </c>
      <c r="I93" s="923">
        <f t="shared" si="35"/>
        <v>1559662081</v>
      </c>
      <c r="J93" s="923">
        <f t="shared" si="35"/>
        <v>1012202503.2</v>
      </c>
      <c r="K93" s="923">
        <f t="shared" si="35"/>
        <v>1093178703.4560001</v>
      </c>
      <c r="L93" s="923">
        <f t="shared" si="35"/>
        <v>1180632999.7324803</v>
      </c>
      <c r="M93" s="923">
        <f t="shared" si="35"/>
        <v>4845676287.3884802</v>
      </c>
      <c r="N93" s="941"/>
    </row>
    <row r="94" spans="1:14">
      <c r="A94" s="125"/>
      <c r="B94"/>
      <c r="C94"/>
      <c r="D94"/>
      <c r="E94"/>
      <c r="F94"/>
      <c r="G94"/>
      <c r="H94" s="963"/>
      <c r="I94"/>
      <c r="J94"/>
      <c r="K94"/>
      <c r="L94"/>
      <c r="M94"/>
      <c r="N94"/>
    </row>
    <row r="95" spans="1:14">
      <c r="A95" s="125"/>
      <c r="B95"/>
      <c r="C95"/>
      <c r="D95"/>
      <c r="E95"/>
      <c r="F95"/>
      <c r="G95"/>
      <c r="H95" s="963"/>
      <c r="I95"/>
      <c r="J95"/>
      <c r="K95"/>
      <c r="L95"/>
      <c r="M95"/>
      <c r="N95"/>
    </row>
    <row r="96" spans="1:14" ht="45">
      <c r="A96" s="892" t="s">
        <v>188</v>
      </c>
      <c r="B96" s="893" t="s">
        <v>190</v>
      </c>
      <c r="C96" s="892">
        <v>2024</v>
      </c>
      <c r="D96" s="892">
        <v>2025</v>
      </c>
      <c r="E96" s="892">
        <v>2026</v>
      </c>
      <c r="F96" s="892">
        <v>2027</v>
      </c>
      <c r="G96" s="893" t="s">
        <v>142</v>
      </c>
      <c r="H96" s="970"/>
      <c r="I96" s="892" t="s">
        <v>1196</v>
      </c>
      <c r="J96" s="892">
        <v>2025</v>
      </c>
      <c r="K96" s="892">
        <v>2026</v>
      </c>
      <c r="L96" s="892">
        <v>2027</v>
      </c>
      <c r="M96" s="915" t="s">
        <v>10</v>
      </c>
      <c r="N96" s="937" t="s">
        <v>1166</v>
      </c>
    </row>
    <row r="97" spans="1:14" ht="28.5">
      <c r="A97" s="894" t="s">
        <v>1177</v>
      </c>
      <c r="B97" s="895" t="s">
        <v>1098</v>
      </c>
      <c r="C97" s="895">
        <v>100</v>
      </c>
      <c r="D97" s="852">
        <v>100</v>
      </c>
      <c r="E97" s="852">
        <v>100</v>
      </c>
      <c r="F97" s="852">
        <v>100</v>
      </c>
      <c r="G97" s="852">
        <v>100</v>
      </c>
      <c r="H97" s="972">
        <f>SUM(H98)</f>
        <v>53212301.200000003</v>
      </c>
      <c r="I97" s="916">
        <f>SUM(I98)</f>
        <v>53212301</v>
      </c>
      <c r="J97" s="916">
        <f t="shared" ref="J97:L97" si="36">SUM(J98)</f>
        <v>53478362.504999995</v>
      </c>
      <c r="K97" s="916">
        <f t="shared" si="36"/>
        <v>56152280.630249999</v>
      </c>
      <c r="L97" s="916">
        <f t="shared" si="36"/>
        <v>58959894.661762498</v>
      </c>
      <c r="M97" s="916">
        <f>SUM(M98)</f>
        <v>221802838.79701251</v>
      </c>
      <c r="N97" s="944"/>
    </row>
    <row r="98" spans="1:14" ht="87.75">
      <c r="A98" s="900" t="s">
        <v>1025</v>
      </c>
      <c r="B98" s="784" t="s">
        <v>1098</v>
      </c>
      <c r="C98" s="784">
        <v>100</v>
      </c>
      <c r="D98" s="783">
        <v>100</v>
      </c>
      <c r="E98" s="783">
        <v>100</v>
      </c>
      <c r="F98" s="783">
        <v>100</v>
      </c>
      <c r="G98" s="783">
        <v>100</v>
      </c>
      <c r="H98" s="971">
        <f>+'320401'!I11</f>
        <v>53212301.200000003</v>
      </c>
      <c r="I98" s="922">
        <v>53212301</v>
      </c>
      <c r="J98" s="922">
        <v>53478362.504999995</v>
      </c>
      <c r="K98" s="922">
        <v>56152280.630249999</v>
      </c>
      <c r="L98" s="922">
        <v>58959894.661762498</v>
      </c>
      <c r="M98" s="922">
        <f>SUM(I98:L98)</f>
        <v>221802838.79701251</v>
      </c>
      <c r="N98" s="939" t="s">
        <v>1236</v>
      </c>
    </row>
    <row r="99" spans="1:14" ht="57">
      <c r="A99" s="898" t="s">
        <v>1026</v>
      </c>
      <c r="B99" s="785" t="s">
        <v>1098</v>
      </c>
      <c r="C99" s="785">
        <v>100</v>
      </c>
      <c r="D99" s="785">
        <v>100</v>
      </c>
      <c r="E99" s="785">
        <v>100</v>
      </c>
      <c r="F99" s="785">
        <v>100</v>
      </c>
      <c r="G99" s="785">
        <v>100</v>
      </c>
      <c r="H99" s="973">
        <f t="shared" ref="H99:M99" si="37">SUM(H100)</f>
        <v>478294570.59999996</v>
      </c>
      <c r="I99" s="921">
        <f t="shared" si="37"/>
        <v>478294571</v>
      </c>
      <c r="J99" s="921">
        <f t="shared" si="37"/>
        <v>424129852.76999998</v>
      </c>
      <c r="K99" s="921">
        <f t="shared" si="37"/>
        <v>445336345.40850002</v>
      </c>
      <c r="L99" s="921">
        <f t="shared" si="37"/>
        <v>467603162.67892504</v>
      </c>
      <c r="M99" s="921">
        <f t="shared" si="37"/>
        <v>1815363931.857425</v>
      </c>
      <c r="N99" s="943"/>
    </row>
    <row r="100" spans="1:14" ht="114">
      <c r="A100" s="908" t="s">
        <v>1027</v>
      </c>
      <c r="B100" s="784" t="s">
        <v>1098</v>
      </c>
      <c r="C100" s="784">
        <v>100</v>
      </c>
      <c r="D100" s="783">
        <v>100</v>
      </c>
      <c r="E100" s="783">
        <v>100</v>
      </c>
      <c r="F100" s="783">
        <v>100</v>
      </c>
      <c r="G100" s="783">
        <v>100</v>
      </c>
      <c r="H100" s="971">
        <f>+'320401'!I13</f>
        <v>478294570.59999996</v>
      </c>
      <c r="I100" s="922">
        <v>478294571</v>
      </c>
      <c r="J100" s="922">
        <v>424129852.76999998</v>
      </c>
      <c r="K100" s="922">
        <v>445336345.40850002</v>
      </c>
      <c r="L100" s="922">
        <v>467603162.67892504</v>
      </c>
      <c r="M100" s="922">
        <f>SUM(I100:L100)</f>
        <v>1815363931.857425</v>
      </c>
      <c r="N100" s="939" t="s">
        <v>1237</v>
      </c>
    </row>
    <row r="101" spans="1:14">
      <c r="A101" s="2080" t="s">
        <v>1170</v>
      </c>
      <c r="B101" s="2081"/>
      <c r="C101" s="2081"/>
      <c r="D101" s="2081"/>
      <c r="E101" s="2081"/>
      <c r="F101" s="2081"/>
      <c r="G101" s="2082"/>
      <c r="H101" s="975">
        <f>+H97+H99</f>
        <v>531506871.79999995</v>
      </c>
      <c r="I101" s="923">
        <f>+I97+I99</f>
        <v>531506872</v>
      </c>
      <c r="J101" s="923">
        <f>+J97+J99</f>
        <v>477608215.27499998</v>
      </c>
      <c r="K101" s="923">
        <f t="shared" ref="K101:L101" si="38">+K97+K99</f>
        <v>501488626.03874999</v>
      </c>
      <c r="L101" s="923">
        <f t="shared" si="38"/>
        <v>526563057.34068751</v>
      </c>
      <c r="M101" s="923">
        <f>+M97+M99</f>
        <v>2037166770.6544375</v>
      </c>
      <c r="N101" s="941"/>
    </row>
    <row r="102" spans="1:14">
      <c r="A102" s="125"/>
      <c r="B102"/>
      <c r="C102"/>
      <c r="D102"/>
      <c r="E102"/>
      <c r="F102"/>
      <c r="G102"/>
      <c r="H102" s="963"/>
      <c r="I102"/>
      <c r="J102"/>
      <c r="K102"/>
      <c r="L102"/>
      <c r="M102"/>
      <c r="N102"/>
    </row>
    <row r="103" spans="1:14">
      <c r="A103" s="125"/>
      <c r="B103"/>
      <c r="C103"/>
      <c r="D103"/>
      <c r="E103"/>
      <c r="F103"/>
      <c r="G103"/>
      <c r="H103" s="963"/>
      <c r="I103"/>
      <c r="J103"/>
      <c r="K103"/>
      <c r="L103"/>
      <c r="M103"/>
      <c r="N103"/>
    </row>
    <row r="104" spans="1:14" ht="45">
      <c r="A104" s="892" t="s">
        <v>188</v>
      </c>
      <c r="B104" s="893" t="s">
        <v>190</v>
      </c>
      <c r="C104" s="892">
        <v>2024</v>
      </c>
      <c r="D104" s="892">
        <v>2025</v>
      </c>
      <c r="E104" s="892">
        <v>2026</v>
      </c>
      <c r="F104" s="892">
        <v>2027</v>
      </c>
      <c r="G104" s="893" t="s">
        <v>142</v>
      </c>
      <c r="H104" s="970"/>
      <c r="I104" s="892" t="s">
        <v>1196</v>
      </c>
      <c r="J104" s="892">
        <v>2025</v>
      </c>
      <c r="K104" s="892">
        <v>2026</v>
      </c>
      <c r="L104" s="892">
        <v>2027</v>
      </c>
      <c r="M104" s="915" t="s">
        <v>10</v>
      </c>
      <c r="N104" s="937" t="s">
        <v>1166</v>
      </c>
    </row>
    <row r="105" spans="1:14" ht="114">
      <c r="A105" s="894" t="s">
        <v>1032</v>
      </c>
      <c r="B105" s="895" t="s">
        <v>1098</v>
      </c>
      <c r="C105" s="895">
        <v>100</v>
      </c>
      <c r="D105" s="895">
        <v>100</v>
      </c>
      <c r="E105" s="895">
        <v>100</v>
      </c>
      <c r="F105" s="895">
        <v>100</v>
      </c>
      <c r="G105" s="895">
        <v>100</v>
      </c>
      <c r="H105" s="972">
        <f t="shared" ref="H105:M105" si="39">SUM(H106)</f>
        <v>369480667.33938891</v>
      </c>
      <c r="I105" s="916">
        <f t="shared" si="39"/>
        <v>282109791</v>
      </c>
      <c r="J105" s="916">
        <f t="shared" si="39"/>
        <v>283520339.95499998</v>
      </c>
      <c r="K105" s="916">
        <f t="shared" si="39"/>
        <v>297696356.95274997</v>
      </c>
      <c r="L105" s="916">
        <f t="shared" si="39"/>
        <v>312581174.8003875</v>
      </c>
      <c r="M105" s="916">
        <f t="shared" si="39"/>
        <v>1175907662.7081375</v>
      </c>
      <c r="N105" s="944"/>
    </row>
    <row r="106" spans="1:14" ht="87" customHeight="1">
      <c r="A106" s="900" t="s">
        <v>1033</v>
      </c>
      <c r="B106" s="784" t="s">
        <v>1104</v>
      </c>
      <c r="C106" s="784">
        <v>37</v>
      </c>
      <c r="D106" s="784">
        <v>37</v>
      </c>
      <c r="E106" s="784">
        <v>37</v>
      </c>
      <c r="F106" s="784">
        <v>37</v>
      </c>
      <c r="G106" s="784">
        <v>37</v>
      </c>
      <c r="H106" s="967">
        <f>+'320501'!G11</f>
        <v>369480667.33938891</v>
      </c>
      <c r="I106" s="922">
        <v>282109791</v>
      </c>
      <c r="J106" s="922">
        <v>283520339.95499998</v>
      </c>
      <c r="K106" s="922">
        <v>297696356.95274997</v>
      </c>
      <c r="L106" s="922">
        <v>312581174.8003875</v>
      </c>
      <c r="M106" s="922">
        <f>SUM(I106:L106)</f>
        <v>1175907662.7081375</v>
      </c>
      <c r="N106" s="939" t="s">
        <v>1238</v>
      </c>
    </row>
    <row r="107" spans="1:14" ht="85.5">
      <c r="A107" s="894" t="s">
        <v>1034</v>
      </c>
      <c r="B107" s="895" t="s">
        <v>1098</v>
      </c>
      <c r="C107" s="895"/>
      <c r="D107" s="895">
        <v>10</v>
      </c>
      <c r="E107" s="895">
        <v>40</v>
      </c>
      <c r="F107" s="895">
        <v>50</v>
      </c>
      <c r="G107" s="895">
        <v>100</v>
      </c>
      <c r="H107" s="972" t="e">
        <f t="shared" ref="H107:L107" si="40">SUM(H108)</f>
        <v>#REF!</v>
      </c>
      <c r="I107" s="916">
        <f t="shared" si="40"/>
        <v>0</v>
      </c>
      <c r="J107" s="916">
        <f t="shared" si="40"/>
        <v>385000000</v>
      </c>
      <c r="K107" s="916">
        <f t="shared" si="40"/>
        <v>881576179</v>
      </c>
      <c r="L107" s="916">
        <f t="shared" si="40"/>
        <v>1140746636</v>
      </c>
      <c r="M107" s="916">
        <f>SUM(M108)</f>
        <v>2407322815</v>
      </c>
      <c r="N107" s="944"/>
    </row>
    <row r="108" spans="1:14" ht="49.5" customHeight="1">
      <c r="A108" s="904" t="s">
        <v>1035</v>
      </c>
      <c r="B108" s="783" t="s">
        <v>1098</v>
      </c>
      <c r="C108" s="784"/>
      <c r="D108" s="784">
        <v>10</v>
      </c>
      <c r="E108" s="784">
        <v>40</v>
      </c>
      <c r="F108" s="784">
        <v>50</v>
      </c>
      <c r="G108" s="784">
        <v>100</v>
      </c>
      <c r="H108" s="967" t="e">
        <f>+'320501'!#REF!</f>
        <v>#REF!</v>
      </c>
      <c r="I108" s="920"/>
      <c r="J108" s="922">
        <v>385000000</v>
      </c>
      <c r="K108" s="922">
        <v>881576179</v>
      </c>
      <c r="L108" s="922">
        <v>1140746636</v>
      </c>
      <c r="M108" s="922">
        <f>SUM(I108:L108)</f>
        <v>2407322815</v>
      </c>
      <c r="N108" s="939" t="s">
        <v>1239</v>
      </c>
    </row>
    <row r="109" spans="1:14" ht="42.75">
      <c r="A109" s="898" t="s">
        <v>1036</v>
      </c>
      <c r="B109" s="785" t="s">
        <v>1098</v>
      </c>
      <c r="C109" s="785"/>
      <c r="D109" s="785">
        <v>100</v>
      </c>
      <c r="E109" s="785">
        <v>100</v>
      </c>
      <c r="F109" s="785">
        <v>100</v>
      </c>
      <c r="G109" s="785">
        <v>100</v>
      </c>
      <c r="H109" s="973">
        <f>SUM(H110)</f>
        <v>122436024</v>
      </c>
      <c r="I109" s="921">
        <f>SUM(I110)</f>
        <v>121371880</v>
      </c>
      <c r="J109" s="921">
        <f t="shared" ref="J109:M109" si="41">SUM(J110)</f>
        <v>408348837.51260382</v>
      </c>
      <c r="K109" s="921">
        <f t="shared" si="41"/>
        <v>630398205</v>
      </c>
      <c r="L109" s="921">
        <f>SUM(L110)</f>
        <v>707002512</v>
      </c>
      <c r="M109" s="921">
        <f t="shared" si="41"/>
        <v>1867121434.5126038</v>
      </c>
      <c r="N109" s="943"/>
    </row>
    <row r="110" spans="1:14" ht="35.1" customHeight="1">
      <c r="A110" s="900" t="s">
        <v>1037</v>
      </c>
      <c r="B110" s="784" t="s">
        <v>408</v>
      </c>
      <c r="C110" s="784">
        <v>1</v>
      </c>
      <c r="D110" s="783">
        <v>2</v>
      </c>
      <c r="E110" s="783">
        <v>2</v>
      </c>
      <c r="F110" s="783">
        <v>2</v>
      </c>
      <c r="G110" s="783">
        <v>7</v>
      </c>
      <c r="H110" s="971">
        <f>+'320501'!G13</f>
        <v>122436024</v>
      </c>
      <c r="I110" s="922">
        <v>121371880</v>
      </c>
      <c r="J110" s="922">
        <v>408348837.51260382</v>
      </c>
      <c r="K110" s="922">
        <v>630398205</v>
      </c>
      <c r="L110" s="922">
        <v>707002512</v>
      </c>
      <c r="M110" s="922">
        <f>SUM(I110:L110)</f>
        <v>1867121434.5126038</v>
      </c>
      <c r="N110" s="950" t="s">
        <v>1240</v>
      </c>
    </row>
    <row r="111" spans="1:14" ht="28.5">
      <c r="A111" s="898" t="s">
        <v>1038</v>
      </c>
      <c r="B111" s="785" t="s">
        <v>1098</v>
      </c>
      <c r="C111" s="785"/>
      <c r="D111" s="785">
        <v>100</v>
      </c>
      <c r="E111" s="785">
        <v>100</v>
      </c>
      <c r="F111" s="785">
        <v>100</v>
      </c>
      <c r="G111" s="785">
        <v>100</v>
      </c>
      <c r="H111" s="973" t="e">
        <f>SUM(H112)</f>
        <v>#REF!</v>
      </c>
      <c r="I111" s="921">
        <f>SUM(I112)</f>
        <v>0</v>
      </c>
      <c r="J111" s="921">
        <f t="shared" ref="J111:M111" si="42">SUM(J112)</f>
        <v>50000000</v>
      </c>
      <c r="K111" s="921">
        <f>SUM(K112)</f>
        <v>56100000</v>
      </c>
      <c r="L111" s="921">
        <f t="shared" si="42"/>
        <v>60588000.000000007</v>
      </c>
      <c r="M111" s="921">
        <f t="shared" si="42"/>
        <v>166688000</v>
      </c>
      <c r="N111" s="943"/>
    </row>
    <row r="112" spans="1:14" ht="66" customHeight="1">
      <c r="A112" s="900" t="s">
        <v>1039</v>
      </c>
      <c r="B112" s="784" t="s">
        <v>1098</v>
      </c>
      <c r="C112" s="784"/>
      <c r="D112" s="783">
        <v>100</v>
      </c>
      <c r="E112" s="783">
        <v>100</v>
      </c>
      <c r="F112" s="783">
        <v>100</v>
      </c>
      <c r="G112" s="783">
        <v>100</v>
      </c>
      <c r="H112" s="971" t="e">
        <f>+'320501'!#REF!</f>
        <v>#REF!</v>
      </c>
      <c r="I112" s="922"/>
      <c r="J112" s="922">
        <v>50000000</v>
      </c>
      <c r="K112" s="922">
        <v>56100000</v>
      </c>
      <c r="L112" s="922">
        <v>60588000.000000007</v>
      </c>
      <c r="M112" s="922">
        <f>SUM(I112:L112)</f>
        <v>166688000</v>
      </c>
      <c r="N112" s="939" t="s">
        <v>1241</v>
      </c>
    </row>
    <row r="113" spans="1:14" ht="57">
      <c r="A113" s="894" t="s">
        <v>1040</v>
      </c>
      <c r="B113" s="895" t="s">
        <v>1098</v>
      </c>
      <c r="C113" s="895"/>
      <c r="D113" s="895">
        <v>100</v>
      </c>
      <c r="E113" s="895">
        <v>100</v>
      </c>
      <c r="F113" s="895">
        <v>100</v>
      </c>
      <c r="G113" s="895">
        <v>100</v>
      </c>
      <c r="H113" s="972" t="e">
        <f>SUM(H114)</f>
        <v>#REF!</v>
      </c>
      <c r="I113" s="916">
        <f>SUM(I114)</f>
        <v>0</v>
      </c>
      <c r="J113" s="916">
        <f t="shared" ref="J113:L113" si="43">SUM(J114)</f>
        <v>50000000</v>
      </c>
      <c r="K113" s="916">
        <f t="shared" si="43"/>
        <v>56100000</v>
      </c>
      <c r="L113" s="916">
        <f t="shared" si="43"/>
        <v>60588000.000000007</v>
      </c>
      <c r="M113" s="916">
        <f>SUM(M114)</f>
        <v>166688000</v>
      </c>
      <c r="N113" s="944"/>
    </row>
    <row r="114" spans="1:14" ht="71.25">
      <c r="A114" s="900" t="s">
        <v>1041</v>
      </c>
      <c r="B114" s="784" t="s">
        <v>408</v>
      </c>
      <c r="C114" s="784"/>
      <c r="D114" s="784">
        <v>1</v>
      </c>
      <c r="E114" s="784">
        <v>3</v>
      </c>
      <c r="F114" s="907">
        <v>2</v>
      </c>
      <c r="G114" s="784">
        <v>5</v>
      </c>
      <c r="H114" s="967" t="e">
        <f>+'320501'!#REF!</f>
        <v>#REF!</v>
      </c>
      <c r="I114" s="922"/>
      <c r="J114" s="922">
        <v>50000000</v>
      </c>
      <c r="K114" s="922">
        <v>56100000</v>
      </c>
      <c r="L114" s="922">
        <v>60588000.000000007</v>
      </c>
      <c r="M114" s="922">
        <f>SUM(I114:L114)</f>
        <v>166688000</v>
      </c>
      <c r="N114" s="905" t="s">
        <v>1242</v>
      </c>
    </row>
    <row r="115" spans="1:14" ht="28.5">
      <c r="A115" s="898" t="s">
        <v>1042</v>
      </c>
      <c r="B115" s="899" t="s">
        <v>1098</v>
      </c>
      <c r="C115" s="899"/>
      <c r="D115" s="899">
        <v>100</v>
      </c>
      <c r="E115" s="899">
        <v>100</v>
      </c>
      <c r="F115" s="899">
        <v>100</v>
      </c>
      <c r="G115" s="899">
        <v>100</v>
      </c>
      <c r="H115" s="973" t="e">
        <f>+H116</f>
        <v>#REF!</v>
      </c>
      <c r="I115" s="921">
        <f>+I116</f>
        <v>0</v>
      </c>
      <c r="J115" s="921">
        <f>+J116</f>
        <v>50000000</v>
      </c>
      <c r="K115" s="921">
        <f t="shared" ref="K115:M115" si="44">+K116</f>
        <v>0</v>
      </c>
      <c r="L115" s="921">
        <f t="shared" si="44"/>
        <v>52500000</v>
      </c>
      <c r="M115" s="921">
        <f t="shared" si="44"/>
        <v>102500000</v>
      </c>
      <c r="N115" s="951"/>
    </row>
    <row r="116" spans="1:14" ht="57">
      <c r="A116" s="900" t="s">
        <v>1043</v>
      </c>
      <c r="B116" s="783" t="s">
        <v>1105</v>
      </c>
      <c r="C116" s="784"/>
      <c r="D116" s="784">
        <v>3</v>
      </c>
      <c r="E116" s="784"/>
      <c r="F116" s="784">
        <v>5</v>
      </c>
      <c r="G116" s="784">
        <v>8</v>
      </c>
      <c r="H116" s="967" t="e">
        <f>+'320501'!#REF!</f>
        <v>#REF!</v>
      </c>
      <c r="I116" s="922"/>
      <c r="J116" s="922">
        <v>50000000</v>
      </c>
      <c r="K116" s="922"/>
      <c r="L116" s="922">
        <v>52500000</v>
      </c>
      <c r="M116" s="922">
        <f>SUM(I116:L116)</f>
        <v>102500000</v>
      </c>
      <c r="N116" s="905" t="s">
        <v>1243</v>
      </c>
    </row>
    <row r="117" spans="1:14" ht="42.75">
      <c r="A117" s="898" t="s">
        <v>962</v>
      </c>
      <c r="B117" s="899" t="s">
        <v>1098</v>
      </c>
      <c r="C117" s="899">
        <v>100</v>
      </c>
      <c r="D117" s="899">
        <v>100</v>
      </c>
      <c r="E117" s="899">
        <v>100</v>
      </c>
      <c r="F117" s="899">
        <v>100</v>
      </c>
      <c r="G117" s="899">
        <v>100</v>
      </c>
      <c r="H117" s="968" t="e">
        <f>+'320501'!#REF!</f>
        <v>#REF!</v>
      </c>
      <c r="I117" s="921">
        <v>126713719</v>
      </c>
      <c r="J117" s="921">
        <v>127347287.59499998</v>
      </c>
      <c r="K117" s="921">
        <v>133714651.97474998</v>
      </c>
      <c r="L117" s="921">
        <v>140400384.57348749</v>
      </c>
      <c r="M117" s="921">
        <v>528176043.14323747</v>
      </c>
      <c r="N117" s="940"/>
    </row>
    <row r="118" spans="1:14">
      <c r="A118" s="2080" t="s">
        <v>1170</v>
      </c>
      <c r="B118" s="2081"/>
      <c r="C118" s="2081"/>
      <c r="D118" s="2081"/>
      <c r="E118" s="2081"/>
      <c r="F118" s="2081"/>
      <c r="G118" s="2082"/>
      <c r="H118" s="975" t="e">
        <f t="shared" ref="H118:M118" si="45">+H105+H107+H109+H111+H113+H115+H117</f>
        <v>#REF!</v>
      </c>
      <c r="I118" s="923">
        <f t="shared" si="45"/>
        <v>530195390</v>
      </c>
      <c r="J118" s="923">
        <f t="shared" si="45"/>
        <v>1354216465.0626037</v>
      </c>
      <c r="K118" s="923">
        <f t="shared" si="45"/>
        <v>2055585392.9275</v>
      </c>
      <c r="L118" s="923">
        <f t="shared" si="45"/>
        <v>2474406707.3738747</v>
      </c>
      <c r="M118" s="923">
        <f t="shared" si="45"/>
        <v>6414403955.3639784</v>
      </c>
      <c r="N118" s="941"/>
    </row>
    <row r="119" spans="1:14">
      <c r="A119" s="125"/>
      <c r="B119"/>
      <c r="C119"/>
      <c r="D119"/>
      <c r="E119"/>
      <c r="F119"/>
      <c r="G119"/>
      <c r="H119" s="963"/>
      <c r="I119"/>
      <c r="J119"/>
      <c r="K119"/>
      <c r="L119"/>
      <c r="M119"/>
      <c r="N119"/>
    </row>
    <row r="120" spans="1:14" ht="45">
      <c r="A120" s="892" t="s">
        <v>188</v>
      </c>
      <c r="B120" s="893" t="s">
        <v>190</v>
      </c>
      <c r="C120" s="892">
        <v>2024</v>
      </c>
      <c r="D120" s="892">
        <v>2025</v>
      </c>
      <c r="E120" s="892">
        <v>2026</v>
      </c>
      <c r="F120" s="892">
        <v>2027</v>
      </c>
      <c r="G120" s="893" t="s">
        <v>142</v>
      </c>
      <c r="H120" s="970"/>
      <c r="I120" s="892" t="s">
        <v>1196</v>
      </c>
      <c r="J120" s="892">
        <v>2025</v>
      </c>
      <c r="K120" s="892">
        <v>2026</v>
      </c>
      <c r="L120" s="892">
        <v>2027</v>
      </c>
      <c r="M120" s="915" t="s">
        <v>10</v>
      </c>
      <c r="N120" s="937" t="s">
        <v>1166</v>
      </c>
    </row>
    <row r="121" spans="1:14" ht="57">
      <c r="A121" s="898" t="s">
        <v>981</v>
      </c>
      <c r="B121" s="785" t="s">
        <v>1098</v>
      </c>
      <c r="C121" s="785">
        <v>100</v>
      </c>
      <c r="D121" s="785">
        <v>100</v>
      </c>
      <c r="E121" s="785">
        <v>100</v>
      </c>
      <c r="F121" s="785">
        <v>100</v>
      </c>
      <c r="G121" s="785">
        <v>100</v>
      </c>
      <c r="H121" s="973" t="e">
        <f>SUM(H122:H125)</f>
        <v>#REF!</v>
      </c>
      <c r="I121" s="921">
        <f>SUM(I122:I125)</f>
        <v>2190248234.7407999</v>
      </c>
      <c r="J121" s="921">
        <f t="shared" ref="J121:K121" si="46">SUM(J122:J125)</f>
        <v>3159709716.1514006</v>
      </c>
      <c r="K121" s="921">
        <f t="shared" si="46"/>
        <v>3668593794.3508596</v>
      </c>
      <c r="L121" s="921">
        <f>SUM(L122:L125)</f>
        <v>4109427791.9568214</v>
      </c>
      <c r="M121" s="921">
        <f>SUM(M122:M125)</f>
        <v>13127979537.199883</v>
      </c>
      <c r="N121" s="943"/>
    </row>
    <row r="122" spans="1:14" s="161" customFormat="1" ht="35.1" customHeight="1">
      <c r="A122" s="900" t="s">
        <v>982</v>
      </c>
      <c r="B122" s="783" t="s">
        <v>1098</v>
      </c>
      <c r="C122" s="784">
        <v>10</v>
      </c>
      <c r="D122" s="909">
        <v>40</v>
      </c>
      <c r="E122" s="909">
        <v>10</v>
      </c>
      <c r="F122" s="909">
        <v>40</v>
      </c>
      <c r="G122" s="909">
        <v>100</v>
      </c>
      <c r="H122" s="976">
        <f>+'320502'!J11</f>
        <v>1890786900.27</v>
      </c>
      <c r="I122" s="922">
        <v>1890786900.7408001</v>
      </c>
      <c r="J122" s="922">
        <v>2836180351.1111999</v>
      </c>
      <c r="K122" s="922">
        <v>1128887961.0586491</v>
      </c>
      <c r="L122" s="922">
        <v>1442736667</v>
      </c>
      <c r="M122" s="922">
        <f t="shared" ref="M122:M125" si="47">SUM(I122:L122)</f>
        <v>7298591879.9106493</v>
      </c>
      <c r="N122" s="939" t="s">
        <v>1244</v>
      </c>
    </row>
    <row r="123" spans="1:14" s="161" customFormat="1" ht="72.75" customHeight="1">
      <c r="A123" s="900" t="s">
        <v>983</v>
      </c>
      <c r="B123" s="783" t="s">
        <v>1104</v>
      </c>
      <c r="C123" s="784">
        <v>37</v>
      </c>
      <c r="D123" s="909">
        <v>37</v>
      </c>
      <c r="E123" s="909">
        <v>37</v>
      </c>
      <c r="F123" s="909">
        <v>37</v>
      </c>
      <c r="G123" s="909">
        <v>37</v>
      </c>
      <c r="H123" s="976">
        <f>+'320502'!J12</f>
        <v>361165013.75999999</v>
      </c>
      <c r="I123" s="922">
        <v>249461334</v>
      </c>
      <c r="J123" s="922">
        <v>213529365.04020077</v>
      </c>
      <c r="K123" s="922">
        <v>224205833.29221082</v>
      </c>
      <c r="L123" s="922">
        <v>235416124.95682138</v>
      </c>
      <c r="M123" s="922">
        <f t="shared" si="47"/>
        <v>922612657.28923297</v>
      </c>
      <c r="N123" s="939" t="s">
        <v>1245</v>
      </c>
    </row>
    <row r="124" spans="1:14" s="161" customFormat="1" ht="71.25">
      <c r="A124" s="900" t="s">
        <v>984</v>
      </c>
      <c r="B124" s="783" t="s">
        <v>1106</v>
      </c>
      <c r="C124" s="784">
        <v>1</v>
      </c>
      <c r="D124" s="909">
        <v>1</v>
      </c>
      <c r="E124" s="909">
        <v>1</v>
      </c>
      <c r="F124" s="909">
        <v>1</v>
      </c>
      <c r="G124" s="909">
        <v>4</v>
      </c>
      <c r="H124" s="976">
        <f>+'320502'!J13</f>
        <v>50000000</v>
      </c>
      <c r="I124" s="922">
        <v>50000000</v>
      </c>
      <c r="J124" s="922">
        <v>110000000</v>
      </c>
      <c r="K124" s="922">
        <v>115500000</v>
      </c>
      <c r="L124" s="922">
        <v>121275000</v>
      </c>
      <c r="M124" s="922">
        <f t="shared" si="47"/>
        <v>396775000</v>
      </c>
      <c r="N124" s="939" t="s">
        <v>1246</v>
      </c>
    </row>
    <row r="125" spans="1:14" s="161" customFormat="1" ht="30">
      <c r="A125" s="900" t="s">
        <v>985</v>
      </c>
      <c r="B125" s="783" t="s">
        <v>1098</v>
      </c>
      <c r="C125" s="784"/>
      <c r="D125" s="784"/>
      <c r="E125" s="784">
        <v>50</v>
      </c>
      <c r="F125" s="784">
        <v>50</v>
      </c>
      <c r="G125" s="784">
        <v>100</v>
      </c>
      <c r="H125" s="976" t="e">
        <f>+'320502'!#REF!</f>
        <v>#REF!</v>
      </c>
      <c r="I125" s="922">
        <v>0</v>
      </c>
      <c r="J125" s="922"/>
      <c r="K125" s="922">
        <v>2200000000</v>
      </c>
      <c r="L125" s="922">
        <v>2310000000</v>
      </c>
      <c r="M125" s="922">
        <f t="shared" si="47"/>
        <v>4510000000</v>
      </c>
      <c r="N125" s="939" t="s">
        <v>1247</v>
      </c>
    </row>
    <row r="126" spans="1:14">
      <c r="A126" s="2080" t="s">
        <v>1170</v>
      </c>
      <c r="B126" s="2081"/>
      <c r="C126" s="2081"/>
      <c r="D126" s="2081"/>
      <c r="E126" s="2081"/>
      <c r="F126" s="2081"/>
      <c r="G126" s="2082"/>
      <c r="H126" s="975" t="e">
        <f>+H121</f>
        <v>#REF!</v>
      </c>
      <c r="I126" s="923">
        <f>+I121</f>
        <v>2190248234.7407999</v>
      </c>
      <c r="J126" s="923">
        <f t="shared" ref="J126:M126" si="48">+J121</f>
        <v>3159709716.1514006</v>
      </c>
      <c r="K126" s="923">
        <f t="shared" si="48"/>
        <v>3668593794.3508596</v>
      </c>
      <c r="L126" s="923">
        <f>+L121</f>
        <v>4109427791.9568214</v>
      </c>
      <c r="M126" s="923">
        <f t="shared" si="48"/>
        <v>13127979537.199883</v>
      </c>
      <c r="N126" s="941"/>
    </row>
    <row r="127" spans="1:14">
      <c r="A127" s="125"/>
      <c r="B127"/>
      <c r="C127"/>
      <c r="D127"/>
      <c r="E127"/>
      <c r="F127"/>
      <c r="G127"/>
      <c r="H127" s="963"/>
      <c r="I127"/>
      <c r="J127"/>
      <c r="K127"/>
      <c r="L127"/>
      <c r="M127"/>
      <c r="N127"/>
    </row>
    <row r="128" spans="1:14" ht="45">
      <c r="A128" s="892" t="s">
        <v>188</v>
      </c>
      <c r="B128" s="893" t="s">
        <v>190</v>
      </c>
      <c r="C128" s="892">
        <v>2024</v>
      </c>
      <c r="D128" s="892">
        <v>2025</v>
      </c>
      <c r="E128" s="892">
        <v>2026</v>
      </c>
      <c r="F128" s="892">
        <v>2027</v>
      </c>
      <c r="G128" s="893" t="s">
        <v>142</v>
      </c>
      <c r="H128" s="970"/>
      <c r="I128" s="892" t="s">
        <v>1196</v>
      </c>
      <c r="J128" s="892">
        <v>2025</v>
      </c>
      <c r="K128" s="892">
        <v>2026</v>
      </c>
      <c r="L128" s="892">
        <v>2027</v>
      </c>
      <c r="M128" s="915" t="s">
        <v>10</v>
      </c>
      <c r="N128" s="937" t="s">
        <v>1166</v>
      </c>
    </row>
    <row r="129" spans="1:14" ht="42.75">
      <c r="A129" s="898" t="s">
        <v>978</v>
      </c>
      <c r="B129" s="785" t="s">
        <v>1098</v>
      </c>
      <c r="C129" s="785">
        <v>100</v>
      </c>
      <c r="D129" s="785">
        <v>100</v>
      </c>
      <c r="E129" s="785">
        <v>100</v>
      </c>
      <c r="F129" s="785">
        <v>100</v>
      </c>
      <c r="G129" s="785">
        <v>100</v>
      </c>
      <c r="H129" s="973">
        <f t="shared" ref="H129:L129" si="49">SUM(H130:H131)</f>
        <v>718993230.54850698</v>
      </c>
      <c r="I129" s="921">
        <f t="shared" si="49"/>
        <v>536846400</v>
      </c>
      <c r="J129" s="921">
        <f t="shared" si="49"/>
        <v>469280631.99999994</v>
      </c>
      <c r="K129" s="921">
        <f t="shared" si="49"/>
        <v>492744663.59999996</v>
      </c>
      <c r="L129" s="921">
        <f t="shared" si="49"/>
        <v>517381896.77999997</v>
      </c>
      <c r="M129" s="921">
        <f>SUM(M130:M131)</f>
        <v>2016253592.3799999</v>
      </c>
      <c r="N129" s="952"/>
    </row>
    <row r="130" spans="1:14" s="161" customFormat="1" ht="57">
      <c r="A130" s="900" t="s">
        <v>979</v>
      </c>
      <c r="B130" s="784" t="s">
        <v>1107</v>
      </c>
      <c r="C130" s="784">
        <v>1</v>
      </c>
      <c r="D130" s="784">
        <v>2</v>
      </c>
      <c r="E130" s="784">
        <v>2</v>
      </c>
      <c r="F130" s="784">
        <v>2</v>
      </c>
      <c r="G130" s="784">
        <v>7</v>
      </c>
      <c r="H130" s="967">
        <f>+'320503'!J11</f>
        <v>30000000</v>
      </c>
      <c r="I130" s="922">
        <v>30000000</v>
      </c>
      <c r="J130" s="922">
        <v>80000000</v>
      </c>
      <c r="K130" s="922">
        <v>84000000</v>
      </c>
      <c r="L130" s="922">
        <v>88200000</v>
      </c>
      <c r="M130" s="922">
        <f t="shared" ref="M130:M131" si="50">SUM(I130:L130)</f>
        <v>282200000</v>
      </c>
      <c r="N130" s="905" t="s">
        <v>1178</v>
      </c>
    </row>
    <row r="131" spans="1:14" s="161" customFormat="1" ht="57">
      <c r="A131" s="900" t="s">
        <v>977</v>
      </c>
      <c r="B131" s="784" t="s">
        <v>1107</v>
      </c>
      <c r="C131" s="784">
        <v>25</v>
      </c>
      <c r="D131" s="784">
        <v>25</v>
      </c>
      <c r="E131" s="784">
        <v>25</v>
      </c>
      <c r="F131" s="784">
        <v>25</v>
      </c>
      <c r="G131" s="784">
        <v>25</v>
      </c>
      <c r="H131" s="967">
        <f>+'320503'!J12</f>
        <v>688993230.54850698</v>
      </c>
      <c r="I131" s="922">
        <v>506846400</v>
      </c>
      <c r="J131" s="922">
        <v>389280631.99999994</v>
      </c>
      <c r="K131" s="922">
        <v>408744663.59999996</v>
      </c>
      <c r="L131" s="922">
        <v>429181896.77999997</v>
      </c>
      <c r="M131" s="922">
        <f t="shared" si="50"/>
        <v>1734053592.3799999</v>
      </c>
      <c r="N131" s="905" t="s">
        <v>1179</v>
      </c>
    </row>
    <row r="132" spans="1:14" ht="42.75">
      <c r="A132" s="898" t="s">
        <v>962</v>
      </c>
      <c r="B132" s="899" t="s">
        <v>1098</v>
      </c>
      <c r="C132" s="899">
        <v>100</v>
      </c>
      <c r="D132" s="899">
        <v>100</v>
      </c>
      <c r="E132" s="899">
        <v>100</v>
      </c>
      <c r="F132" s="899">
        <v>100</v>
      </c>
      <c r="G132" s="899">
        <v>100</v>
      </c>
      <c r="H132" s="973" t="e">
        <f>+'320503'!#REF!</f>
        <v>#REF!</v>
      </c>
      <c r="I132" s="921">
        <v>182146831</v>
      </c>
      <c r="J132" s="921">
        <v>183057565.15499997</v>
      </c>
      <c r="K132" s="921">
        <v>192210443.41274998</v>
      </c>
      <c r="L132" s="921">
        <v>201820965.58338749</v>
      </c>
      <c r="M132" s="921">
        <v>759235805.15113747</v>
      </c>
      <c r="N132" s="940"/>
    </row>
    <row r="133" spans="1:14">
      <c r="A133" s="2080" t="s">
        <v>1170</v>
      </c>
      <c r="B133" s="2081"/>
      <c r="C133" s="2081"/>
      <c r="D133" s="2081"/>
      <c r="E133" s="2081"/>
      <c r="F133" s="2081"/>
      <c r="G133" s="2082"/>
      <c r="H133" s="975" t="e">
        <f t="shared" ref="H133:M133" si="51">+H129+H132</f>
        <v>#REF!</v>
      </c>
      <c r="I133" s="923">
        <f t="shared" si="51"/>
        <v>718993231</v>
      </c>
      <c r="J133" s="923">
        <f t="shared" si="51"/>
        <v>652338197.15499997</v>
      </c>
      <c r="K133" s="923">
        <f t="shared" si="51"/>
        <v>684955107.01274991</v>
      </c>
      <c r="L133" s="923">
        <f t="shared" si="51"/>
        <v>719202862.36338747</v>
      </c>
      <c r="M133" s="923">
        <f t="shared" si="51"/>
        <v>2775489397.5311375</v>
      </c>
      <c r="N133" s="941"/>
    </row>
    <row r="134" spans="1:14">
      <c r="A134" s="125"/>
      <c r="B134"/>
      <c r="C134"/>
      <c r="D134"/>
      <c r="E134"/>
      <c r="F134"/>
      <c r="G134"/>
      <c r="H134" s="963"/>
      <c r="I134"/>
      <c r="J134"/>
      <c r="K134"/>
      <c r="L134"/>
      <c r="M134"/>
      <c r="N134"/>
    </row>
    <row r="135" spans="1:14">
      <c r="A135" s="125"/>
      <c r="B135"/>
      <c r="C135"/>
      <c r="D135"/>
      <c r="E135"/>
      <c r="F135"/>
      <c r="G135"/>
      <c r="H135" s="963"/>
      <c r="I135"/>
      <c r="J135"/>
      <c r="K135"/>
      <c r="L135"/>
      <c r="M135"/>
      <c r="N135"/>
    </row>
    <row r="136" spans="1:14" ht="45">
      <c r="A136" s="892" t="s">
        <v>188</v>
      </c>
      <c r="B136" s="893" t="s">
        <v>190</v>
      </c>
      <c r="C136" s="892">
        <v>2024</v>
      </c>
      <c r="D136" s="892">
        <v>2025</v>
      </c>
      <c r="E136" s="892">
        <v>2026</v>
      </c>
      <c r="F136" s="892">
        <v>2027</v>
      </c>
      <c r="G136" s="893" t="s">
        <v>142</v>
      </c>
      <c r="H136" s="970"/>
      <c r="I136" s="892" t="s">
        <v>1196</v>
      </c>
      <c r="J136" s="892">
        <v>2025</v>
      </c>
      <c r="K136" s="892">
        <v>2026</v>
      </c>
      <c r="L136" s="892">
        <v>2027</v>
      </c>
      <c r="M136" s="915" t="s">
        <v>10</v>
      </c>
      <c r="N136" s="937" t="s">
        <v>1166</v>
      </c>
    </row>
    <row r="137" spans="1:14" ht="85.5">
      <c r="A137" s="894" t="s">
        <v>975</v>
      </c>
      <c r="B137" s="895" t="s">
        <v>1098</v>
      </c>
      <c r="C137" s="895">
        <v>100</v>
      </c>
      <c r="D137" s="895">
        <v>100</v>
      </c>
      <c r="E137" s="895">
        <v>100</v>
      </c>
      <c r="F137" s="895">
        <v>100</v>
      </c>
      <c r="G137" s="895">
        <v>100</v>
      </c>
      <c r="H137" s="972" t="e">
        <f t="shared" ref="H137:M137" si="52">SUM(H138:H139)</f>
        <v>#REF!</v>
      </c>
      <c r="I137" s="916">
        <f t="shared" si="52"/>
        <v>26055586</v>
      </c>
      <c r="J137" s="916">
        <f t="shared" si="52"/>
        <v>36235863.93</v>
      </c>
      <c r="K137" s="916">
        <f t="shared" si="52"/>
        <v>108047657.12650001</v>
      </c>
      <c r="L137" s="916">
        <f t="shared" si="52"/>
        <v>39950039.982825004</v>
      </c>
      <c r="M137" s="916">
        <f t="shared" si="52"/>
        <v>210289147.039325</v>
      </c>
      <c r="N137" s="945"/>
    </row>
    <row r="138" spans="1:14" s="161" customFormat="1" ht="73.5" customHeight="1">
      <c r="A138" s="900" t="s">
        <v>1180</v>
      </c>
      <c r="B138" s="784" t="s">
        <v>1108</v>
      </c>
      <c r="C138" s="784">
        <v>37</v>
      </c>
      <c r="D138" s="784">
        <v>37</v>
      </c>
      <c r="E138" s="784">
        <v>37</v>
      </c>
      <c r="F138" s="784">
        <v>37</v>
      </c>
      <c r="G138" s="784">
        <v>37</v>
      </c>
      <c r="H138" s="967">
        <f>+'320601'!H11</f>
        <v>26055585.350400001</v>
      </c>
      <c r="I138" s="917">
        <v>26055586</v>
      </c>
      <c r="J138" s="917">
        <v>36235863.93</v>
      </c>
      <c r="K138" s="917">
        <v>38047657.126500003</v>
      </c>
      <c r="L138" s="917">
        <v>39950039.982825004</v>
      </c>
      <c r="M138" s="922">
        <f t="shared" ref="M138:M139" si="53">SUM(I138:L138)</f>
        <v>140289147.039325</v>
      </c>
      <c r="N138" s="905" t="s">
        <v>1248</v>
      </c>
    </row>
    <row r="139" spans="1:14" s="161" customFormat="1" ht="54.75" customHeight="1">
      <c r="A139" s="904" t="s">
        <v>1181</v>
      </c>
      <c r="B139" s="784" t="s">
        <v>408</v>
      </c>
      <c r="C139" s="783"/>
      <c r="D139" s="783"/>
      <c r="E139" s="784">
        <v>1</v>
      </c>
      <c r="F139" s="784"/>
      <c r="G139" s="784">
        <v>1</v>
      </c>
      <c r="H139" s="967" t="e">
        <f>+'320601'!#REF!</f>
        <v>#REF!</v>
      </c>
      <c r="I139" s="917"/>
      <c r="J139" s="917"/>
      <c r="K139" s="917">
        <v>70000000</v>
      </c>
      <c r="L139" s="917"/>
      <c r="M139" s="922">
        <f t="shared" si="53"/>
        <v>70000000</v>
      </c>
      <c r="N139" s="905" t="s">
        <v>1249</v>
      </c>
    </row>
    <row r="140" spans="1:14" ht="71.25">
      <c r="A140" s="898" t="s">
        <v>12</v>
      </c>
      <c r="B140" s="785" t="s">
        <v>1098</v>
      </c>
      <c r="C140" s="785">
        <v>100</v>
      </c>
      <c r="D140" s="785">
        <v>100</v>
      </c>
      <c r="E140" s="785">
        <v>100</v>
      </c>
      <c r="F140" s="785">
        <v>100</v>
      </c>
      <c r="G140" s="785">
        <v>100</v>
      </c>
      <c r="H140" s="973">
        <f t="shared" ref="H140:M140" si="54">SUM(H141)</f>
        <v>1762657457.76</v>
      </c>
      <c r="I140" s="921">
        <f t="shared" si="54"/>
        <v>1973987919</v>
      </c>
      <c r="J140" s="921">
        <f t="shared" si="54"/>
        <v>350000000</v>
      </c>
      <c r="K140" s="921">
        <f t="shared" si="54"/>
        <v>500000000</v>
      </c>
      <c r="L140" s="921">
        <f t="shared" si="54"/>
        <v>650000000</v>
      </c>
      <c r="M140" s="921">
        <f t="shared" si="54"/>
        <v>3473987919</v>
      </c>
      <c r="N140" s="943"/>
    </row>
    <row r="141" spans="1:14" ht="57">
      <c r="A141" s="900" t="s">
        <v>973</v>
      </c>
      <c r="B141" s="784" t="s">
        <v>1106</v>
      </c>
      <c r="C141" s="784">
        <v>1</v>
      </c>
      <c r="D141" s="784">
        <v>1</v>
      </c>
      <c r="E141" s="784">
        <v>1</v>
      </c>
      <c r="F141" s="784">
        <v>1</v>
      </c>
      <c r="G141" s="784">
        <v>4</v>
      </c>
      <c r="H141" s="967">
        <f>+'320601'!H13</f>
        <v>1762657457.76</v>
      </c>
      <c r="I141" s="917">
        <v>1973987919</v>
      </c>
      <c r="J141" s="918">
        <v>350000000</v>
      </c>
      <c r="K141" s="917">
        <v>500000000</v>
      </c>
      <c r="L141" s="917">
        <v>650000000</v>
      </c>
      <c r="M141" s="922">
        <f>SUM(I141:L141)</f>
        <v>3473987919</v>
      </c>
      <c r="N141" s="939" t="s">
        <v>1250</v>
      </c>
    </row>
    <row r="142" spans="1:14">
      <c r="A142" s="2080" t="s">
        <v>1170</v>
      </c>
      <c r="B142" s="2081"/>
      <c r="C142" s="2081"/>
      <c r="D142" s="2081"/>
      <c r="E142" s="2081"/>
      <c r="F142" s="2081"/>
      <c r="G142" s="2082"/>
      <c r="H142" s="975" t="e">
        <f>+H137+H140</f>
        <v>#REF!</v>
      </c>
      <c r="I142" s="923">
        <f>+I137+I140</f>
        <v>2000043505</v>
      </c>
      <c r="J142" s="923">
        <f t="shared" ref="J142:M142" si="55">+J137+J140</f>
        <v>386235863.93000001</v>
      </c>
      <c r="K142" s="923">
        <f t="shared" si="55"/>
        <v>608047657.12650001</v>
      </c>
      <c r="L142" s="923">
        <f t="shared" si="55"/>
        <v>689950039.98282504</v>
      </c>
      <c r="M142" s="923">
        <f t="shared" si="55"/>
        <v>3684277066.0393248</v>
      </c>
      <c r="N142" s="941"/>
    </row>
    <row r="143" spans="1:14">
      <c r="A143" s="125"/>
      <c r="B143"/>
      <c r="C143"/>
      <c r="D143"/>
      <c r="E143"/>
      <c r="F143"/>
      <c r="G143"/>
      <c r="H143" s="963"/>
      <c r="I143"/>
      <c r="J143"/>
      <c r="K143"/>
      <c r="L143"/>
      <c r="M143"/>
      <c r="N143"/>
    </row>
    <row r="144" spans="1:14">
      <c r="A144" s="125"/>
      <c r="B144"/>
      <c r="C144"/>
      <c r="D144"/>
      <c r="E144"/>
      <c r="F144"/>
      <c r="G144"/>
      <c r="H144" s="963"/>
      <c r="I144"/>
      <c r="J144"/>
      <c r="K144"/>
      <c r="L144"/>
      <c r="M144"/>
      <c r="N144"/>
    </row>
    <row r="145" spans="1:14" ht="45">
      <c r="A145" s="892" t="s">
        <v>188</v>
      </c>
      <c r="B145" s="893" t="s">
        <v>190</v>
      </c>
      <c r="C145" s="892">
        <v>2024</v>
      </c>
      <c r="D145" s="892">
        <v>2025</v>
      </c>
      <c r="E145" s="892">
        <v>2026</v>
      </c>
      <c r="F145" s="892">
        <v>2027</v>
      </c>
      <c r="G145" s="893" t="s">
        <v>142</v>
      </c>
      <c r="H145" s="970"/>
      <c r="I145" s="892" t="s">
        <v>1196</v>
      </c>
      <c r="J145" s="892">
        <v>2025</v>
      </c>
      <c r="K145" s="892">
        <v>2026</v>
      </c>
      <c r="L145" s="892">
        <v>2027</v>
      </c>
      <c r="M145" s="915" t="s">
        <v>10</v>
      </c>
      <c r="N145" s="937" t="s">
        <v>1166</v>
      </c>
    </row>
    <row r="146" spans="1:14" ht="28.5">
      <c r="A146" s="894" t="s">
        <v>969</v>
      </c>
      <c r="B146" s="895" t="s">
        <v>1098</v>
      </c>
      <c r="C146" s="895">
        <v>100</v>
      </c>
      <c r="D146" s="895">
        <v>100</v>
      </c>
      <c r="E146" s="895">
        <v>100</v>
      </c>
      <c r="F146" s="895">
        <v>100</v>
      </c>
      <c r="G146" s="895">
        <v>100</v>
      </c>
      <c r="H146" s="972">
        <f t="shared" ref="H146:M146" si="56">SUM(H147:H149)</f>
        <v>1600524405.6351342</v>
      </c>
      <c r="I146" s="916">
        <f t="shared" si="56"/>
        <v>1441810687</v>
      </c>
      <c r="J146" s="916">
        <f t="shared" si="56"/>
        <v>1243887477.915</v>
      </c>
      <c r="K146" s="916">
        <f t="shared" si="56"/>
        <v>1306081851.81075</v>
      </c>
      <c r="L146" s="916">
        <f t="shared" si="56"/>
        <v>1371385944.4012876</v>
      </c>
      <c r="M146" s="916">
        <f t="shared" si="56"/>
        <v>5363165961.127037</v>
      </c>
      <c r="N146" s="945"/>
    </row>
    <row r="147" spans="1:14" s="161" customFormat="1" ht="51" customHeight="1">
      <c r="A147" s="900" t="s">
        <v>968</v>
      </c>
      <c r="B147" s="784" t="s">
        <v>1098</v>
      </c>
      <c r="C147" s="784">
        <v>100</v>
      </c>
      <c r="D147" s="784">
        <v>100</v>
      </c>
      <c r="E147" s="784">
        <v>100</v>
      </c>
      <c r="F147" s="784">
        <v>100</v>
      </c>
      <c r="G147" s="784">
        <v>100</v>
      </c>
      <c r="H147" s="967">
        <f>+'320801'!G11+'320801'!I11</f>
        <v>729404826.6351341</v>
      </c>
      <c r="I147" s="922">
        <v>570691108</v>
      </c>
      <c r="J147" s="922">
        <v>493144563.53999996</v>
      </c>
      <c r="K147" s="922">
        <v>517801791.71700001</v>
      </c>
      <c r="L147" s="922">
        <v>543691881.30285001</v>
      </c>
      <c r="M147" s="922">
        <f t="shared" ref="M147:M149" si="57">SUM(I147:L147)</f>
        <v>2125329344.55985</v>
      </c>
      <c r="N147" s="953" t="s">
        <v>1182</v>
      </c>
    </row>
    <row r="148" spans="1:14" s="161" customFormat="1" ht="71.25">
      <c r="A148" s="900" t="s">
        <v>970</v>
      </c>
      <c r="B148" s="784" t="s">
        <v>1108</v>
      </c>
      <c r="C148" s="784">
        <v>37</v>
      </c>
      <c r="D148" s="784">
        <v>37</v>
      </c>
      <c r="E148" s="784">
        <v>37</v>
      </c>
      <c r="F148" s="784">
        <v>37</v>
      </c>
      <c r="G148" s="784">
        <v>37</v>
      </c>
      <c r="H148" s="967">
        <f>+'320801'!G12+'320801'!I12</f>
        <v>623996791</v>
      </c>
      <c r="I148" s="922">
        <v>623996791</v>
      </c>
      <c r="J148" s="922">
        <v>607211893.69499993</v>
      </c>
      <c r="K148" s="922">
        <v>637572488.37975001</v>
      </c>
      <c r="L148" s="922">
        <v>669451112.79873753</v>
      </c>
      <c r="M148" s="922">
        <f t="shared" si="57"/>
        <v>2538232285.8734875</v>
      </c>
      <c r="N148" s="953" t="s">
        <v>1251</v>
      </c>
    </row>
    <row r="149" spans="1:14" s="161" customFormat="1" ht="57">
      <c r="A149" s="900" t="s">
        <v>967</v>
      </c>
      <c r="B149" s="784" t="s">
        <v>1108</v>
      </c>
      <c r="C149" s="784">
        <v>37</v>
      </c>
      <c r="D149" s="784">
        <v>37</v>
      </c>
      <c r="E149" s="784">
        <v>37</v>
      </c>
      <c r="F149" s="784">
        <v>37</v>
      </c>
      <c r="G149" s="784">
        <v>37</v>
      </c>
      <c r="H149" s="967">
        <f>+'320801'!G13+'320801'!I13</f>
        <v>247122788</v>
      </c>
      <c r="I149" s="922">
        <v>247122788</v>
      </c>
      <c r="J149" s="922">
        <v>143531020.67999998</v>
      </c>
      <c r="K149" s="922">
        <v>150707571.71399999</v>
      </c>
      <c r="L149" s="922">
        <v>158242950.29969999</v>
      </c>
      <c r="M149" s="922">
        <f t="shared" si="57"/>
        <v>699604330.69369996</v>
      </c>
      <c r="N149" s="896" t="s">
        <v>1252</v>
      </c>
    </row>
    <row r="150" spans="1:14" ht="42.75">
      <c r="A150" s="898" t="s">
        <v>962</v>
      </c>
      <c r="B150" s="899" t="s">
        <v>1098</v>
      </c>
      <c r="C150" s="899">
        <v>100</v>
      </c>
      <c r="D150" s="899">
        <v>100</v>
      </c>
      <c r="E150" s="899">
        <v>100</v>
      </c>
      <c r="F150" s="899">
        <v>100</v>
      </c>
      <c r="G150" s="899">
        <v>100</v>
      </c>
      <c r="H150" s="968" t="e">
        <f>+'320801'!#REF!+'320801'!#REF!</f>
        <v>#REF!</v>
      </c>
      <c r="I150" s="921">
        <v>158713719</v>
      </c>
      <c r="J150" s="921">
        <v>159507287.59499997</v>
      </c>
      <c r="K150" s="921">
        <v>167482651.97474998</v>
      </c>
      <c r="L150" s="921">
        <v>175856784.57348749</v>
      </c>
      <c r="M150" s="921">
        <v>661560443.14323747</v>
      </c>
      <c r="N150" s="940"/>
    </row>
    <row r="151" spans="1:14">
      <c r="A151" s="2080" t="s">
        <v>1170</v>
      </c>
      <c r="B151" s="2081"/>
      <c r="C151" s="2081"/>
      <c r="D151" s="2081"/>
      <c r="E151" s="2081"/>
      <c r="F151" s="2081"/>
      <c r="G151" s="2082"/>
      <c r="H151" s="975" t="e">
        <f t="shared" ref="H151:M151" si="58">+H146+H150</f>
        <v>#REF!</v>
      </c>
      <c r="I151" s="923">
        <f t="shared" si="58"/>
        <v>1600524406</v>
      </c>
      <c r="J151" s="923">
        <f t="shared" si="58"/>
        <v>1403394765.51</v>
      </c>
      <c r="K151" s="923">
        <f t="shared" si="58"/>
        <v>1473564503.7855</v>
      </c>
      <c r="L151" s="923">
        <f t="shared" si="58"/>
        <v>1547242728.9747751</v>
      </c>
      <c r="M151" s="923">
        <f t="shared" si="58"/>
        <v>6024726404.2702742</v>
      </c>
      <c r="N151" s="941"/>
    </row>
    <row r="152" spans="1:14">
      <c r="A152" s="125"/>
      <c r="B152"/>
      <c r="C152"/>
      <c r="D152"/>
      <c r="E152"/>
      <c r="F152"/>
      <c r="G152"/>
      <c r="H152" s="963"/>
      <c r="I152"/>
      <c r="J152"/>
      <c r="K152"/>
      <c r="L152"/>
      <c r="M152"/>
      <c r="N152"/>
    </row>
    <row r="153" spans="1:14">
      <c r="A153" s="125"/>
      <c r="B153"/>
      <c r="C153"/>
      <c r="D153"/>
      <c r="E153"/>
      <c r="F153"/>
      <c r="G153"/>
      <c r="H153" s="963"/>
      <c r="I153"/>
      <c r="J153"/>
      <c r="K153"/>
      <c r="L153"/>
      <c r="M153"/>
      <c r="N153"/>
    </row>
    <row r="154" spans="1:14" ht="45">
      <c r="A154" s="892" t="s">
        <v>188</v>
      </c>
      <c r="B154" s="893" t="s">
        <v>190</v>
      </c>
      <c r="C154" s="892">
        <v>2024</v>
      </c>
      <c r="D154" s="892">
        <v>2025</v>
      </c>
      <c r="E154" s="892">
        <v>2026</v>
      </c>
      <c r="F154" s="892">
        <v>2027</v>
      </c>
      <c r="G154" s="893" t="s">
        <v>142</v>
      </c>
      <c r="H154" s="970"/>
      <c r="I154" s="892" t="s">
        <v>1196</v>
      </c>
      <c r="J154" s="892">
        <v>2025</v>
      </c>
      <c r="K154" s="892">
        <v>2026</v>
      </c>
      <c r="L154" s="892">
        <v>2027</v>
      </c>
      <c r="M154" s="915" t="s">
        <v>10</v>
      </c>
      <c r="N154" s="937" t="s">
        <v>1166</v>
      </c>
    </row>
    <row r="155" spans="1:14" ht="28.5">
      <c r="A155" s="898" t="s">
        <v>955</v>
      </c>
      <c r="B155" s="785" t="s">
        <v>1098</v>
      </c>
      <c r="C155" s="785">
        <v>100</v>
      </c>
      <c r="D155" s="785">
        <v>100</v>
      </c>
      <c r="E155" s="785">
        <v>100</v>
      </c>
      <c r="F155" s="785">
        <v>100</v>
      </c>
      <c r="G155" s="785">
        <v>100</v>
      </c>
      <c r="H155" s="973">
        <f>SUM(H156)</f>
        <v>2695638614.6058388</v>
      </c>
      <c r="I155" s="921">
        <f>SUM(I156)</f>
        <v>2523492044</v>
      </c>
      <c r="J155" s="921">
        <f t="shared" ref="J155:L155" si="59">SUM(J156)</f>
        <v>2629430563.3200002</v>
      </c>
      <c r="K155" s="921">
        <f t="shared" si="59"/>
        <v>288285008.38560003</v>
      </c>
      <c r="L155" s="921">
        <f t="shared" si="59"/>
        <v>302699258.80488002</v>
      </c>
      <c r="M155" s="921">
        <f>SUM(M156)</f>
        <v>5743906874.5104799</v>
      </c>
      <c r="N155" s="943"/>
    </row>
    <row r="156" spans="1:14" s="161" customFormat="1" ht="42.75">
      <c r="A156" s="908" t="s">
        <v>956</v>
      </c>
      <c r="B156" s="784" t="s">
        <v>1106</v>
      </c>
      <c r="C156" s="784">
        <v>1</v>
      </c>
      <c r="D156" s="784">
        <v>1</v>
      </c>
      <c r="E156" s="784">
        <v>1</v>
      </c>
      <c r="F156" s="784">
        <v>1</v>
      </c>
      <c r="G156" s="784">
        <v>4</v>
      </c>
      <c r="H156" s="967">
        <f>+'329901'!M11</f>
        <v>2695638614.6058388</v>
      </c>
      <c r="I156" s="922">
        <v>2523492044</v>
      </c>
      <c r="J156" s="922">
        <v>2629430563.3200002</v>
      </c>
      <c r="K156" s="922">
        <v>288285008.38560003</v>
      </c>
      <c r="L156" s="922">
        <v>302699258.80488002</v>
      </c>
      <c r="M156" s="922">
        <f>SUM(I156:L156)</f>
        <v>5743906874.5104799</v>
      </c>
      <c r="N156" s="939" t="s">
        <v>1253</v>
      </c>
    </row>
    <row r="157" spans="1:14" ht="42.75">
      <c r="A157" s="898" t="s">
        <v>957</v>
      </c>
      <c r="B157" s="785" t="s">
        <v>1098</v>
      </c>
      <c r="C157" s="785">
        <v>100</v>
      </c>
      <c r="D157" s="785">
        <v>100</v>
      </c>
      <c r="E157" s="785">
        <v>100</v>
      </c>
      <c r="F157" s="785">
        <v>100</v>
      </c>
      <c r="G157" s="785">
        <v>100</v>
      </c>
      <c r="H157" s="973">
        <f>SUM(H158)</f>
        <v>819547282.8073591</v>
      </c>
      <c r="I157" s="921">
        <f>SUM(I158)</f>
        <v>624458477</v>
      </c>
      <c r="J157" s="921">
        <f t="shared" ref="J157:L157" si="60">SUM(J158)</f>
        <v>642719947.00999999</v>
      </c>
      <c r="K157" s="921">
        <f t="shared" si="60"/>
        <v>674855944.36049998</v>
      </c>
      <c r="L157" s="921">
        <f t="shared" si="60"/>
        <v>708598741.57852507</v>
      </c>
      <c r="M157" s="921">
        <f>SUM(M158)</f>
        <v>2650633109.9490252</v>
      </c>
      <c r="N157" s="943"/>
    </row>
    <row r="158" spans="1:14" ht="57">
      <c r="A158" s="908" t="s">
        <v>958</v>
      </c>
      <c r="B158" s="784" t="s">
        <v>1109</v>
      </c>
      <c r="C158" s="784">
        <v>1</v>
      </c>
      <c r="D158" s="784">
        <v>1</v>
      </c>
      <c r="E158" s="784">
        <v>1</v>
      </c>
      <c r="F158" s="784">
        <v>1</v>
      </c>
      <c r="G158" s="784">
        <v>1</v>
      </c>
      <c r="H158" s="967">
        <f>+'329901'!M13</f>
        <v>819547282.8073591</v>
      </c>
      <c r="I158" s="922">
        <v>624458477</v>
      </c>
      <c r="J158" s="922">
        <v>642719947.00999999</v>
      </c>
      <c r="K158" s="922">
        <v>674855944.36049998</v>
      </c>
      <c r="L158" s="922">
        <v>708598741.57852507</v>
      </c>
      <c r="M158" s="922">
        <f>SUM(I158:L158)</f>
        <v>2650633109.9490252</v>
      </c>
      <c r="N158" s="949"/>
    </row>
    <row r="159" spans="1:14" ht="42.75">
      <c r="A159" s="898" t="s">
        <v>959</v>
      </c>
      <c r="B159" s="785" t="s">
        <v>1098</v>
      </c>
      <c r="C159" s="785">
        <v>100</v>
      </c>
      <c r="D159" s="785">
        <v>100</v>
      </c>
      <c r="E159" s="785">
        <v>100</v>
      </c>
      <c r="F159" s="785">
        <v>100</v>
      </c>
      <c r="G159" s="785">
        <v>100</v>
      </c>
      <c r="H159" s="973">
        <f t="shared" ref="H159:M159" si="61">SUM(H160:H161)</f>
        <v>1263271472.1772351</v>
      </c>
      <c r="I159" s="921">
        <f t="shared" si="61"/>
        <v>1136762954</v>
      </c>
      <c r="J159" s="921">
        <f t="shared" si="61"/>
        <v>1270451494.8150001</v>
      </c>
      <c r="K159" s="921">
        <f t="shared" si="61"/>
        <v>1333974069.5557499</v>
      </c>
      <c r="L159" s="921">
        <f t="shared" si="61"/>
        <v>1400674781.0335374</v>
      </c>
      <c r="M159" s="921">
        <f t="shared" si="61"/>
        <v>5141863299.4042873</v>
      </c>
      <c r="N159" s="943"/>
    </row>
    <row r="160" spans="1:14" ht="42.75">
      <c r="A160" s="908" t="s">
        <v>960</v>
      </c>
      <c r="B160" s="784" t="s">
        <v>1098</v>
      </c>
      <c r="C160" s="784">
        <v>100</v>
      </c>
      <c r="D160" s="784">
        <v>100</v>
      </c>
      <c r="E160" s="784">
        <v>100</v>
      </c>
      <c r="F160" s="784">
        <v>100</v>
      </c>
      <c r="G160" s="784">
        <v>100</v>
      </c>
      <c r="H160" s="967">
        <f>+'329901'!M15</f>
        <v>1084106649.274848</v>
      </c>
      <c r="I160" s="922">
        <v>921061009</v>
      </c>
      <c r="J160" s="922">
        <v>905566314.04499996</v>
      </c>
      <c r="K160" s="922">
        <v>950844629.74724996</v>
      </c>
      <c r="L160" s="922">
        <v>998388869.23461246</v>
      </c>
      <c r="M160" s="922">
        <f t="shared" ref="M160:M161" si="62">SUM(I160:L160)</f>
        <v>3775860822.0268626</v>
      </c>
      <c r="N160" s="949"/>
    </row>
    <row r="161" spans="1:14" ht="42.75">
      <c r="A161" s="908" t="s">
        <v>961</v>
      </c>
      <c r="B161" s="784" t="s">
        <v>1098</v>
      </c>
      <c r="C161" s="784">
        <v>100</v>
      </c>
      <c r="D161" s="784">
        <v>100</v>
      </c>
      <c r="E161" s="784">
        <v>100</v>
      </c>
      <c r="F161" s="784">
        <v>100</v>
      </c>
      <c r="G161" s="784">
        <v>100</v>
      </c>
      <c r="H161" s="967">
        <f>+'329901'!M16</f>
        <v>179164822.90238708</v>
      </c>
      <c r="I161" s="922">
        <v>215701945</v>
      </c>
      <c r="J161" s="922">
        <v>364885180.76999998</v>
      </c>
      <c r="K161" s="922">
        <v>383129439.80849999</v>
      </c>
      <c r="L161" s="922">
        <v>402285911.79892498</v>
      </c>
      <c r="M161" s="922">
        <f t="shared" si="62"/>
        <v>1366002477.377425</v>
      </c>
      <c r="N161" s="949"/>
    </row>
    <row r="162" spans="1:14" ht="42.75">
      <c r="A162" s="898" t="s">
        <v>962</v>
      </c>
      <c r="B162" s="899" t="s">
        <v>1098</v>
      </c>
      <c r="C162" s="899">
        <v>100</v>
      </c>
      <c r="D162" s="899">
        <v>100</v>
      </c>
      <c r="E162" s="899">
        <v>100</v>
      </c>
      <c r="F162" s="899">
        <v>100</v>
      </c>
      <c r="G162" s="899">
        <v>100</v>
      </c>
      <c r="H162" s="968" t="e">
        <f>+'329901'!#REF!</f>
        <v>#REF!</v>
      </c>
      <c r="I162" s="921">
        <v>385365228</v>
      </c>
      <c r="J162" s="921">
        <v>387292054.13999999</v>
      </c>
      <c r="K162" s="921">
        <v>406656656.847</v>
      </c>
      <c r="L162" s="921">
        <v>439189189.39476001</v>
      </c>
      <c r="M162" s="921">
        <v>1618503128.3817601</v>
      </c>
      <c r="N162" s="940"/>
    </row>
    <row r="163" spans="1:14">
      <c r="A163" s="2080" t="s">
        <v>1170</v>
      </c>
      <c r="B163" s="2081"/>
      <c r="C163" s="2081"/>
      <c r="D163" s="2081"/>
      <c r="E163" s="2081"/>
      <c r="F163" s="2081"/>
      <c r="G163" s="2082"/>
      <c r="H163" s="975" t="e">
        <f t="shared" ref="H163:M163" si="63">+H155+H157+H159+H162</f>
        <v>#REF!</v>
      </c>
      <c r="I163" s="923">
        <f t="shared" si="63"/>
        <v>4670078703</v>
      </c>
      <c r="J163" s="923">
        <f t="shared" si="63"/>
        <v>4929894059.2850008</v>
      </c>
      <c r="K163" s="923">
        <f t="shared" si="63"/>
        <v>2703771679.14885</v>
      </c>
      <c r="L163" s="923">
        <f t="shared" si="63"/>
        <v>2851161970.8117027</v>
      </c>
      <c r="M163" s="923">
        <f t="shared" si="63"/>
        <v>15154906412.245552</v>
      </c>
      <c r="N163" s="941"/>
    </row>
    <row r="164" spans="1:14">
      <c r="A164" s="125"/>
      <c r="B164"/>
      <c r="C164"/>
      <c r="D164"/>
      <c r="E164"/>
      <c r="F164"/>
      <c r="G164"/>
      <c r="H164" s="963"/>
      <c r="I164"/>
      <c r="J164"/>
      <c r="K164"/>
      <c r="L164"/>
      <c r="M164"/>
      <c r="N164"/>
    </row>
    <row r="165" spans="1:14" ht="45">
      <c r="A165" s="892" t="s">
        <v>188</v>
      </c>
      <c r="B165" s="893" t="s">
        <v>190</v>
      </c>
      <c r="C165" s="892">
        <v>2024</v>
      </c>
      <c r="D165" s="892">
        <v>2025</v>
      </c>
      <c r="E165" s="892">
        <v>2026</v>
      </c>
      <c r="F165" s="892">
        <v>2027</v>
      </c>
      <c r="G165" s="893" t="s">
        <v>142</v>
      </c>
      <c r="H165" s="970"/>
      <c r="I165" s="892" t="s">
        <v>1196</v>
      </c>
      <c r="J165" s="892">
        <v>2025</v>
      </c>
      <c r="K165" s="892">
        <v>2026</v>
      </c>
      <c r="L165" s="892">
        <v>2027</v>
      </c>
      <c r="M165" s="915" t="s">
        <v>10</v>
      </c>
      <c r="N165" s="937" t="s">
        <v>1166</v>
      </c>
    </row>
    <row r="166" spans="1:14" ht="57">
      <c r="A166" s="894" t="s">
        <v>1019</v>
      </c>
      <c r="B166" s="895" t="s">
        <v>1098</v>
      </c>
      <c r="C166" s="895">
        <v>100</v>
      </c>
      <c r="D166" s="895">
        <v>100</v>
      </c>
      <c r="E166" s="895">
        <v>100</v>
      </c>
      <c r="F166" s="895">
        <v>100</v>
      </c>
      <c r="G166" s="895">
        <v>100</v>
      </c>
      <c r="H166" s="972">
        <f>SUM(H167)</f>
        <v>716912248.39599979</v>
      </c>
      <c r="I166" s="916">
        <f>SUM(I167)</f>
        <v>698904245</v>
      </c>
      <c r="J166" s="916">
        <f t="shared" ref="J166:L166" si="64">SUM(J167)</f>
        <v>580174951.54499996</v>
      </c>
      <c r="K166" s="916">
        <f t="shared" si="64"/>
        <v>609183699.12224996</v>
      </c>
      <c r="L166" s="916">
        <f t="shared" si="64"/>
        <v>639642884.07836246</v>
      </c>
      <c r="M166" s="916">
        <f>SUM(M167)</f>
        <v>2527905779.7456126</v>
      </c>
      <c r="N166" s="944"/>
    </row>
    <row r="167" spans="1:14" ht="75" customHeight="1">
      <c r="A167" s="900" t="s">
        <v>1020</v>
      </c>
      <c r="B167" s="783" t="s">
        <v>1110</v>
      </c>
      <c r="C167" s="783">
        <v>55</v>
      </c>
      <c r="D167" s="783">
        <v>53</v>
      </c>
      <c r="E167" s="783">
        <v>51</v>
      </c>
      <c r="F167" s="783">
        <v>50</v>
      </c>
      <c r="G167" s="783">
        <v>50</v>
      </c>
      <c r="H167" s="971">
        <f>+'329902'!P11</f>
        <v>716912248.39599979</v>
      </c>
      <c r="I167" s="922">
        <v>698904245</v>
      </c>
      <c r="J167" s="922">
        <v>580174951.54499996</v>
      </c>
      <c r="K167" s="922">
        <v>609183699.12224996</v>
      </c>
      <c r="L167" s="922">
        <v>639642884.07836246</v>
      </c>
      <c r="M167" s="922">
        <f>SUM(I167:L167)</f>
        <v>2527905779.7456126</v>
      </c>
      <c r="N167" s="939" t="s">
        <v>1254</v>
      </c>
    </row>
    <row r="168" spans="1:14" ht="28.5">
      <c r="A168" s="894" t="s">
        <v>1021</v>
      </c>
      <c r="B168" s="895" t="s">
        <v>1098</v>
      </c>
      <c r="C168" s="895">
        <v>100</v>
      </c>
      <c r="D168" s="895">
        <v>100</v>
      </c>
      <c r="E168" s="895">
        <v>100</v>
      </c>
      <c r="F168" s="895">
        <v>100</v>
      </c>
      <c r="G168" s="895">
        <v>100</v>
      </c>
      <c r="H168" s="972">
        <f>SUM(H169)</f>
        <v>3171425564.2959995</v>
      </c>
      <c r="I168" s="916">
        <f>SUM(I169)</f>
        <v>1295130111</v>
      </c>
      <c r="J168" s="916">
        <f t="shared" ref="J168:M168" si="65">SUM(J169)</f>
        <v>979770837.77999985</v>
      </c>
      <c r="K168" s="916">
        <f t="shared" si="65"/>
        <v>1028759379.6689999</v>
      </c>
      <c r="L168" s="916">
        <f t="shared" si="65"/>
        <v>1080197348.6524498</v>
      </c>
      <c r="M168" s="916">
        <f t="shared" si="65"/>
        <v>4383857677.101449</v>
      </c>
      <c r="N168" s="954"/>
    </row>
    <row r="169" spans="1:14" ht="36" customHeight="1">
      <c r="A169" s="900" t="s">
        <v>1022</v>
      </c>
      <c r="B169" s="783" t="s">
        <v>1098</v>
      </c>
      <c r="C169" s="783">
        <v>100</v>
      </c>
      <c r="D169" s="783">
        <v>100</v>
      </c>
      <c r="E169" s="783">
        <v>100</v>
      </c>
      <c r="F169" s="783">
        <v>100</v>
      </c>
      <c r="G169" s="783">
        <v>100</v>
      </c>
      <c r="H169" s="971">
        <f>+'329902'!P13</f>
        <v>3171425564.2959995</v>
      </c>
      <c r="I169" s="922">
        <v>1295130111</v>
      </c>
      <c r="J169" s="922">
        <v>979770837.77999985</v>
      </c>
      <c r="K169" s="922">
        <v>1028759379.6689999</v>
      </c>
      <c r="L169" s="922">
        <v>1080197348.6524498</v>
      </c>
      <c r="M169" s="922">
        <f>SUM(I169:L169)</f>
        <v>4383857677.101449</v>
      </c>
      <c r="N169" s="939" t="s">
        <v>1255</v>
      </c>
    </row>
    <row r="170" spans="1:14" ht="42.75">
      <c r="A170" s="894" t="s">
        <v>1086</v>
      </c>
      <c r="B170" s="895" t="s">
        <v>1098</v>
      </c>
      <c r="C170" s="895">
        <v>100</v>
      </c>
      <c r="D170" s="895">
        <v>100</v>
      </c>
      <c r="E170" s="895">
        <v>100</v>
      </c>
      <c r="F170" s="895">
        <v>100</v>
      </c>
      <c r="G170" s="895">
        <v>100</v>
      </c>
      <c r="H170" s="972">
        <f>SUM(H171)</f>
        <v>1147311226.7079997</v>
      </c>
      <c r="I170" s="916">
        <f>SUM(I171)</f>
        <v>907254421</v>
      </c>
      <c r="J170" s="916">
        <f t="shared" ref="J170:L170" si="66">SUM(J171)</f>
        <v>724334062.04999995</v>
      </c>
      <c r="K170" s="916">
        <f t="shared" si="66"/>
        <v>760550765.15250003</v>
      </c>
      <c r="L170" s="916">
        <f t="shared" si="66"/>
        <v>798578303.41012502</v>
      </c>
      <c r="M170" s="916">
        <f>SUM(M171)</f>
        <v>3190717551.6126251</v>
      </c>
      <c r="N170" s="954" t="s">
        <v>1256</v>
      </c>
    </row>
    <row r="171" spans="1:14" ht="78.75" customHeight="1">
      <c r="A171" s="900" t="s">
        <v>1087</v>
      </c>
      <c r="B171" s="783" t="s">
        <v>1098</v>
      </c>
      <c r="C171" s="784">
        <v>30</v>
      </c>
      <c r="D171" s="784">
        <v>30</v>
      </c>
      <c r="E171" s="784">
        <v>30</v>
      </c>
      <c r="F171" s="784">
        <v>30</v>
      </c>
      <c r="G171" s="784">
        <v>30</v>
      </c>
      <c r="H171" s="967">
        <f>+'329902'!P15</f>
        <v>1147311226.7079997</v>
      </c>
      <c r="I171" s="922">
        <v>907254421</v>
      </c>
      <c r="J171" s="922">
        <v>724334062.04999995</v>
      </c>
      <c r="K171" s="922">
        <v>760550765.15250003</v>
      </c>
      <c r="L171" s="922">
        <v>798578303.41012502</v>
      </c>
      <c r="M171" s="922">
        <f>SUM(I171:L171)</f>
        <v>3190717551.6126251</v>
      </c>
      <c r="N171" s="939" t="s">
        <v>1183</v>
      </c>
    </row>
    <row r="172" spans="1:14" ht="57">
      <c r="A172" s="898" t="s">
        <v>1018</v>
      </c>
      <c r="B172" s="785" t="s">
        <v>1098</v>
      </c>
      <c r="C172" s="785">
        <v>100</v>
      </c>
      <c r="D172" s="785">
        <v>100</v>
      </c>
      <c r="E172" s="785">
        <v>100</v>
      </c>
      <c r="F172" s="785">
        <v>100</v>
      </c>
      <c r="G172" s="785">
        <v>100</v>
      </c>
      <c r="H172" s="973">
        <f t="shared" ref="H172:M172" si="67">SUM(H173:H175)</f>
        <v>2297565036.5289998</v>
      </c>
      <c r="I172" s="921">
        <f t="shared" si="67"/>
        <v>1758459632</v>
      </c>
      <c r="J172" s="921">
        <f t="shared" si="67"/>
        <v>1620032110.2449999</v>
      </c>
      <c r="K172" s="921">
        <f t="shared" si="67"/>
        <v>1701033715.7572498</v>
      </c>
      <c r="L172" s="921">
        <f t="shared" si="67"/>
        <v>1786085401.5451126</v>
      </c>
      <c r="M172" s="921">
        <f t="shared" si="67"/>
        <v>6865610859.5473623</v>
      </c>
      <c r="N172" s="943"/>
    </row>
    <row r="173" spans="1:14" s="161" customFormat="1" ht="71.25" customHeight="1">
      <c r="A173" s="900" t="s">
        <v>1184</v>
      </c>
      <c r="B173" s="783" t="s">
        <v>408</v>
      </c>
      <c r="C173" s="783">
        <v>1</v>
      </c>
      <c r="D173" s="783">
        <v>1</v>
      </c>
      <c r="E173" s="783">
        <v>1</v>
      </c>
      <c r="F173" s="783">
        <v>1</v>
      </c>
      <c r="G173" s="783">
        <v>1</v>
      </c>
      <c r="H173" s="971">
        <f>+'329902'!P17</f>
        <v>1473928354.4719996</v>
      </c>
      <c r="I173" s="922">
        <v>932671479</v>
      </c>
      <c r="J173" s="922">
        <v>846884836.39499986</v>
      </c>
      <c r="K173" s="922">
        <v>889229078.21474993</v>
      </c>
      <c r="L173" s="922">
        <v>933690532.12548745</v>
      </c>
      <c r="M173" s="922">
        <f>SUM(I173:L173)</f>
        <v>3602475925.7352371</v>
      </c>
      <c r="N173" s="939" t="s">
        <v>1257</v>
      </c>
    </row>
    <row r="174" spans="1:14" s="161" customFormat="1" ht="85.5" customHeight="1">
      <c r="A174" s="900" t="s">
        <v>1017</v>
      </c>
      <c r="B174" s="783" t="s">
        <v>408</v>
      </c>
      <c r="C174" s="783">
        <v>1</v>
      </c>
      <c r="D174" s="783">
        <v>1</v>
      </c>
      <c r="E174" s="783">
        <v>1</v>
      </c>
      <c r="F174" s="783">
        <v>1</v>
      </c>
      <c r="G174" s="783">
        <v>1</v>
      </c>
      <c r="H174" s="971">
        <f>+'329902'!P18</f>
        <v>384196120.45699996</v>
      </c>
      <c r="I174" s="922">
        <v>384196120</v>
      </c>
      <c r="J174" s="922">
        <v>345917100.59999996</v>
      </c>
      <c r="K174" s="922">
        <v>363212955.63</v>
      </c>
      <c r="L174" s="922">
        <v>381373603.41150004</v>
      </c>
      <c r="M174" s="922">
        <f t="shared" ref="M174:M175" si="68">SUM(I174:L174)</f>
        <v>1474699779.6415</v>
      </c>
      <c r="N174" s="955" t="s">
        <v>1258</v>
      </c>
    </row>
    <row r="175" spans="1:14" s="161" customFormat="1" ht="85.5">
      <c r="A175" s="900" t="s">
        <v>1016</v>
      </c>
      <c r="B175" s="783" t="s">
        <v>408</v>
      </c>
      <c r="C175" s="783">
        <v>1</v>
      </c>
      <c r="D175" s="783">
        <v>1</v>
      </c>
      <c r="E175" s="783">
        <v>1</v>
      </c>
      <c r="F175" s="783">
        <v>1</v>
      </c>
      <c r="G175" s="783">
        <v>1</v>
      </c>
      <c r="H175" s="971">
        <f>+'329902'!P19</f>
        <v>439440561.59999996</v>
      </c>
      <c r="I175" s="922">
        <v>441592033</v>
      </c>
      <c r="J175" s="922">
        <v>427230173.24999994</v>
      </c>
      <c r="K175" s="922">
        <v>448591681.91249996</v>
      </c>
      <c r="L175" s="922">
        <v>471021266.00812501</v>
      </c>
      <c r="M175" s="922">
        <f t="shared" si="68"/>
        <v>1788435154.170625</v>
      </c>
      <c r="N175" s="896" t="s">
        <v>1259</v>
      </c>
    </row>
    <row r="176" spans="1:14" ht="42.75">
      <c r="A176" s="894" t="s">
        <v>1013</v>
      </c>
      <c r="B176" s="895" t="s">
        <v>1098</v>
      </c>
      <c r="C176" s="895">
        <v>100</v>
      </c>
      <c r="D176" s="895">
        <v>100</v>
      </c>
      <c r="E176" s="895">
        <v>100</v>
      </c>
      <c r="F176" s="895">
        <v>100</v>
      </c>
      <c r="G176" s="895">
        <v>100</v>
      </c>
      <c r="H176" s="972" t="e">
        <f t="shared" ref="H176:M176" si="69">SUM(H177:H182)</f>
        <v>#REF!</v>
      </c>
      <c r="I176" s="916">
        <f t="shared" si="69"/>
        <v>137264434</v>
      </c>
      <c r="J176" s="916">
        <f t="shared" si="69"/>
        <v>213640756.16999999</v>
      </c>
      <c r="K176" s="916">
        <f t="shared" si="69"/>
        <v>443632793.97850001</v>
      </c>
      <c r="L176" s="916">
        <f>SUM(L177:L182)</f>
        <v>205474433.67742503</v>
      </c>
      <c r="M176" s="916">
        <f t="shared" si="69"/>
        <v>1000012417.825925</v>
      </c>
      <c r="N176" s="944"/>
    </row>
    <row r="177" spans="1:14" s="161" customFormat="1" ht="71.25">
      <c r="A177" s="908" t="s">
        <v>1015</v>
      </c>
      <c r="B177" s="784" t="s">
        <v>1111</v>
      </c>
      <c r="C177" s="784">
        <v>1</v>
      </c>
      <c r="D177" s="783">
        <v>1</v>
      </c>
      <c r="E177" s="783">
        <v>1</v>
      </c>
      <c r="F177" s="783">
        <v>1</v>
      </c>
      <c r="G177" s="783">
        <v>1</v>
      </c>
      <c r="H177" s="971">
        <f>+'329902'!P21</f>
        <v>12000000</v>
      </c>
      <c r="I177" s="922">
        <v>12000000</v>
      </c>
      <c r="J177" s="922">
        <v>87800000</v>
      </c>
      <c r="K177" s="922">
        <v>61920000</v>
      </c>
      <c r="L177" s="922">
        <v>67599360</v>
      </c>
      <c r="M177" s="922">
        <f t="shared" ref="M177:M182" si="70">SUM(I177:L177)</f>
        <v>229319360</v>
      </c>
      <c r="N177" s="950" t="s">
        <v>1260</v>
      </c>
    </row>
    <row r="178" spans="1:14" s="161" customFormat="1" ht="57">
      <c r="A178" s="908" t="s">
        <v>1012</v>
      </c>
      <c r="B178" s="784" t="s">
        <v>1104</v>
      </c>
      <c r="C178" s="784">
        <v>37</v>
      </c>
      <c r="D178" s="783">
        <v>37</v>
      </c>
      <c r="E178" s="783">
        <v>37</v>
      </c>
      <c r="F178" s="783">
        <v>37</v>
      </c>
      <c r="G178" s="783">
        <v>37</v>
      </c>
      <c r="H178" s="971">
        <f>+'329902'!P22</f>
        <v>20000000</v>
      </c>
      <c r="I178" s="922">
        <v>20000000</v>
      </c>
      <c r="J178" s="922">
        <v>20099999.999999996</v>
      </c>
      <c r="K178" s="922">
        <v>21104999.999999996</v>
      </c>
      <c r="L178" s="922">
        <v>22160249.999999996</v>
      </c>
      <c r="M178" s="922">
        <f t="shared" si="70"/>
        <v>83365250</v>
      </c>
      <c r="N178" s="939" t="s">
        <v>1261</v>
      </c>
    </row>
    <row r="179" spans="1:14" s="161" customFormat="1" ht="28.5">
      <c r="A179" s="908" t="s">
        <v>1011</v>
      </c>
      <c r="B179" s="784" t="s">
        <v>1112</v>
      </c>
      <c r="C179" s="784">
        <v>100</v>
      </c>
      <c r="D179" s="783">
        <v>100</v>
      </c>
      <c r="E179" s="783">
        <v>100</v>
      </c>
      <c r="F179" s="783">
        <v>100</v>
      </c>
      <c r="G179" s="783">
        <v>100</v>
      </c>
      <c r="H179" s="971">
        <f>+'329902'!P23</f>
        <v>17810051.379999999</v>
      </c>
      <c r="I179" s="922">
        <v>17810051</v>
      </c>
      <c r="J179" s="922">
        <v>17899101.254999999</v>
      </c>
      <c r="K179" s="922">
        <v>18794056.317749999</v>
      </c>
      <c r="L179" s="922">
        <v>19733759.133637499</v>
      </c>
      <c r="M179" s="922">
        <f t="shared" si="70"/>
        <v>74236967.70638749</v>
      </c>
      <c r="N179" s="939" t="s">
        <v>1262</v>
      </c>
    </row>
    <row r="180" spans="1:14" s="161" customFormat="1" ht="42.75">
      <c r="A180" s="908" t="s">
        <v>220</v>
      </c>
      <c r="B180" s="784" t="s">
        <v>1113</v>
      </c>
      <c r="C180" s="784">
        <v>45</v>
      </c>
      <c r="D180" s="783">
        <v>45</v>
      </c>
      <c r="E180" s="783">
        <v>45</v>
      </c>
      <c r="F180" s="783">
        <v>45</v>
      </c>
      <c r="G180" s="783">
        <v>180</v>
      </c>
      <c r="H180" s="971">
        <f>+'329902'!P24</f>
        <v>10000000</v>
      </c>
      <c r="I180" s="922">
        <v>10000000</v>
      </c>
      <c r="J180" s="922">
        <v>10000000</v>
      </c>
      <c r="K180" s="922">
        <v>10080000</v>
      </c>
      <c r="L180" s="922">
        <v>10160640</v>
      </c>
      <c r="M180" s="922">
        <f t="shared" si="70"/>
        <v>40240640</v>
      </c>
      <c r="N180" s="939" t="s">
        <v>1185</v>
      </c>
    </row>
    <row r="181" spans="1:14" s="161" customFormat="1" ht="99.75">
      <c r="A181" s="908" t="s">
        <v>1010</v>
      </c>
      <c r="B181" s="784" t="s">
        <v>1114</v>
      </c>
      <c r="C181" s="784"/>
      <c r="D181" s="783"/>
      <c r="E181" s="783">
        <v>2</v>
      </c>
      <c r="F181" s="783"/>
      <c r="G181" s="783">
        <v>2</v>
      </c>
      <c r="H181" s="971" t="e">
        <f>+'329902'!#REF!</f>
        <v>#REF!</v>
      </c>
      <c r="I181" s="922"/>
      <c r="J181" s="922"/>
      <c r="K181" s="922">
        <v>250000000</v>
      </c>
      <c r="L181" s="922"/>
      <c r="M181" s="922">
        <f t="shared" si="70"/>
        <v>250000000</v>
      </c>
      <c r="N181" s="939" t="s">
        <v>1263</v>
      </c>
    </row>
    <row r="182" spans="1:14" s="161" customFormat="1" ht="42.75">
      <c r="A182" s="908" t="s">
        <v>218</v>
      </c>
      <c r="B182" s="784" t="s">
        <v>1098</v>
      </c>
      <c r="C182" s="784">
        <v>100</v>
      </c>
      <c r="D182" s="783">
        <v>100</v>
      </c>
      <c r="E182" s="783">
        <v>100</v>
      </c>
      <c r="F182" s="783">
        <v>100</v>
      </c>
      <c r="G182" s="783">
        <v>100</v>
      </c>
      <c r="H182" s="971">
        <f>+'329902'!P25</f>
        <v>154420859.19999999</v>
      </c>
      <c r="I182" s="922">
        <v>77454383</v>
      </c>
      <c r="J182" s="922">
        <v>77841654.914999992</v>
      </c>
      <c r="K182" s="922">
        <v>81733737.660750002</v>
      </c>
      <c r="L182" s="922">
        <v>85820424.543787509</v>
      </c>
      <c r="M182" s="922">
        <f t="shared" si="70"/>
        <v>322850200.11953747</v>
      </c>
      <c r="N182" s="939" t="s">
        <v>1186</v>
      </c>
    </row>
    <row r="183" spans="1:14" ht="57">
      <c r="A183" s="894" t="s">
        <v>1187</v>
      </c>
      <c r="B183" s="895" t="s">
        <v>1098</v>
      </c>
      <c r="C183" s="895">
        <v>100</v>
      </c>
      <c r="D183" s="895">
        <v>100</v>
      </c>
      <c r="E183" s="895">
        <v>100</v>
      </c>
      <c r="F183" s="895">
        <v>100</v>
      </c>
      <c r="G183" s="895">
        <v>100</v>
      </c>
      <c r="H183" s="972">
        <f>SUM(H184)</f>
        <v>14161118.799999785</v>
      </c>
      <c r="I183" s="916">
        <f>SUM(I184)</f>
        <v>14161119</v>
      </c>
      <c r="J183" s="916">
        <f t="shared" ref="J183:L183" si="71">SUM(J184)</f>
        <v>14231924.594999999</v>
      </c>
      <c r="K183" s="916">
        <f t="shared" si="71"/>
        <v>14943520.824749999</v>
      </c>
      <c r="L183" s="916">
        <f t="shared" si="71"/>
        <v>15690696.8659875</v>
      </c>
      <c r="M183" s="916">
        <f>SUM(M184)</f>
        <v>59027261.2857375</v>
      </c>
      <c r="N183" s="944"/>
    </row>
    <row r="184" spans="1:14" ht="99.75">
      <c r="A184" s="908" t="s">
        <v>1188</v>
      </c>
      <c r="B184" s="783" t="s">
        <v>1104</v>
      </c>
      <c r="C184" s="783">
        <v>37</v>
      </c>
      <c r="D184" s="783">
        <v>37</v>
      </c>
      <c r="E184" s="783">
        <v>37</v>
      </c>
      <c r="F184" s="783">
        <v>37</v>
      </c>
      <c r="G184" s="783">
        <v>37</v>
      </c>
      <c r="H184" s="971">
        <f>+'329902'!P27</f>
        <v>14161118.799999785</v>
      </c>
      <c r="I184" s="922">
        <v>14161119</v>
      </c>
      <c r="J184" s="922">
        <v>14231924.594999999</v>
      </c>
      <c r="K184" s="922">
        <v>14943520.824749999</v>
      </c>
      <c r="L184" s="922">
        <v>15690696.8659875</v>
      </c>
      <c r="M184" s="922">
        <f>SUM(I184:L184)</f>
        <v>59027261.2857375</v>
      </c>
      <c r="N184" s="939" t="s">
        <v>1189</v>
      </c>
    </row>
    <row r="185" spans="1:14" ht="57">
      <c r="A185" s="898" t="s">
        <v>288</v>
      </c>
      <c r="B185" s="785" t="s">
        <v>1098</v>
      </c>
      <c r="C185" s="785">
        <v>100</v>
      </c>
      <c r="D185" s="785">
        <v>100</v>
      </c>
      <c r="E185" s="785">
        <v>100</v>
      </c>
      <c r="F185" s="785">
        <v>100</v>
      </c>
      <c r="G185" s="785">
        <v>100</v>
      </c>
      <c r="H185" s="973">
        <f>SUM(H186)</f>
        <v>21313188.000000194</v>
      </c>
      <c r="I185" s="921">
        <f>SUM(I186)</f>
        <v>12906721</v>
      </c>
      <c r="J185" s="921">
        <f>SUM(J186)</f>
        <v>12971254.604999999</v>
      </c>
      <c r="K185" s="921">
        <f>SUM(K186)</f>
        <v>13619817.33525</v>
      </c>
      <c r="L185" s="921">
        <f t="shared" ref="L185" si="72">SUM(L186)</f>
        <v>14300808.2020125</v>
      </c>
      <c r="M185" s="921">
        <f>SUM(M186)</f>
        <v>53798601.142262496</v>
      </c>
      <c r="N185" s="943"/>
    </row>
    <row r="186" spans="1:14" ht="42.75">
      <c r="A186" s="900" t="s">
        <v>223</v>
      </c>
      <c r="B186" s="783" t="s">
        <v>1098</v>
      </c>
      <c r="C186" s="783">
        <v>100</v>
      </c>
      <c r="D186" s="783">
        <v>100</v>
      </c>
      <c r="E186" s="783">
        <v>100</v>
      </c>
      <c r="F186" s="783">
        <v>100</v>
      </c>
      <c r="G186" s="783">
        <v>100</v>
      </c>
      <c r="H186" s="971">
        <f>+'329902'!P29</f>
        <v>21313188.000000194</v>
      </c>
      <c r="I186" s="922">
        <v>12906721</v>
      </c>
      <c r="J186" s="922">
        <v>12971254.604999999</v>
      </c>
      <c r="K186" s="922">
        <v>13619817.33525</v>
      </c>
      <c r="L186" s="922">
        <v>14300808.2020125</v>
      </c>
      <c r="M186" s="922">
        <f>SUM(I186:L186)</f>
        <v>53798601.142262496</v>
      </c>
      <c r="N186" s="939" t="s">
        <v>1190</v>
      </c>
    </row>
    <row r="187" spans="1:14" ht="57">
      <c r="A187" s="898" t="s">
        <v>1008</v>
      </c>
      <c r="B187" s="785" t="s">
        <v>1098</v>
      </c>
      <c r="C187" s="785">
        <v>100</v>
      </c>
      <c r="D187" s="785">
        <v>100</v>
      </c>
      <c r="E187" s="785">
        <v>100</v>
      </c>
      <c r="F187" s="785">
        <v>100</v>
      </c>
      <c r="G187" s="785">
        <v>100</v>
      </c>
      <c r="H187" s="973">
        <f>SUM(H188)</f>
        <v>4302240.4000000004</v>
      </c>
      <c r="I187" s="921">
        <f>SUM(I188)</f>
        <v>4302240</v>
      </c>
      <c r="J187" s="921">
        <f t="shared" ref="J187:M187" si="73">SUM(J188)</f>
        <v>4323751.1999999993</v>
      </c>
      <c r="K187" s="921">
        <f t="shared" si="73"/>
        <v>4539938.76</v>
      </c>
      <c r="L187" s="921">
        <f t="shared" si="73"/>
        <v>4766935.6979999999</v>
      </c>
      <c r="M187" s="921">
        <f t="shared" si="73"/>
        <v>17932865.658</v>
      </c>
      <c r="N187" s="943"/>
    </row>
    <row r="188" spans="1:14" ht="42.75">
      <c r="A188" s="900" t="s">
        <v>1009</v>
      </c>
      <c r="B188" s="783" t="s">
        <v>1098</v>
      </c>
      <c r="C188" s="783">
        <v>100</v>
      </c>
      <c r="D188" s="783">
        <v>100</v>
      </c>
      <c r="E188" s="783">
        <v>100</v>
      </c>
      <c r="F188" s="783">
        <v>100</v>
      </c>
      <c r="G188" s="783">
        <v>100</v>
      </c>
      <c r="H188" s="971">
        <f>+'329902'!P31</f>
        <v>4302240.4000000004</v>
      </c>
      <c r="I188" s="922">
        <v>4302240</v>
      </c>
      <c r="J188" s="922">
        <v>4323751.1999999993</v>
      </c>
      <c r="K188" s="922">
        <v>4539938.76</v>
      </c>
      <c r="L188" s="922">
        <v>4766935.6979999999</v>
      </c>
      <c r="M188" s="922">
        <f>SUM(I188:L188)</f>
        <v>17932865.658</v>
      </c>
      <c r="N188" s="896" t="s">
        <v>1191</v>
      </c>
    </row>
    <row r="189" spans="1:14" ht="57">
      <c r="A189" s="894" t="s">
        <v>1192</v>
      </c>
      <c r="B189" s="895" t="s">
        <v>1098</v>
      </c>
      <c r="C189" s="895">
        <v>100</v>
      </c>
      <c r="D189" s="895">
        <v>100</v>
      </c>
      <c r="E189" s="895">
        <v>100</v>
      </c>
      <c r="F189" s="895">
        <v>100</v>
      </c>
      <c r="G189" s="895">
        <v>100</v>
      </c>
      <c r="H189" s="972">
        <f>SUM(H190)</f>
        <v>4302943.2</v>
      </c>
      <c r="I189" s="916">
        <f>SUM(I190)</f>
        <v>4302943</v>
      </c>
      <c r="J189" s="916">
        <f t="shared" ref="J189:L189" si="74">SUM(J190)</f>
        <v>4324457.7149999999</v>
      </c>
      <c r="K189" s="916">
        <f t="shared" si="74"/>
        <v>4540680.6007500002</v>
      </c>
      <c r="L189" s="916">
        <f t="shared" si="74"/>
        <v>4767714.6307875002</v>
      </c>
      <c r="M189" s="916">
        <f>SUM(M190)</f>
        <v>17935795.946537498</v>
      </c>
      <c r="N189" s="944"/>
    </row>
    <row r="190" spans="1:14" ht="42.75">
      <c r="A190" s="900" t="s">
        <v>1193</v>
      </c>
      <c r="B190" s="783" t="s">
        <v>1098</v>
      </c>
      <c r="C190" s="783">
        <v>100</v>
      </c>
      <c r="D190" s="783">
        <v>100</v>
      </c>
      <c r="E190" s="783">
        <v>100</v>
      </c>
      <c r="F190" s="783">
        <v>100</v>
      </c>
      <c r="G190" s="783">
        <v>100</v>
      </c>
      <c r="H190" s="971">
        <f>+'329902'!P33</f>
        <v>4302943.2</v>
      </c>
      <c r="I190" s="922">
        <v>4302943</v>
      </c>
      <c r="J190" s="922">
        <v>4324457.7149999999</v>
      </c>
      <c r="K190" s="922">
        <v>4540680.6007500002</v>
      </c>
      <c r="L190" s="922">
        <v>4767714.6307875002</v>
      </c>
      <c r="M190" s="922">
        <f>SUM(I190:L190)</f>
        <v>17935795.946537498</v>
      </c>
      <c r="N190" s="896" t="s">
        <v>1194</v>
      </c>
    </row>
    <row r="191" spans="1:14" ht="42.75">
      <c r="A191" s="898" t="s">
        <v>962</v>
      </c>
      <c r="B191" s="899"/>
      <c r="C191" s="899">
        <v>100</v>
      </c>
      <c r="D191" s="899">
        <v>100</v>
      </c>
      <c r="E191" s="899">
        <v>100</v>
      </c>
      <c r="F191" s="899">
        <v>100</v>
      </c>
      <c r="G191" s="899">
        <v>100</v>
      </c>
      <c r="H191" s="968" t="e">
        <f>+'329902'!#REF!</f>
        <v>#REF!</v>
      </c>
      <c r="I191" s="921">
        <v>2973871194</v>
      </c>
      <c r="J191" s="921">
        <v>2888240549.9699998</v>
      </c>
      <c r="K191" s="921">
        <v>3032652577.4685001</v>
      </c>
      <c r="L191" s="921">
        <v>3184285206.3419251</v>
      </c>
      <c r="M191" s="921">
        <v>12079049527.780424</v>
      </c>
      <c r="N191" s="940"/>
    </row>
    <row r="192" spans="1:14">
      <c r="A192" s="2080" t="s">
        <v>1170</v>
      </c>
      <c r="B192" s="2081"/>
      <c r="C192" s="2081"/>
      <c r="D192" s="2081"/>
      <c r="E192" s="2081"/>
      <c r="F192" s="2081"/>
      <c r="G192" s="2082"/>
      <c r="H192" s="975" t="e">
        <f t="shared" ref="H192:M192" si="75">+H166+H168+H170+H172+H176+H183+H185+H187+H189+H191</f>
        <v>#REF!</v>
      </c>
      <c r="I192" s="923">
        <f t="shared" si="75"/>
        <v>7806557060</v>
      </c>
      <c r="J192" s="923">
        <f t="shared" si="75"/>
        <v>7042044655.875</v>
      </c>
      <c r="K192" s="923">
        <f t="shared" si="75"/>
        <v>7613456888.6687498</v>
      </c>
      <c r="L192" s="923">
        <f t="shared" si="75"/>
        <v>7733789733.1021881</v>
      </c>
      <c r="M192" s="923">
        <f t="shared" si="75"/>
        <v>30195848337.645935</v>
      </c>
      <c r="N192" s="941"/>
    </row>
    <row r="193" spans="1:14">
      <c r="A193" s="2084" t="s">
        <v>1195</v>
      </c>
      <c r="B193" s="2084"/>
      <c r="C193" s="2084"/>
      <c r="D193" s="2084"/>
      <c r="E193" s="2084"/>
      <c r="F193" s="2084"/>
      <c r="G193" s="2084"/>
      <c r="H193" s="977" t="e">
        <f t="shared" ref="H193:M193" si="76">+H13+H26+H43+H52+H68+H88+H93+H101+H118+H126+H133+H142+H151+H163+H192</f>
        <v>#REF!</v>
      </c>
      <c r="I193" s="931">
        <f t="shared" si="76"/>
        <v>39742263618.740799</v>
      </c>
      <c r="J193" s="931">
        <f t="shared" si="76"/>
        <v>36242708998.995003</v>
      </c>
      <c r="K193" s="931">
        <f t="shared" si="76"/>
        <v>36578545998.944748</v>
      </c>
      <c r="L193" s="931">
        <f t="shared" si="76"/>
        <v>39694210998.891983</v>
      </c>
      <c r="M193" s="931">
        <f t="shared" si="76"/>
        <v>152257729615.57254</v>
      </c>
      <c r="N193" s="949"/>
    </row>
    <row r="194" spans="1:14">
      <c r="A194" s="910"/>
      <c r="B194" s="911"/>
      <c r="C194" s="911"/>
      <c r="D194" s="911"/>
      <c r="E194" s="911"/>
      <c r="F194" s="911"/>
      <c r="G194" s="911"/>
      <c r="H194" s="978"/>
      <c r="I194" s="932"/>
      <c r="J194" s="933"/>
      <c r="K194" s="933"/>
      <c r="L194" s="933"/>
      <c r="M194" s="933"/>
    </row>
    <row r="196" spans="1:14">
      <c r="I196" s="935">
        <v>39742263619.740799</v>
      </c>
      <c r="J196" s="935">
        <v>36242709000</v>
      </c>
      <c r="K196" s="935">
        <v>36578546000</v>
      </c>
      <c r="L196" s="935">
        <v>39694211000</v>
      </c>
      <c r="M196" s="935">
        <v>152257729619.74078</v>
      </c>
    </row>
    <row r="198" spans="1:14">
      <c r="I198" s="934">
        <f>+I196-I193</f>
        <v>1</v>
      </c>
      <c r="J198" s="934">
        <f t="shared" ref="J198:M198" si="77">+J196-J193</f>
        <v>1.0049972534179688</v>
      </c>
      <c r="K198" s="934">
        <f t="shared" si="77"/>
        <v>1.0552520751953125</v>
      </c>
      <c r="L198" s="934">
        <f t="shared" si="77"/>
        <v>1.1080169677734375</v>
      </c>
      <c r="M198" s="934">
        <f t="shared" si="77"/>
        <v>4.168243408203125</v>
      </c>
    </row>
  </sheetData>
  <mergeCells count="18">
    <mergeCell ref="A142:G142"/>
    <mergeCell ref="A151:G151"/>
    <mergeCell ref="A163:G163"/>
    <mergeCell ref="A192:G192"/>
    <mergeCell ref="A193:G193"/>
    <mergeCell ref="J3:M3"/>
    <mergeCell ref="A88:G88"/>
    <mergeCell ref="A93:G93"/>
    <mergeCell ref="A101:G101"/>
    <mergeCell ref="A118:G118"/>
    <mergeCell ref="A126:G126"/>
    <mergeCell ref="A133:G133"/>
    <mergeCell ref="B3:G3"/>
    <mergeCell ref="A13:G13"/>
    <mergeCell ref="A26:G26"/>
    <mergeCell ref="A43:G43"/>
    <mergeCell ref="A52:G52"/>
    <mergeCell ref="A68:G68"/>
  </mergeCells>
  <dataValidations count="1">
    <dataValidation type="list" allowBlank="1" showInputMessage="1" showErrorMessage="1" sqref="B6:B7"/>
  </dataValidations>
  <pageMargins left="0.7" right="0.7" top="0.75" bottom="0.75" header="0.3" footer="0.3"/>
  <pageSetup orientation="portrait" verticalDpi="597"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4.9989318521683403E-2"/>
  </sheetPr>
  <dimension ref="A1:AJ30"/>
  <sheetViews>
    <sheetView zoomScale="70" zoomScaleNormal="70" workbookViewId="0">
      <pane xSplit="5" ySplit="4" topLeftCell="L8" activePane="bottomRight" state="frozen"/>
      <selection activeCell="F55" sqref="F55"/>
      <selection pane="topRight" activeCell="F55" sqref="F55"/>
      <selection pane="bottomLeft" activeCell="F55" sqref="F55"/>
      <selection pane="bottomRight" activeCell="W70" sqref="W70"/>
    </sheetView>
  </sheetViews>
  <sheetFormatPr baseColWidth="10" defaultColWidth="11.42578125" defaultRowHeight="12.75"/>
  <cols>
    <col min="1" max="1" width="6.28515625" style="1" hidden="1" customWidth="1"/>
    <col min="2" max="2" width="17" style="316" customWidth="1"/>
    <col min="3" max="3" width="17.140625" style="1" hidden="1" customWidth="1"/>
    <col min="4" max="4" width="7.28515625" style="1" hidden="1" customWidth="1"/>
    <col min="5" max="5" width="25.140625" style="1" customWidth="1"/>
    <col min="6" max="6" width="19" style="1" hidden="1" customWidth="1"/>
    <col min="7" max="7" width="19.28515625" style="1" hidden="1" customWidth="1"/>
    <col min="8" max="8" width="21.28515625" style="1" hidden="1" customWidth="1"/>
    <col min="9" max="9" width="19.7109375" style="1" hidden="1" customWidth="1"/>
    <col min="10" max="11" width="20.42578125" style="1" hidden="1" customWidth="1"/>
    <col min="12" max="12" width="24" style="1" customWidth="1"/>
    <col min="13" max="13" width="22.28515625" style="1" hidden="1" customWidth="1"/>
    <col min="14" max="14" width="23.7109375" style="1" hidden="1" customWidth="1"/>
    <col min="15" max="15" width="17.85546875" style="1" hidden="1" customWidth="1"/>
    <col min="16" max="16" width="19.42578125" style="1" hidden="1" customWidth="1"/>
    <col min="17" max="17" width="19.85546875" style="1" hidden="1" customWidth="1"/>
    <col min="18" max="18" width="20.28515625" style="1" hidden="1" customWidth="1"/>
    <col min="19" max="19" width="19.140625" style="1" customWidth="1"/>
    <col min="20" max="22" width="19.85546875" style="1" customWidth="1"/>
    <col min="23" max="28" width="18.5703125" style="1" customWidth="1"/>
    <col min="29" max="29" width="24.140625" style="1" customWidth="1"/>
    <col min="30" max="30" width="25.5703125" style="1" customWidth="1"/>
    <col min="31" max="31" width="28.140625" style="1" customWidth="1"/>
    <col min="32" max="32" width="24.140625" style="1" customWidth="1"/>
    <col min="33" max="33" width="12.140625" style="1" customWidth="1"/>
    <col min="34" max="34" width="31.42578125" style="1" customWidth="1"/>
    <col min="35" max="35" width="11.42578125" style="1" customWidth="1"/>
    <col min="36" max="36" width="19.85546875" style="1" customWidth="1"/>
    <col min="37" max="16384" width="11.42578125" style="1"/>
  </cols>
  <sheetData>
    <row r="1" spans="1:36" ht="27" customHeight="1">
      <c r="A1" s="2085" t="s">
        <v>704</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7"/>
    </row>
    <row r="2" spans="1:36" ht="42.75" customHeight="1" thickBot="1">
      <c r="A2" s="2088"/>
      <c r="B2" s="2089"/>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90"/>
    </row>
    <row r="3" spans="1:36" ht="20.25" customHeight="1" thickBot="1">
      <c r="A3" s="2106" t="s">
        <v>69</v>
      </c>
      <c r="B3" s="2126" t="s">
        <v>13</v>
      </c>
      <c r="C3" s="2124" t="s">
        <v>1053</v>
      </c>
      <c r="D3" s="2096" t="s">
        <v>69</v>
      </c>
      <c r="E3" s="2098" t="s">
        <v>230</v>
      </c>
      <c r="F3" s="2102" t="s">
        <v>189</v>
      </c>
      <c r="G3" s="2103"/>
      <c r="H3" s="2103"/>
      <c r="I3" s="2103"/>
      <c r="J3" s="2103"/>
      <c r="K3" s="2103"/>
      <c r="L3" s="2100" t="s">
        <v>1052</v>
      </c>
      <c r="M3" s="2102" t="s">
        <v>1273</v>
      </c>
      <c r="N3" s="2103"/>
      <c r="O3" s="2103"/>
      <c r="P3" s="2103"/>
      <c r="Q3" s="2103"/>
      <c r="R3" s="2121"/>
      <c r="S3" s="2100" t="s">
        <v>1272</v>
      </c>
      <c r="T3" s="2108" t="s">
        <v>1274</v>
      </c>
      <c r="U3" s="2109"/>
      <c r="V3" s="2100" t="s">
        <v>1275</v>
      </c>
      <c r="W3" s="2128" t="s">
        <v>705</v>
      </c>
      <c r="X3" s="2129"/>
      <c r="Y3" s="2129"/>
      <c r="Z3" s="2129"/>
      <c r="AA3" s="2129"/>
      <c r="AB3" s="2129"/>
      <c r="AC3" s="2129"/>
      <c r="AD3" s="2129"/>
      <c r="AE3" s="2130"/>
      <c r="AF3" s="2110" t="s">
        <v>706</v>
      </c>
      <c r="AG3" s="2100" t="s">
        <v>279</v>
      </c>
      <c r="AH3" s="2110" t="s">
        <v>280</v>
      </c>
    </row>
    <row r="4" spans="1:36" ht="42.75" customHeight="1" thickBot="1">
      <c r="A4" s="2107"/>
      <c r="B4" s="2127"/>
      <c r="C4" s="2125"/>
      <c r="D4" s="2097"/>
      <c r="E4" s="2099"/>
      <c r="F4" s="631" t="s">
        <v>193</v>
      </c>
      <c r="G4" s="632" t="s">
        <v>192</v>
      </c>
      <c r="H4" s="632" t="s">
        <v>277</v>
      </c>
      <c r="I4" s="632" t="s">
        <v>314</v>
      </c>
      <c r="J4" s="632" t="s">
        <v>315</v>
      </c>
      <c r="K4" s="633" t="s">
        <v>209</v>
      </c>
      <c r="L4" s="2131"/>
      <c r="M4" s="634" t="s">
        <v>194</v>
      </c>
      <c r="N4" s="634" t="s">
        <v>192</v>
      </c>
      <c r="O4" s="634" t="s">
        <v>193</v>
      </c>
      <c r="P4" s="634" t="s">
        <v>314</v>
      </c>
      <c r="Q4" s="634" t="s">
        <v>209</v>
      </c>
      <c r="R4" s="633" t="s">
        <v>277</v>
      </c>
      <c r="S4" s="2117"/>
      <c r="T4" s="632" t="s">
        <v>315</v>
      </c>
      <c r="U4" s="718" t="s">
        <v>192</v>
      </c>
      <c r="V4" s="2117"/>
      <c r="W4" s="718" t="s">
        <v>193</v>
      </c>
      <c r="X4" s="719" t="s">
        <v>192</v>
      </c>
      <c r="Y4" s="719" t="s">
        <v>277</v>
      </c>
      <c r="Z4" s="719" t="s">
        <v>314</v>
      </c>
      <c r="AA4" s="719" t="s">
        <v>315</v>
      </c>
      <c r="AB4" s="719" t="s">
        <v>209</v>
      </c>
      <c r="AC4" s="719" t="s">
        <v>356</v>
      </c>
      <c r="AD4" s="719" t="s">
        <v>359</v>
      </c>
      <c r="AE4" s="720" t="s">
        <v>1056</v>
      </c>
      <c r="AF4" s="2111"/>
      <c r="AG4" s="2101"/>
      <c r="AH4" s="2111"/>
    </row>
    <row r="5" spans="1:36" ht="42.75" customHeight="1">
      <c r="A5" s="2119">
        <v>3201</v>
      </c>
      <c r="B5" s="2104" t="s">
        <v>246</v>
      </c>
      <c r="C5" s="2122">
        <f>+AF5+AF6</f>
        <v>3399594011.6088276</v>
      </c>
      <c r="D5" s="635">
        <v>1</v>
      </c>
      <c r="E5" s="685" t="s">
        <v>1389</v>
      </c>
      <c r="F5" s="691">
        <f>+'320101'!H15</f>
        <v>20080000</v>
      </c>
      <c r="G5" s="636">
        <f>+'320101'!G15</f>
        <v>64256000</v>
      </c>
      <c r="H5" s="636">
        <f>+'320101'!F15</f>
        <v>397494659</v>
      </c>
      <c r="I5" s="636"/>
      <c r="J5" s="636">
        <f>+'320101'!E15</f>
        <v>279202038.38369405</v>
      </c>
      <c r="K5" s="692"/>
      <c r="L5" s="712">
        <f>SUM(F5:K5)</f>
        <v>761032697.38369405</v>
      </c>
      <c r="M5" s="704"/>
      <c r="N5" s="637"/>
      <c r="O5" s="637"/>
      <c r="P5" s="637"/>
      <c r="Q5" s="637"/>
      <c r="R5" s="638"/>
      <c r="S5" s="712">
        <f>SUM(M5:R5)</f>
        <v>0</v>
      </c>
      <c r="T5" s="699"/>
      <c r="U5" s="699"/>
      <c r="V5" s="699">
        <f>SUM(T5:U5)</f>
        <v>0</v>
      </c>
      <c r="W5" s="699">
        <f t="shared" ref="W5:W10" si="0">+F5+O5</f>
        <v>20080000</v>
      </c>
      <c r="X5" s="639">
        <f>+G5+N5+U5</f>
        <v>64256000</v>
      </c>
      <c r="Y5" s="639">
        <f t="shared" ref="Y5:Y10" si="1">+H5+R5</f>
        <v>397494659</v>
      </c>
      <c r="Z5" s="639">
        <f t="shared" ref="Z5:Z10" si="2">+P5+I5</f>
        <v>0</v>
      </c>
      <c r="AA5" s="639">
        <f>+J5+M5+T5</f>
        <v>279202038.38369405</v>
      </c>
      <c r="AB5" s="639">
        <f t="shared" ref="AB5:AB10" si="3">+Q5+K5</f>
        <v>0</v>
      </c>
      <c r="AC5" s="640">
        <f>+'320101'!J15</f>
        <v>1360645292.8599999</v>
      </c>
      <c r="AD5" s="640"/>
      <c r="AE5" s="694"/>
      <c r="AF5" s="641">
        <f t="shared" ref="AF5:AF19" si="4">SUM(W5:AE5)</f>
        <v>2121677990.2436938</v>
      </c>
      <c r="AG5" s="642"/>
      <c r="AH5" s="643"/>
      <c r="AJ5" s="644"/>
    </row>
    <row r="6" spans="1:36" ht="61.5" customHeight="1">
      <c r="A6" s="2120"/>
      <c r="B6" s="2105"/>
      <c r="C6" s="2123"/>
      <c r="D6" s="645">
        <v>2</v>
      </c>
      <c r="E6" s="686" t="s">
        <v>1390</v>
      </c>
      <c r="F6" s="693"/>
      <c r="G6" s="640"/>
      <c r="H6" s="640"/>
      <c r="I6" s="640"/>
      <c r="J6" s="640">
        <f>+'320102'!E18</f>
        <v>492477105.14513397</v>
      </c>
      <c r="K6" s="694"/>
      <c r="L6" s="713">
        <f t="shared" ref="L6:L19" si="5">SUM(F6:K6)</f>
        <v>492477105.14513397</v>
      </c>
      <c r="M6" s="705">
        <f>+'320102'!G18</f>
        <v>90000000</v>
      </c>
      <c r="N6" s="646"/>
      <c r="O6" s="646"/>
      <c r="P6" s="646"/>
      <c r="Q6" s="646"/>
      <c r="R6" s="647"/>
      <c r="S6" s="713">
        <f t="shared" ref="S6:S19" si="6">SUM(M6:R6)</f>
        <v>90000000</v>
      </c>
      <c r="T6" s="699">
        <f>+'320102'!K18</f>
        <v>45000000</v>
      </c>
      <c r="U6" s="699"/>
      <c r="V6" s="699">
        <f t="shared" ref="V6:V18" si="7">SUM(T6:U6)</f>
        <v>45000000</v>
      </c>
      <c r="W6" s="699">
        <f t="shared" si="0"/>
        <v>0</v>
      </c>
      <c r="X6" s="639">
        <f t="shared" ref="X6:X19" si="8">+G6+N6+U6</f>
        <v>0</v>
      </c>
      <c r="Y6" s="639">
        <f t="shared" si="1"/>
        <v>0</v>
      </c>
      <c r="Z6" s="639">
        <f t="shared" si="2"/>
        <v>0</v>
      </c>
      <c r="AA6" s="639">
        <f t="shared" ref="AA6:AA19" si="9">+J6+M6+T6</f>
        <v>627477105.14513397</v>
      </c>
      <c r="AB6" s="639">
        <f t="shared" si="3"/>
        <v>0</v>
      </c>
      <c r="AC6" s="639">
        <f>+'320102'!I18</f>
        <v>650438916.22000003</v>
      </c>
      <c r="AD6" s="640"/>
      <c r="AE6" s="694"/>
      <c r="AF6" s="641">
        <f t="shared" si="4"/>
        <v>1277916021.365134</v>
      </c>
      <c r="AG6" s="648"/>
      <c r="AH6" s="649"/>
      <c r="AJ6" s="644"/>
    </row>
    <row r="7" spans="1:36" s="150" customFormat="1" ht="82.5" customHeight="1">
      <c r="A7" s="2116">
        <v>3202</v>
      </c>
      <c r="B7" s="2093" t="s">
        <v>1054</v>
      </c>
      <c r="C7" s="2094">
        <f>+AF7+AF8</f>
        <v>4605457934.1645117</v>
      </c>
      <c r="D7" s="95">
        <v>3</v>
      </c>
      <c r="E7" s="687" t="s">
        <v>1391</v>
      </c>
      <c r="F7" s="695">
        <f>+'320201'!F20</f>
        <v>245480000</v>
      </c>
      <c r="G7" s="650">
        <f>+'320201'!E20</f>
        <v>2328927348.4960003</v>
      </c>
      <c r="H7" s="650">
        <f>+'320201'!G20</f>
        <v>56971612.535999991</v>
      </c>
      <c r="I7" s="650"/>
      <c r="J7" s="650">
        <f>+'320201'!H20</f>
        <v>216838879.94513398</v>
      </c>
      <c r="K7" s="696"/>
      <c r="L7" s="714">
        <f t="shared" si="5"/>
        <v>2848217840.9771342</v>
      </c>
      <c r="M7" s="706"/>
      <c r="N7" s="651">
        <f>+'320201'!J20</f>
        <v>246959503</v>
      </c>
      <c r="O7" s="651"/>
      <c r="P7" s="651"/>
      <c r="Q7" s="651"/>
      <c r="R7" s="652"/>
      <c r="S7" s="714">
        <f t="shared" si="6"/>
        <v>246959503</v>
      </c>
      <c r="T7" s="706">
        <f>+'320201'!N20</f>
        <v>50000000</v>
      </c>
      <c r="U7" s="706">
        <f>+'320201'!O20</f>
        <v>345062233</v>
      </c>
      <c r="V7" s="706">
        <f t="shared" si="7"/>
        <v>395062233</v>
      </c>
      <c r="W7" s="706">
        <f t="shared" si="0"/>
        <v>245480000</v>
      </c>
      <c r="X7" s="651">
        <f t="shared" si="8"/>
        <v>2920949084.4960003</v>
      </c>
      <c r="Y7" s="651">
        <f t="shared" si="1"/>
        <v>56971612.535999991</v>
      </c>
      <c r="Z7" s="651">
        <f t="shared" si="2"/>
        <v>0</v>
      </c>
      <c r="AA7" s="651">
        <f t="shared" si="9"/>
        <v>266838879.94513398</v>
      </c>
      <c r="AB7" s="651">
        <f t="shared" si="3"/>
        <v>0</v>
      </c>
      <c r="AC7" s="650"/>
      <c r="AD7" s="650">
        <f>+'320201'!L20</f>
        <v>21600000</v>
      </c>
      <c r="AE7" s="696"/>
      <c r="AF7" s="653">
        <f t="shared" si="4"/>
        <v>3511839576.9771342</v>
      </c>
      <c r="AG7" s="654"/>
      <c r="AH7" s="655"/>
      <c r="AJ7" s="656"/>
    </row>
    <row r="8" spans="1:36" ht="68.25" customHeight="1">
      <c r="A8" s="2116"/>
      <c r="B8" s="2093"/>
      <c r="C8" s="2094"/>
      <c r="D8" s="657">
        <v>4</v>
      </c>
      <c r="E8" s="688" t="s">
        <v>1392</v>
      </c>
      <c r="F8" s="697"/>
      <c r="G8" s="658">
        <f>+'320202'!E15</f>
        <v>601287048.27999997</v>
      </c>
      <c r="H8" s="658"/>
      <c r="I8" s="658"/>
      <c r="J8" s="658">
        <f>+'320202'!F15</f>
        <v>452158475.90737772</v>
      </c>
      <c r="K8" s="698"/>
      <c r="L8" s="714">
        <f t="shared" si="5"/>
        <v>1053445524.1873777</v>
      </c>
      <c r="M8" s="707"/>
      <c r="N8" s="659"/>
      <c r="O8" s="659"/>
      <c r="P8" s="659"/>
      <c r="Q8" s="659"/>
      <c r="R8" s="660"/>
      <c r="S8" s="714">
        <f t="shared" si="6"/>
        <v>0</v>
      </c>
      <c r="T8" s="707">
        <f>+'320202'!H15</f>
        <v>40172833</v>
      </c>
      <c r="U8" s="707"/>
      <c r="V8" s="707">
        <f t="shared" si="7"/>
        <v>40172833</v>
      </c>
      <c r="W8" s="707">
        <f t="shared" si="0"/>
        <v>0</v>
      </c>
      <c r="X8" s="659">
        <f t="shared" si="8"/>
        <v>601287048.27999997</v>
      </c>
      <c r="Y8" s="659">
        <f t="shared" si="1"/>
        <v>0</v>
      </c>
      <c r="Z8" s="659">
        <f t="shared" si="2"/>
        <v>0</v>
      </c>
      <c r="AA8" s="659">
        <f t="shared" si="9"/>
        <v>492331308.90737772</v>
      </c>
      <c r="AB8" s="659">
        <f t="shared" si="3"/>
        <v>0</v>
      </c>
      <c r="AC8" s="650"/>
      <c r="AD8" s="658"/>
      <c r="AE8" s="698"/>
      <c r="AF8" s="653">
        <f t="shared" si="4"/>
        <v>1093618357.1873777</v>
      </c>
      <c r="AG8" s="661"/>
      <c r="AH8" s="662"/>
      <c r="AJ8" s="644"/>
    </row>
    <row r="9" spans="1:36" s="150" customFormat="1" ht="59.25" customHeight="1">
      <c r="A9" s="2091">
        <v>3203</v>
      </c>
      <c r="B9" s="2092" t="s">
        <v>248</v>
      </c>
      <c r="C9" s="2095">
        <f>+AF9+AF10+AF11</f>
        <v>14424942948.708969</v>
      </c>
      <c r="D9" s="663">
        <v>5</v>
      </c>
      <c r="E9" s="689" t="s">
        <v>1393</v>
      </c>
      <c r="F9" s="699">
        <f>+'320301'!G20</f>
        <v>530768429.44740033</v>
      </c>
      <c r="G9" s="639">
        <f>+'320301'!E20</f>
        <v>938269586.90999973</v>
      </c>
      <c r="H9" s="639">
        <f>+'320301'!F20</f>
        <v>733345587.449</v>
      </c>
      <c r="I9" s="639"/>
      <c r="J9" s="639">
        <f>+'320301'!H20</f>
        <v>133162476.111065</v>
      </c>
      <c r="K9" s="700"/>
      <c r="L9" s="715">
        <f t="shared" si="5"/>
        <v>2335546079.9174647</v>
      </c>
      <c r="M9" s="708"/>
      <c r="N9" s="664">
        <f>+'320301'!K20</f>
        <v>651375677.70359993</v>
      </c>
      <c r="O9" s="664">
        <f>+'320301'!L20</f>
        <v>51000000</v>
      </c>
      <c r="P9" s="664"/>
      <c r="Q9" s="664"/>
      <c r="R9" s="665">
        <f>+'320301'!J20</f>
        <v>200000000</v>
      </c>
      <c r="S9" s="715">
        <f t="shared" si="6"/>
        <v>902375677.70359993</v>
      </c>
      <c r="T9" s="699"/>
      <c r="U9" s="699"/>
      <c r="V9" s="699">
        <f t="shared" si="7"/>
        <v>0</v>
      </c>
      <c r="W9" s="699">
        <f t="shared" si="0"/>
        <v>581768429.44740033</v>
      </c>
      <c r="X9" s="639">
        <f t="shared" si="8"/>
        <v>1589645264.6135998</v>
      </c>
      <c r="Y9" s="639">
        <f t="shared" si="1"/>
        <v>933345587.449</v>
      </c>
      <c r="Z9" s="639">
        <f t="shared" si="2"/>
        <v>0</v>
      </c>
      <c r="AA9" s="639">
        <f t="shared" si="9"/>
        <v>133162476.111065</v>
      </c>
      <c r="AB9" s="639">
        <f t="shared" si="3"/>
        <v>0</v>
      </c>
      <c r="AC9" s="639"/>
      <c r="AD9" s="639"/>
      <c r="AE9" s="700"/>
      <c r="AF9" s="641">
        <f t="shared" si="4"/>
        <v>3237921757.6210647</v>
      </c>
      <c r="AG9" s="666"/>
      <c r="AH9" s="667"/>
      <c r="AJ9" s="656"/>
    </row>
    <row r="10" spans="1:36" s="150" customFormat="1" ht="75" customHeight="1">
      <c r="A10" s="2091"/>
      <c r="B10" s="2092"/>
      <c r="C10" s="2095"/>
      <c r="D10" s="663">
        <v>6</v>
      </c>
      <c r="E10" s="689" t="s">
        <v>1409</v>
      </c>
      <c r="F10" s="699">
        <f>+'320302'!G21</f>
        <v>3360626110.5450001</v>
      </c>
      <c r="G10" s="639">
        <f>+'320302'!E21</f>
        <v>4317538147.4499998</v>
      </c>
      <c r="H10" s="639"/>
      <c r="I10" s="639"/>
      <c r="J10" s="639">
        <f>+'320302'!F21</f>
        <v>328840195</v>
      </c>
      <c r="K10" s="700"/>
      <c r="L10" s="715">
        <f t="shared" si="5"/>
        <v>8007004452.9949999</v>
      </c>
      <c r="M10" s="708"/>
      <c r="N10" s="664">
        <f>+'320302'!I21</f>
        <v>420000000</v>
      </c>
      <c r="O10" s="664">
        <f>+'320302'!J21</f>
        <v>254243640</v>
      </c>
      <c r="P10" s="664"/>
      <c r="Q10" s="664"/>
      <c r="R10" s="665"/>
      <c r="S10" s="715">
        <f t="shared" si="6"/>
        <v>674243640</v>
      </c>
      <c r="T10" s="699"/>
      <c r="U10" s="699"/>
      <c r="V10" s="699">
        <f t="shared" si="7"/>
        <v>0</v>
      </c>
      <c r="W10" s="699">
        <f t="shared" si="0"/>
        <v>3614869750.5450001</v>
      </c>
      <c r="X10" s="639">
        <f t="shared" si="8"/>
        <v>4737538147.4499998</v>
      </c>
      <c r="Y10" s="639">
        <f t="shared" si="1"/>
        <v>0</v>
      </c>
      <c r="Z10" s="639">
        <f t="shared" si="2"/>
        <v>0</v>
      </c>
      <c r="AA10" s="639">
        <f t="shared" si="9"/>
        <v>328840195</v>
      </c>
      <c r="AB10" s="639">
        <f t="shared" si="3"/>
        <v>0</v>
      </c>
      <c r="AC10" s="639"/>
      <c r="AD10" s="639"/>
      <c r="AE10" s="700"/>
      <c r="AF10" s="641">
        <f t="shared" si="4"/>
        <v>8681248092.9949989</v>
      </c>
      <c r="AG10" s="666"/>
      <c r="AH10" s="667"/>
      <c r="AJ10" s="656"/>
    </row>
    <row r="11" spans="1:36" s="150" customFormat="1" ht="45.75" customHeight="1">
      <c r="A11" s="2091"/>
      <c r="B11" s="2092"/>
      <c r="C11" s="2095"/>
      <c r="D11" s="663">
        <v>7</v>
      </c>
      <c r="E11" s="689" t="s">
        <v>1395</v>
      </c>
      <c r="F11" s="699"/>
      <c r="G11" s="639">
        <f>+'320303'!G12</f>
        <v>56744000</v>
      </c>
      <c r="H11" s="639">
        <f>+'320303'!F12</f>
        <v>1701579480.9818401</v>
      </c>
      <c r="I11" s="639"/>
      <c r="J11" s="639">
        <f>+'320303'!E12</f>
        <v>133162476.111065</v>
      </c>
      <c r="K11" s="700"/>
      <c r="L11" s="715">
        <f t="shared" si="5"/>
        <v>1891485957.092905</v>
      </c>
      <c r="M11" s="708"/>
      <c r="N11" s="664"/>
      <c r="O11" s="664"/>
      <c r="P11" s="664"/>
      <c r="Q11" s="664"/>
      <c r="R11" s="665">
        <f>+'320303'!I12</f>
        <v>614287141</v>
      </c>
      <c r="S11" s="715">
        <f t="shared" si="6"/>
        <v>614287141</v>
      </c>
      <c r="T11" s="699"/>
      <c r="U11" s="699"/>
      <c r="V11" s="699">
        <f t="shared" si="7"/>
        <v>0</v>
      </c>
      <c r="W11" s="699">
        <f t="shared" ref="W11:W19" si="10">+F11+O11</f>
        <v>0</v>
      </c>
      <c r="X11" s="639">
        <f t="shared" si="8"/>
        <v>56744000</v>
      </c>
      <c r="Y11" s="639">
        <f t="shared" ref="Y11:Y19" si="11">+H11+R11</f>
        <v>2315866621.9818401</v>
      </c>
      <c r="Z11" s="639">
        <f t="shared" ref="Z11:Z19" si="12">+P11+I11</f>
        <v>0</v>
      </c>
      <c r="AA11" s="639">
        <f t="shared" si="9"/>
        <v>133162476.111065</v>
      </c>
      <c r="AB11" s="639">
        <f t="shared" ref="AB11:AB19" si="13">+Q11+K11</f>
        <v>0</v>
      </c>
      <c r="AC11" s="639"/>
      <c r="AD11" s="639"/>
      <c r="AE11" s="700"/>
      <c r="AF11" s="641">
        <f t="shared" si="4"/>
        <v>2505773098.092905</v>
      </c>
      <c r="AG11" s="666"/>
      <c r="AH11" s="667"/>
      <c r="AJ11" s="656"/>
    </row>
    <row r="12" spans="1:36" ht="69" customHeight="1">
      <c r="A12" s="668">
        <v>3204</v>
      </c>
      <c r="B12" s="657" t="s">
        <v>249</v>
      </c>
      <c r="C12" s="669">
        <f>+AF12</f>
        <v>531506871.79999995</v>
      </c>
      <c r="D12" s="657">
        <v>8</v>
      </c>
      <c r="E12" s="688" t="s">
        <v>1397</v>
      </c>
      <c r="F12" s="697"/>
      <c r="G12" s="658"/>
      <c r="H12" s="658"/>
      <c r="I12" s="658"/>
      <c r="J12" s="658">
        <f>+'320401'!E14</f>
        <v>475232054.79999995</v>
      </c>
      <c r="K12" s="698"/>
      <c r="L12" s="716">
        <f t="shared" si="5"/>
        <v>475232054.79999995</v>
      </c>
      <c r="M12" s="707">
        <f>+'320401'!G14</f>
        <v>56274817</v>
      </c>
      <c r="N12" s="659"/>
      <c r="O12" s="659"/>
      <c r="P12" s="659"/>
      <c r="Q12" s="659"/>
      <c r="R12" s="660"/>
      <c r="S12" s="716">
        <f t="shared" si="6"/>
        <v>56274817</v>
      </c>
      <c r="T12" s="707"/>
      <c r="U12" s="707"/>
      <c r="V12" s="707">
        <f t="shared" si="7"/>
        <v>0</v>
      </c>
      <c r="W12" s="707">
        <f t="shared" si="10"/>
        <v>0</v>
      </c>
      <c r="X12" s="659">
        <f t="shared" si="8"/>
        <v>0</v>
      </c>
      <c r="Y12" s="659">
        <f t="shared" si="11"/>
        <v>0</v>
      </c>
      <c r="Z12" s="659">
        <f t="shared" si="12"/>
        <v>0</v>
      </c>
      <c r="AA12" s="659">
        <f t="shared" si="9"/>
        <v>531506871.79999995</v>
      </c>
      <c r="AB12" s="659">
        <f t="shared" si="13"/>
        <v>0</v>
      </c>
      <c r="AC12" s="650"/>
      <c r="AD12" s="658"/>
      <c r="AE12" s="698"/>
      <c r="AF12" s="653">
        <f t="shared" si="4"/>
        <v>531506871.79999995</v>
      </c>
      <c r="AG12" s="661"/>
      <c r="AH12" s="662"/>
      <c r="AJ12" s="644"/>
    </row>
    <row r="13" spans="1:36" ht="83.25" customHeight="1">
      <c r="A13" s="2091">
        <v>3205</v>
      </c>
      <c r="B13" s="2092" t="s">
        <v>250</v>
      </c>
      <c r="C13" s="2095">
        <f>+AF13+AF14+AF15</f>
        <v>3512861835.9178953</v>
      </c>
      <c r="D13" s="645">
        <v>9</v>
      </c>
      <c r="E13" s="686" t="s">
        <v>1410</v>
      </c>
      <c r="F13" s="693"/>
      <c r="G13" s="640">
        <f>+'320501'!F14</f>
        <v>122436024</v>
      </c>
      <c r="H13" s="640"/>
      <c r="I13" s="640"/>
      <c r="J13" s="640">
        <f>+'320501'!E14</f>
        <v>369480667.33938891</v>
      </c>
      <c r="K13" s="694"/>
      <c r="L13" s="713">
        <f t="shared" si="5"/>
        <v>491916691.33938891</v>
      </c>
      <c r="M13" s="705"/>
      <c r="N13" s="646"/>
      <c r="O13" s="646"/>
      <c r="P13" s="646"/>
      <c r="Q13" s="646"/>
      <c r="R13" s="647"/>
      <c r="S13" s="713">
        <f t="shared" si="6"/>
        <v>0</v>
      </c>
      <c r="T13" s="699"/>
      <c r="U13" s="699"/>
      <c r="V13" s="699">
        <f t="shared" si="7"/>
        <v>0</v>
      </c>
      <c r="W13" s="699">
        <f t="shared" si="10"/>
        <v>0</v>
      </c>
      <c r="X13" s="639">
        <f t="shared" si="8"/>
        <v>122436024</v>
      </c>
      <c r="Y13" s="639">
        <f t="shared" si="11"/>
        <v>0</v>
      </c>
      <c r="Z13" s="639">
        <f t="shared" si="12"/>
        <v>0</v>
      </c>
      <c r="AA13" s="639">
        <f t="shared" si="9"/>
        <v>369480667.33938891</v>
      </c>
      <c r="AB13" s="639">
        <f t="shared" si="13"/>
        <v>0</v>
      </c>
      <c r="AC13" s="639"/>
      <c r="AD13" s="640"/>
      <c r="AE13" s="694"/>
      <c r="AF13" s="641">
        <f t="shared" si="4"/>
        <v>491916691.33938891</v>
      </c>
      <c r="AG13" s="648"/>
      <c r="AH13" s="670"/>
      <c r="AJ13" s="644"/>
    </row>
    <row r="14" spans="1:36" ht="69" customHeight="1">
      <c r="A14" s="2091"/>
      <c r="B14" s="2092"/>
      <c r="C14" s="2095"/>
      <c r="D14" s="645">
        <v>10</v>
      </c>
      <c r="E14" s="686" t="s">
        <v>1398</v>
      </c>
      <c r="F14" s="693"/>
      <c r="G14" s="640">
        <f>+'320502'!E14</f>
        <v>1890786900.27</v>
      </c>
      <c r="H14" s="640"/>
      <c r="I14" s="640"/>
      <c r="J14" s="640">
        <f>+'320502'!F14</f>
        <v>361165013.75999999</v>
      </c>
      <c r="K14" s="694"/>
      <c r="L14" s="713">
        <f t="shared" si="5"/>
        <v>2251951914.0299997</v>
      </c>
      <c r="M14" s="705">
        <f>+'320502'!H14</f>
        <v>50000000</v>
      </c>
      <c r="N14" s="646"/>
      <c r="O14" s="646"/>
      <c r="P14" s="646"/>
      <c r="Q14" s="646"/>
      <c r="R14" s="647"/>
      <c r="S14" s="713">
        <f t="shared" si="6"/>
        <v>50000000</v>
      </c>
      <c r="T14" s="699"/>
      <c r="U14" s="699"/>
      <c r="V14" s="699">
        <f t="shared" si="7"/>
        <v>0</v>
      </c>
      <c r="W14" s="699">
        <f t="shared" si="10"/>
        <v>0</v>
      </c>
      <c r="X14" s="639">
        <f t="shared" si="8"/>
        <v>1890786900.27</v>
      </c>
      <c r="Y14" s="639">
        <f t="shared" si="11"/>
        <v>0</v>
      </c>
      <c r="Z14" s="639">
        <f t="shared" si="12"/>
        <v>0</v>
      </c>
      <c r="AA14" s="639">
        <f t="shared" si="9"/>
        <v>411165013.75999999</v>
      </c>
      <c r="AB14" s="639">
        <f t="shared" si="13"/>
        <v>0</v>
      </c>
      <c r="AC14" s="639"/>
      <c r="AD14" s="640"/>
      <c r="AE14" s="694"/>
      <c r="AF14" s="641">
        <f t="shared" si="4"/>
        <v>2301951914.0299997</v>
      </c>
      <c r="AG14" s="648"/>
      <c r="AH14" s="649"/>
      <c r="AJ14" s="644"/>
    </row>
    <row r="15" spans="1:36" ht="69" customHeight="1">
      <c r="A15" s="2091"/>
      <c r="B15" s="2092"/>
      <c r="C15" s="2095"/>
      <c r="D15" s="645">
        <v>11</v>
      </c>
      <c r="E15" s="686" t="s">
        <v>1399</v>
      </c>
      <c r="F15" s="693">
        <f>+'320503'!G13</f>
        <v>50000000</v>
      </c>
      <c r="G15" s="640">
        <f>+'320503'!F13</f>
        <v>250000000</v>
      </c>
      <c r="H15" s="640"/>
      <c r="I15" s="640"/>
      <c r="J15" s="640">
        <f>+'320503'!E13</f>
        <v>368993230.54850698</v>
      </c>
      <c r="K15" s="694"/>
      <c r="L15" s="713">
        <f t="shared" si="5"/>
        <v>668993230.54850698</v>
      </c>
      <c r="M15" s="705">
        <f>+'320503'!I13</f>
        <v>50000000</v>
      </c>
      <c r="N15" s="646"/>
      <c r="O15" s="646"/>
      <c r="P15" s="646"/>
      <c r="Q15" s="646"/>
      <c r="R15" s="647"/>
      <c r="S15" s="713">
        <f t="shared" si="6"/>
        <v>50000000</v>
      </c>
      <c r="T15" s="699"/>
      <c r="U15" s="699"/>
      <c r="V15" s="699">
        <f t="shared" si="7"/>
        <v>0</v>
      </c>
      <c r="W15" s="699">
        <f t="shared" si="10"/>
        <v>50000000</v>
      </c>
      <c r="X15" s="639">
        <f t="shared" si="8"/>
        <v>250000000</v>
      </c>
      <c r="Y15" s="639">
        <f t="shared" si="11"/>
        <v>0</v>
      </c>
      <c r="Z15" s="639">
        <f t="shared" si="12"/>
        <v>0</v>
      </c>
      <c r="AA15" s="639">
        <f t="shared" si="9"/>
        <v>418993230.54850698</v>
      </c>
      <c r="AB15" s="639">
        <f t="shared" si="13"/>
        <v>0</v>
      </c>
      <c r="AC15" s="639"/>
      <c r="AD15" s="640"/>
      <c r="AE15" s="694"/>
      <c r="AF15" s="641">
        <f t="shared" si="4"/>
        <v>718993230.54850698</v>
      </c>
      <c r="AG15" s="648"/>
      <c r="AH15" s="670"/>
      <c r="AJ15" s="644"/>
    </row>
    <row r="16" spans="1:36" ht="111.75" customHeight="1">
      <c r="A16" s="668">
        <v>3206</v>
      </c>
      <c r="B16" s="657" t="s">
        <v>251</v>
      </c>
      <c r="C16" s="669">
        <f>+AF16</f>
        <v>4968211118.1104002</v>
      </c>
      <c r="D16" s="657">
        <v>12</v>
      </c>
      <c r="E16" s="688" t="s">
        <v>1400</v>
      </c>
      <c r="F16" s="697"/>
      <c r="G16" s="658">
        <f>+'320601'!F15</f>
        <v>1599999999</v>
      </c>
      <c r="H16" s="658">
        <f>+'320601'!G15</f>
        <v>74150400</v>
      </c>
      <c r="I16" s="658"/>
      <c r="J16" s="658">
        <f>+'320601'!E15</f>
        <v>114562644.11039999</v>
      </c>
      <c r="K16" s="698"/>
      <c r="L16" s="716">
        <f t="shared" si="5"/>
        <v>1788713043.1104</v>
      </c>
      <c r="M16" s="707"/>
      <c r="N16" s="659"/>
      <c r="O16" s="659"/>
      <c r="P16" s="659"/>
      <c r="Q16" s="659"/>
      <c r="R16" s="660"/>
      <c r="S16" s="716">
        <f t="shared" si="6"/>
        <v>0</v>
      </c>
      <c r="T16" s="707"/>
      <c r="U16" s="707"/>
      <c r="V16" s="707">
        <f t="shared" si="7"/>
        <v>0</v>
      </c>
      <c r="W16" s="707">
        <f t="shared" si="10"/>
        <v>0</v>
      </c>
      <c r="X16" s="659">
        <f t="shared" si="8"/>
        <v>1599999999</v>
      </c>
      <c r="Y16" s="659">
        <f t="shared" si="11"/>
        <v>74150400</v>
      </c>
      <c r="Z16" s="659">
        <f t="shared" si="12"/>
        <v>0</v>
      </c>
      <c r="AA16" s="659">
        <f t="shared" si="9"/>
        <v>114562644.11039999</v>
      </c>
      <c r="AB16" s="659">
        <f t="shared" si="13"/>
        <v>0</v>
      </c>
      <c r="AC16" s="650">
        <f>+'320601'!I15</f>
        <v>3179498075</v>
      </c>
      <c r="AD16" s="658"/>
      <c r="AE16" s="698"/>
      <c r="AF16" s="653">
        <f t="shared" si="4"/>
        <v>4968211118.1104002</v>
      </c>
      <c r="AG16" s="661"/>
      <c r="AH16" s="671"/>
      <c r="AJ16" s="313"/>
    </row>
    <row r="17" spans="1:36" ht="69" customHeight="1">
      <c r="A17" s="672">
        <v>3208</v>
      </c>
      <c r="B17" s="645" t="s">
        <v>252</v>
      </c>
      <c r="C17" s="673">
        <f>+AF17</f>
        <v>3840682006.6351342</v>
      </c>
      <c r="D17" s="645">
        <v>13</v>
      </c>
      <c r="E17" s="686" t="s">
        <v>1401</v>
      </c>
      <c r="F17" s="693"/>
      <c r="G17" s="640">
        <f>+'320801'!F16</f>
        <v>150000000</v>
      </c>
      <c r="H17" s="640"/>
      <c r="I17" s="640"/>
      <c r="J17" s="640">
        <f>+'320801'!E16</f>
        <v>1246412701.6351342</v>
      </c>
      <c r="K17" s="694"/>
      <c r="L17" s="713">
        <f t="shared" si="5"/>
        <v>1396412701.6351342</v>
      </c>
      <c r="M17" s="705">
        <f>+'320801'!H16</f>
        <v>204111704</v>
      </c>
      <c r="N17" s="646"/>
      <c r="O17" s="646"/>
      <c r="P17" s="646"/>
      <c r="Q17" s="646"/>
      <c r="R17" s="647"/>
      <c r="S17" s="713">
        <f t="shared" si="6"/>
        <v>204111704</v>
      </c>
      <c r="T17" s="699">
        <f>+'320801'!L16</f>
        <v>14400000</v>
      </c>
      <c r="U17" s="699"/>
      <c r="V17" s="699">
        <f t="shared" si="7"/>
        <v>14400000</v>
      </c>
      <c r="W17" s="699">
        <f t="shared" si="10"/>
        <v>0</v>
      </c>
      <c r="X17" s="639">
        <f t="shared" si="8"/>
        <v>150000000</v>
      </c>
      <c r="Y17" s="639">
        <f t="shared" si="11"/>
        <v>0</v>
      </c>
      <c r="Z17" s="639">
        <f t="shared" si="12"/>
        <v>0</v>
      </c>
      <c r="AA17" s="639">
        <f t="shared" si="9"/>
        <v>1464924405.6351342</v>
      </c>
      <c r="AB17" s="639">
        <f t="shared" si="13"/>
        <v>0</v>
      </c>
      <c r="AC17" s="639">
        <f>+'320801'!J16</f>
        <v>2225757601</v>
      </c>
      <c r="AD17" s="640"/>
      <c r="AE17" s="694"/>
      <c r="AF17" s="641">
        <f t="shared" si="4"/>
        <v>3840682006.6351342</v>
      </c>
      <c r="AG17" s="648"/>
      <c r="AH17" s="649"/>
      <c r="AJ17" s="644"/>
    </row>
    <row r="18" spans="1:36" ht="85.5" customHeight="1" thickBot="1">
      <c r="A18" s="2118">
        <v>3299</v>
      </c>
      <c r="B18" s="2118" t="s">
        <v>253</v>
      </c>
      <c r="C18" s="2114">
        <f>+AF18+AF19</f>
        <v>12369981846.499432</v>
      </c>
      <c r="D18" s="674">
        <v>14</v>
      </c>
      <c r="E18" s="690" t="s">
        <v>1402</v>
      </c>
      <c r="F18" s="697"/>
      <c r="G18" s="658"/>
      <c r="H18" s="658">
        <f>+'329901'!F17</f>
        <v>76849600</v>
      </c>
      <c r="I18" s="658"/>
      <c r="J18" s="658">
        <f>+'329901'!E17</f>
        <v>2277933538.5904336</v>
      </c>
      <c r="K18" s="698"/>
      <c r="L18" s="716">
        <f t="shared" ref="L18" si="14">SUM(F18:K18)</f>
        <v>2354783138.5904336</v>
      </c>
      <c r="M18" s="707">
        <f>+'329901'!H17</f>
        <v>5000000</v>
      </c>
      <c r="N18" s="659"/>
      <c r="O18" s="659"/>
      <c r="P18" s="659"/>
      <c r="Q18" s="659">
        <f>+'329901'!I17</f>
        <v>273023831</v>
      </c>
      <c r="R18" s="660">
        <f>+'ACCIONES 329901'!R88</f>
        <v>8150400</v>
      </c>
      <c r="S18" s="717">
        <f t="shared" ref="S18" si="15">SUM(M18:R18)</f>
        <v>286174231</v>
      </c>
      <c r="T18" s="707"/>
      <c r="U18" s="707"/>
      <c r="V18" s="707">
        <f t="shared" si="7"/>
        <v>0</v>
      </c>
      <c r="W18" s="707">
        <f t="shared" si="10"/>
        <v>0</v>
      </c>
      <c r="X18" s="659">
        <f t="shared" si="8"/>
        <v>0</v>
      </c>
      <c r="Y18" s="659">
        <f t="shared" si="11"/>
        <v>85000000</v>
      </c>
      <c r="Z18" s="659">
        <f t="shared" si="12"/>
        <v>0</v>
      </c>
      <c r="AA18" s="659">
        <f t="shared" si="9"/>
        <v>2282933538.5904336</v>
      </c>
      <c r="AB18" s="659">
        <f t="shared" si="13"/>
        <v>273023831</v>
      </c>
      <c r="AC18" s="650"/>
      <c r="AD18" s="658"/>
      <c r="AE18" s="698">
        <f>+'329901'!L17</f>
        <v>2137500000</v>
      </c>
      <c r="AF18" s="653">
        <f t="shared" si="4"/>
        <v>4778457369.5904331</v>
      </c>
      <c r="AG18" s="675"/>
      <c r="AH18" s="676"/>
      <c r="AJ18" s="644"/>
    </row>
    <row r="19" spans="1:36" ht="108.75" customHeight="1" thickBot="1">
      <c r="A19" s="2115"/>
      <c r="B19" s="2115" t="s">
        <v>253</v>
      </c>
      <c r="C19" s="2115" t="e">
        <f>+#REF!</f>
        <v>#REF!</v>
      </c>
      <c r="D19" s="674">
        <v>15</v>
      </c>
      <c r="E19" s="690" t="s">
        <v>1405</v>
      </c>
      <c r="F19" s="701">
        <f>+'329902'!G34</f>
        <v>14685561.303599982</v>
      </c>
      <c r="G19" s="702">
        <f>+'329902'!E34</f>
        <v>2181511505.1199989</v>
      </c>
      <c r="H19" s="702"/>
      <c r="I19" s="702">
        <f>+'329902'!I34</f>
        <v>256871020.329</v>
      </c>
      <c r="J19" s="702">
        <f>+'329902'!F34</f>
        <v>3171321725.1999993</v>
      </c>
      <c r="K19" s="703">
        <f>+'329902'!H34</f>
        <v>1092632960</v>
      </c>
      <c r="L19" s="717">
        <f t="shared" si="5"/>
        <v>6717022771.9525986</v>
      </c>
      <c r="M19" s="709">
        <f>+'329902'!K34</f>
        <v>100000000</v>
      </c>
      <c r="N19" s="710">
        <f>+'329902'!L34</f>
        <v>377986841.93640012</v>
      </c>
      <c r="O19" s="710"/>
      <c r="P19" s="710">
        <f>+'329902'!M34</f>
        <v>97027480</v>
      </c>
      <c r="Q19" s="710">
        <f>+'329902'!N34</f>
        <v>299487383.0200001</v>
      </c>
      <c r="R19" s="711"/>
      <c r="S19" s="717">
        <f t="shared" si="6"/>
        <v>874501704.95640028</v>
      </c>
      <c r="T19" s="709"/>
      <c r="U19" s="709"/>
      <c r="V19" s="709">
        <f t="shared" ref="V19" si="16">SUM(T19:U19)</f>
        <v>0</v>
      </c>
      <c r="W19" s="709">
        <f t="shared" si="10"/>
        <v>14685561.303599982</v>
      </c>
      <c r="X19" s="710">
        <f t="shared" si="8"/>
        <v>2559498347.0563989</v>
      </c>
      <c r="Y19" s="710">
        <f t="shared" si="11"/>
        <v>0</v>
      </c>
      <c r="Z19" s="710">
        <f t="shared" si="12"/>
        <v>353898500.329</v>
      </c>
      <c r="AA19" s="710">
        <f t="shared" si="9"/>
        <v>3271321725.1999993</v>
      </c>
      <c r="AB19" s="710">
        <f t="shared" si="13"/>
        <v>1392120343.02</v>
      </c>
      <c r="AC19" s="721"/>
      <c r="AD19" s="702"/>
      <c r="AE19" s="703"/>
      <c r="AF19" s="679">
        <f t="shared" si="4"/>
        <v>7591524476.9089985</v>
      </c>
      <c r="AG19" s="680"/>
      <c r="AH19" s="676"/>
      <c r="AJ19" s="644"/>
    </row>
    <row r="20" spans="1:36" ht="21.75" customHeight="1" thickBot="1">
      <c r="A20" s="2112" t="s">
        <v>10</v>
      </c>
      <c r="B20" s="2113"/>
      <c r="C20" s="681">
        <f>+C5+C7+C9+C12+C13+C16+C17+C18</f>
        <v>47653238573.445175</v>
      </c>
      <c r="D20" s="2112" t="s">
        <v>10</v>
      </c>
      <c r="E20" s="2113"/>
      <c r="F20" s="684">
        <f t="shared" ref="F20:AE20" si="17">SUM(F5:F19)</f>
        <v>4221640101.296</v>
      </c>
      <c r="G20" s="684">
        <f t="shared" si="17"/>
        <v>14501756559.525999</v>
      </c>
      <c r="H20" s="684">
        <f t="shared" si="17"/>
        <v>3040391339.9668403</v>
      </c>
      <c r="I20" s="684">
        <f t="shared" si="17"/>
        <v>256871020.329</v>
      </c>
      <c r="J20" s="684">
        <f t="shared" si="17"/>
        <v>10420943222.587332</v>
      </c>
      <c r="K20" s="684">
        <f t="shared" si="17"/>
        <v>1092632960</v>
      </c>
      <c r="L20" s="682">
        <f t="shared" si="17"/>
        <v>33534235203.705173</v>
      </c>
      <c r="M20" s="684">
        <f t="shared" si="17"/>
        <v>555386521</v>
      </c>
      <c r="N20" s="684">
        <f t="shared" si="17"/>
        <v>1696322022.6400001</v>
      </c>
      <c r="O20" s="684">
        <f t="shared" si="17"/>
        <v>305243640</v>
      </c>
      <c r="P20" s="684">
        <f t="shared" si="17"/>
        <v>97027480</v>
      </c>
      <c r="Q20" s="684">
        <f t="shared" si="17"/>
        <v>572511214.0200001</v>
      </c>
      <c r="R20" s="684">
        <f t="shared" si="17"/>
        <v>822437541</v>
      </c>
      <c r="S20" s="1005">
        <f t="shared" si="17"/>
        <v>4048928418.6600003</v>
      </c>
      <c r="T20" s="684">
        <f t="shared" si="17"/>
        <v>149572833</v>
      </c>
      <c r="U20" s="684">
        <f t="shared" si="17"/>
        <v>345062233</v>
      </c>
      <c r="V20" s="684">
        <f t="shared" si="17"/>
        <v>494635066</v>
      </c>
      <c r="W20" s="684">
        <f t="shared" si="17"/>
        <v>4526883741.2960005</v>
      </c>
      <c r="X20" s="684">
        <f t="shared" si="17"/>
        <v>16543140815.165998</v>
      </c>
      <c r="Y20" s="684">
        <f t="shared" si="17"/>
        <v>3862828880.9668403</v>
      </c>
      <c r="Z20" s="684">
        <f t="shared" si="17"/>
        <v>353898500.329</v>
      </c>
      <c r="AA20" s="684">
        <f>SUM(AA5:AA19)</f>
        <v>11125902576.587332</v>
      </c>
      <c r="AB20" s="684">
        <f t="shared" si="17"/>
        <v>1665144174.02</v>
      </c>
      <c r="AC20" s="684">
        <f t="shared" si="17"/>
        <v>7416339885.0799999</v>
      </c>
      <c r="AD20" s="684">
        <f t="shared" si="17"/>
        <v>21600000</v>
      </c>
      <c r="AE20" s="684">
        <f t="shared" si="17"/>
        <v>2137500000</v>
      </c>
      <c r="AF20" s="682">
        <f>SUM(AF5:AF19)</f>
        <v>47653238573.445168</v>
      </c>
      <c r="AG20" s="677"/>
      <c r="AH20" s="683"/>
      <c r="AJ20" s="644"/>
    </row>
    <row r="21" spans="1:36" s="96" customFormat="1" ht="45" customHeight="1" thickBot="1">
      <c r="F21" s="1008">
        <v>4221640101.1199999</v>
      </c>
      <c r="G21" s="1009">
        <v>14501756558.890547</v>
      </c>
      <c r="H21" s="1009">
        <v>3040391339.9668403</v>
      </c>
      <c r="I21" s="1009">
        <v>256871020.32955995</v>
      </c>
      <c r="J21" s="1009">
        <v>10420943219.819595</v>
      </c>
      <c r="K21" s="1009">
        <v>1092632960.4834681</v>
      </c>
      <c r="L21" s="1010">
        <v>33534235200.609447</v>
      </c>
      <c r="M21" s="1011">
        <v>555386521</v>
      </c>
      <c r="N21" s="1009">
        <v>1696322023</v>
      </c>
      <c r="O21" s="1009">
        <v>305243640</v>
      </c>
      <c r="P21" s="1009">
        <v>97027480</v>
      </c>
      <c r="Q21" s="1009">
        <v>572511214</v>
      </c>
      <c r="R21" s="1012">
        <v>822437541</v>
      </c>
      <c r="S21" s="1013">
        <v>4048928419</v>
      </c>
      <c r="T21" s="1008">
        <v>149572833</v>
      </c>
      <c r="U21" s="1008">
        <v>345062233</v>
      </c>
      <c r="V21" s="1008">
        <v>494635066</v>
      </c>
      <c r="W21" s="1008">
        <f>+F21+O21</f>
        <v>4526883741.1199999</v>
      </c>
      <c r="X21" s="1009">
        <f>+G21+N21+U21</f>
        <v>16543140814.890547</v>
      </c>
      <c r="Y21" s="1009">
        <f>+H21+R21</f>
        <v>3862828880.9668403</v>
      </c>
      <c r="Z21" s="1009">
        <f>+I21+P21</f>
        <v>353898500.32955992</v>
      </c>
      <c r="AA21" s="1009">
        <f>+M21+J21+T21</f>
        <v>11125902573.819595</v>
      </c>
      <c r="AB21" s="1009">
        <f>+K21+Q21</f>
        <v>1665144174.4834681</v>
      </c>
      <c r="AC21" s="1014">
        <v>7416339885</v>
      </c>
      <c r="AD21" s="1015">
        <v>21600000</v>
      </c>
      <c r="AE21" s="1016">
        <v>2137500000</v>
      </c>
      <c r="AF21" s="1010">
        <v>47653238570.337761</v>
      </c>
      <c r="AG21" s="1006"/>
      <c r="AH21" s="1007"/>
    </row>
    <row r="22" spans="1:36" ht="15" customHeight="1">
      <c r="F22" s="678">
        <f>+F21-F20</f>
        <v>-0.17600011825561523</v>
      </c>
      <c r="G22" s="678">
        <f t="shared" ref="G22:R22" si="18">+G21-G20</f>
        <v>-0.6354522705078125</v>
      </c>
      <c r="H22" s="678">
        <f t="shared" si="18"/>
        <v>0</v>
      </c>
      <c r="I22" s="678">
        <f t="shared" si="18"/>
        <v>5.5995583534240723E-4</v>
      </c>
      <c r="J22" s="678">
        <f>+J21-J20</f>
        <v>-2.7677364349365234</v>
      </c>
      <c r="K22" s="678">
        <f t="shared" si="18"/>
        <v>0.48346805572509766</v>
      </c>
      <c r="L22" s="678">
        <f>+L21-L20</f>
        <v>-3.0957260131835938</v>
      </c>
      <c r="M22" s="678">
        <f t="shared" si="18"/>
        <v>0</v>
      </c>
      <c r="N22" s="678">
        <f t="shared" si="18"/>
        <v>0.3599998950958252</v>
      </c>
      <c r="O22" s="678">
        <f t="shared" si="18"/>
        <v>0</v>
      </c>
      <c r="P22" s="678">
        <f t="shared" si="18"/>
        <v>0</v>
      </c>
      <c r="Q22" s="678">
        <f t="shared" si="18"/>
        <v>-2.0000100135803223E-2</v>
      </c>
      <c r="R22" s="678">
        <f t="shared" si="18"/>
        <v>0</v>
      </c>
      <c r="S22" s="678">
        <f t="shared" ref="S22:V22" si="19">+S21-S20</f>
        <v>0.33999967575073242</v>
      </c>
      <c r="T22" s="678">
        <f t="shared" si="19"/>
        <v>0</v>
      </c>
      <c r="U22" s="678">
        <f t="shared" si="19"/>
        <v>0</v>
      </c>
      <c r="V22" s="678">
        <f t="shared" si="19"/>
        <v>0</v>
      </c>
      <c r="W22" s="678">
        <f t="shared" ref="W22:AE22" si="20">+W21-W20</f>
        <v>-0.17600059509277344</v>
      </c>
      <c r="X22" s="678">
        <f t="shared" si="20"/>
        <v>-0.27545166015625</v>
      </c>
      <c r="Y22" s="678">
        <f t="shared" si="20"/>
        <v>0</v>
      </c>
      <c r="Z22" s="678">
        <f t="shared" si="20"/>
        <v>5.5992603302001953E-4</v>
      </c>
      <c r="AA22" s="678">
        <f t="shared" si="20"/>
        <v>-2.7677364349365234</v>
      </c>
      <c r="AB22" s="678">
        <f t="shared" si="20"/>
        <v>0.46346807479858398</v>
      </c>
      <c r="AC22" s="678">
        <f t="shared" si="20"/>
        <v>-7.9999923706054688E-2</v>
      </c>
      <c r="AD22" s="678">
        <f t="shared" si="20"/>
        <v>0</v>
      </c>
      <c r="AE22" s="678">
        <f t="shared" si="20"/>
        <v>0</v>
      </c>
      <c r="AF22" s="678">
        <f>+AF21-AF20</f>
        <v>-3.1074066162109375</v>
      </c>
    </row>
    <row r="24" spans="1:36">
      <c r="F24" s="449">
        <f t="shared" ref="F24:R24" si="21">+F22/F21</f>
        <v>-4.1689986365470249E-11</v>
      </c>
      <c r="G24" s="449">
        <f t="shared" si="21"/>
        <v>-4.3818986198484883E-11</v>
      </c>
      <c r="H24" s="449">
        <f t="shared" si="21"/>
        <v>0</v>
      </c>
      <c r="I24" s="449">
        <f t="shared" si="21"/>
        <v>2.1799105038162576E-12</v>
      </c>
      <c r="J24" s="449">
        <f t="shared" si="21"/>
        <v>-2.6559365851572482E-10</v>
      </c>
      <c r="K24" s="449">
        <f t="shared" si="21"/>
        <v>4.4247983834495787E-10</v>
      </c>
      <c r="L24" s="449">
        <f>+L22/L21</f>
        <v>-9.2315390366419697E-11</v>
      </c>
      <c r="M24" s="449">
        <f t="shared" si="21"/>
        <v>0</v>
      </c>
      <c r="N24" s="449">
        <f t="shared" si="21"/>
        <v>2.122237937223463E-10</v>
      </c>
      <c r="O24" s="449">
        <f t="shared" si="21"/>
        <v>0</v>
      </c>
      <c r="P24" s="449">
        <f t="shared" si="21"/>
        <v>0</v>
      </c>
      <c r="Q24" s="449">
        <f t="shared" si="21"/>
        <v>-3.4933988447260742E-11</v>
      </c>
      <c r="R24" s="449">
        <f t="shared" si="21"/>
        <v>0</v>
      </c>
      <c r="S24" s="449">
        <f t="shared" ref="S24" si="22">+S22/S21</f>
        <v>8.3972755397514583E-11</v>
      </c>
      <c r="T24" s="449"/>
      <c r="U24" s="449"/>
      <c r="V24" s="449"/>
      <c r="W24" s="449">
        <f t="shared" ref="W24:AB24" si="23">+W22/W21</f>
        <v>-3.8878973960402394E-11</v>
      </c>
      <c r="X24" s="449">
        <f t="shared" si="23"/>
        <v>-1.6650505683196197E-11</v>
      </c>
      <c r="Y24" s="449">
        <f t="shared" si="23"/>
        <v>0</v>
      </c>
      <c r="Z24" s="449">
        <f t="shared" si="23"/>
        <v>1.5821655997372161E-12</v>
      </c>
      <c r="AA24" s="449">
        <f t="shared" si="23"/>
        <v>-2.4876511515113341E-10</v>
      </c>
      <c r="AB24" s="449">
        <f t="shared" si="23"/>
        <v>2.783351026900436E-10</v>
      </c>
      <c r="AC24" s="449">
        <f>+AC22/AC21</f>
        <v>-1.0786981846376731E-11</v>
      </c>
      <c r="AD24" s="449">
        <f>+AD22/AD21</f>
        <v>0</v>
      </c>
      <c r="AE24" s="449">
        <f t="shared" ref="AE24:AF24" si="24">+AE22/AE21</f>
        <v>0</v>
      </c>
      <c r="AF24" s="449">
        <f t="shared" si="24"/>
        <v>-6.5208718430003492E-11</v>
      </c>
    </row>
    <row r="25" spans="1:36">
      <c r="AF25" s="598"/>
    </row>
    <row r="26" spans="1:36">
      <c r="F26" s="598"/>
      <c r="H26" s="212"/>
      <c r="L26" s="598"/>
      <c r="AF26" s="1830"/>
    </row>
    <row r="28" spans="1:36">
      <c r="L28" s="292"/>
      <c r="AF28" s="598"/>
    </row>
    <row r="29" spans="1:36">
      <c r="AF29" s="598"/>
    </row>
    <row r="30" spans="1:36">
      <c r="L30" s="292"/>
    </row>
  </sheetData>
  <mergeCells count="33">
    <mergeCell ref="AF3:AF4"/>
    <mergeCell ref="B3:B4"/>
    <mergeCell ref="W3:AE3"/>
    <mergeCell ref="S3:S4"/>
    <mergeCell ref="L3:L4"/>
    <mergeCell ref="D20:E20"/>
    <mergeCell ref="A20:B20"/>
    <mergeCell ref="C18:C19"/>
    <mergeCell ref="A7:A8"/>
    <mergeCell ref="V3:V4"/>
    <mergeCell ref="B18:B19"/>
    <mergeCell ref="A5:A6"/>
    <mergeCell ref="A18:A19"/>
    <mergeCell ref="M3:R3"/>
    <mergeCell ref="C5:C6"/>
    <mergeCell ref="C3:C4"/>
    <mergeCell ref="C13:C15"/>
    <mergeCell ref="A1:AH2"/>
    <mergeCell ref="A13:A15"/>
    <mergeCell ref="B13:B15"/>
    <mergeCell ref="B7:B8"/>
    <mergeCell ref="C7:C8"/>
    <mergeCell ref="A9:A11"/>
    <mergeCell ref="B9:B11"/>
    <mergeCell ref="C9:C11"/>
    <mergeCell ref="D3:D4"/>
    <mergeCell ref="E3:E4"/>
    <mergeCell ref="AG3:AG4"/>
    <mergeCell ref="F3:K3"/>
    <mergeCell ref="B5:B6"/>
    <mergeCell ref="A3:A4"/>
    <mergeCell ref="T3:U3"/>
    <mergeCell ref="AH3:AH4"/>
  </mergeCells>
  <pageMargins left="0.51181102362204722" right="0.11811023622047245" top="0.55118110236220474" bottom="0.19685039370078741" header="0.31496062992125984" footer="0.31496062992125984"/>
  <pageSetup scale="55" orientation="landscape"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sheetPr>
  <dimension ref="A1:K26"/>
  <sheetViews>
    <sheetView workbookViewId="0">
      <pane xSplit="2" ySplit="8" topLeftCell="C9" activePane="bottomRight" state="frozen"/>
      <selection activeCell="F55" sqref="F55"/>
      <selection pane="topRight" activeCell="F55" sqref="F55"/>
      <selection pane="bottomLeft" activeCell="F55" sqref="F55"/>
      <selection pane="bottomRight" activeCell="D30" sqref="D30"/>
    </sheetView>
  </sheetViews>
  <sheetFormatPr baseColWidth="10" defaultColWidth="11.42578125" defaultRowHeight="12.75"/>
  <cols>
    <col min="1" max="1" width="9.28515625" style="1" customWidth="1"/>
    <col min="2" max="2" width="39.85546875" style="1" customWidth="1"/>
    <col min="3" max="3" width="8.140625" style="316" customWidth="1"/>
    <col min="4" max="4" width="8.7109375" style="1" customWidth="1"/>
    <col min="5" max="5" width="13.85546875" style="1" bestFit="1" customWidth="1"/>
    <col min="6" max="6" width="15.42578125" style="1" bestFit="1" customWidth="1"/>
    <col min="7" max="7" width="13.85546875" style="1" bestFit="1" customWidth="1"/>
    <col min="8" max="8" width="12.85546875" style="1" bestFit="1" customWidth="1"/>
    <col min="9" max="9" width="18.42578125" style="1" customWidth="1"/>
    <col min="10" max="11" width="17.140625" style="1" customWidth="1"/>
    <col min="12" max="16384" width="11.42578125" style="1"/>
  </cols>
  <sheetData>
    <row r="1" spans="1:11" ht="15" customHeight="1" thickBot="1">
      <c r="B1" s="2151"/>
      <c r="C1" s="2139" t="s">
        <v>434</v>
      </c>
      <c r="D1" s="2140"/>
      <c r="E1" s="2140"/>
      <c r="F1" s="2140"/>
      <c r="G1" s="2140"/>
      <c r="H1" s="2140"/>
      <c r="I1" s="2141"/>
      <c r="J1" s="2137" t="s">
        <v>980</v>
      </c>
      <c r="K1" s="2138"/>
    </row>
    <row r="2" spans="1:11" ht="15" customHeight="1" thickBot="1">
      <c r="B2" s="2152"/>
      <c r="C2" s="2142"/>
      <c r="D2" s="2143"/>
      <c r="E2" s="2143"/>
      <c r="F2" s="2143"/>
      <c r="G2" s="2143"/>
      <c r="H2" s="2143"/>
      <c r="I2" s="2144"/>
      <c r="J2" s="2137" t="s">
        <v>365</v>
      </c>
      <c r="K2" s="2138"/>
    </row>
    <row r="3" spans="1:11" ht="15.75" customHeight="1" thickBot="1">
      <c r="B3" s="2153"/>
      <c r="C3" s="2132"/>
      <c r="D3" s="2133"/>
      <c r="E3" s="2133"/>
      <c r="F3" s="2133"/>
      <c r="G3" s="2133"/>
      <c r="H3" s="2133"/>
      <c r="I3" s="2134"/>
      <c r="J3" s="2137" t="s">
        <v>366</v>
      </c>
      <c r="K3" s="2138"/>
    </row>
    <row r="4" spans="1:11" ht="15.75" customHeight="1" thickBot="1">
      <c r="B4" s="2145" t="s">
        <v>282</v>
      </c>
      <c r="C4" s="2146"/>
      <c r="D4" s="2146"/>
      <c r="E4" s="2146"/>
      <c r="F4" s="2146"/>
      <c r="G4" s="2146"/>
      <c r="H4" s="2146"/>
      <c r="I4" s="2146"/>
      <c r="J4" s="2146"/>
      <c r="K4" s="2147"/>
    </row>
    <row r="5" spans="1:11" ht="13.5" thickBot="1">
      <c r="B5" s="2145" t="s">
        <v>1389</v>
      </c>
      <c r="C5" s="2146"/>
      <c r="D5" s="2146"/>
      <c r="E5" s="2146"/>
      <c r="F5" s="2146"/>
      <c r="G5" s="2146"/>
      <c r="H5" s="2146"/>
      <c r="I5" s="2146"/>
      <c r="J5" s="2146"/>
      <c r="K5" s="2147"/>
    </row>
    <row r="6" spans="1:11" ht="15" customHeight="1" thickBot="1">
      <c r="A6" s="2135" t="s">
        <v>309</v>
      </c>
      <c r="B6" s="2136" t="s">
        <v>310</v>
      </c>
      <c r="C6" s="2132">
        <v>2024</v>
      </c>
      <c r="D6" s="2133"/>
      <c r="E6" s="2133"/>
      <c r="F6" s="2133"/>
      <c r="G6" s="2133"/>
      <c r="H6" s="2133"/>
      <c r="I6" s="2133"/>
      <c r="J6" s="2133"/>
      <c r="K6" s="2134"/>
    </row>
    <row r="7" spans="1:11" ht="23.25" customHeight="1" thickBot="1">
      <c r="A7" s="2135"/>
      <c r="B7" s="2135"/>
      <c r="C7" s="2135" t="s">
        <v>190</v>
      </c>
      <c r="D7" s="2135" t="s">
        <v>191</v>
      </c>
      <c r="E7" s="2148" t="s">
        <v>189</v>
      </c>
      <c r="F7" s="2149"/>
      <c r="G7" s="2149"/>
      <c r="H7" s="2150"/>
      <c r="I7" s="2135" t="s">
        <v>324</v>
      </c>
      <c r="J7" s="2135" t="s">
        <v>523</v>
      </c>
      <c r="K7" s="2135" t="s">
        <v>1125</v>
      </c>
    </row>
    <row r="8" spans="1:11" ht="15" customHeight="1" thickBot="1">
      <c r="A8" s="2135"/>
      <c r="B8" s="2135"/>
      <c r="C8" s="2135"/>
      <c r="D8" s="2135"/>
      <c r="E8" s="193" t="s">
        <v>208</v>
      </c>
      <c r="F8" s="193" t="s">
        <v>277</v>
      </c>
      <c r="G8" s="193" t="s">
        <v>192</v>
      </c>
      <c r="H8" s="193" t="s">
        <v>193</v>
      </c>
      <c r="I8" s="2135"/>
      <c r="J8" s="2135"/>
      <c r="K8" s="2135"/>
    </row>
    <row r="9" spans="1:11" ht="39" thickBot="1">
      <c r="A9" s="100">
        <v>3201007</v>
      </c>
      <c r="B9" s="211" t="s">
        <v>1425</v>
      </c>
      <c r="C9" s="1752" t="s">
        <v>1098</v>
      </c>
      <c r="D9" s="1753">
        <v>100</v>
      </c>
      <c r="E9" s="599">
        <f t="shared" ref="E9:K9" si="0">SUM(E10:E14)</f>
        <v>279202038.38369405</v>
      </c>
      <c r="F9" s="599">
        <f t="shared" si="0"/>
        <v>397494659</v>
      </c>
      <c r="G9" s="599">
        <f t="shared" si="0"/>
        <v>64256000</v>
      </c>
      <c r="H9" s="599">
        <f t="shared" si="0"/>
        <v>20080000</v>
      </c>
      <c r="I9" s="599">
        <f t="shared" si="0"/>
        <v>761032697.38369393</v>
      </c>
      <c r="J9" s="599">
        <f t="shared" si="0"/>
        <v>1360645292.8599999</v>
      </c>
      <c r="K9" s="599">
        <f t="shared" si="0"/>
        <v>2121677990.2436938</v>
      </c>
    </row>
    <row r="10" spans="1:11" ht="51">
      <c r="B10" s="178" t="s">
        <v>989</v>
      </c>
      <c r="C10" s="1754" t="s">
        <v>408</v>
      </c>
      <c r="D10" s="1754">
        <v>1</v>
      </c>
      <c r="E10" s="600">
        <f>+'ACCIONES 320101'!I9</f>
        <v>61846400.20000001</v>
      </c>
      <c r="F10" s="600">
        <f>+'ACCIONES 320101'!J9</f>
        <v>0</v>
      </c>
      <c r="G10" s="600">
        <f>+'ACCIONES 320101'!K9</f>
        <v>0</v>
      </c>
      <c r="H10" s="600">
        <f>+'ACCIONES 320101'!L9</f>
        <v>0</v>
      </c>
      <c r="I10" s="600">
        <f>+'ACCIONES 320101'!M9</f>
        <v>61846400.20000001</v>
      </c>
      <c r="J10" s="600">
        <f>+'ACCIONES 320101'!N9</f>
        <v>0</v>
      </c>
      <c r="K10" s="601">
        <f>+'ACCIONES 320101'!O9</f>
        <v>61846400.20000001</v>
      </c>
    </row>
    <row r="11" spans="1:11" ht="51">
      <c r="B11" s="5" t="s">
        <v>991</v>
      </c>
      <c r="C11" s="6" t="s">
        <v>408</v>
      </c>
      <c r="D11" s="6">
        <v>2</v>
      </c>
      <c r="E11" s="213">
        <f>+'ACCIONES 320101'!I12</f>
        <v>0</v>
      </c>
      <c r="F11" s="213">
        <f>+'ACCIONES 320101'!J12</f>
        <v>112849600</v>
      </c>
      <c r="G11" s="213">
        <f>+'ACCIONES 320101'!K12</f>
        <v>0</v>
      </c>
      <c r="H11" s="213">
        <f>+'ACCIONES 320101'!L12</f>
        <v>0</v>
      </c>
      <c r="I11" s="213">
        <f>+'ACCIONES 320101'!M12</f>
        <v>112849600</v>
      </c>
      <c r="J11" s="213">
        <f>+'ACCIONES 320101'!N12</f>
        <v>0</v>
      </c>
      <c r="K11" s="489">
        <f>+'ACCIONES 320101'!O12</f>
        <v>112849600</v>
      </c>
    </row>
    <row r="12" spans="1:11" ht="25.5">
      <c r="B12" s="5" t="s">
        <v>990</v>
      </c>
      <c r="C12" s="379" t="s">
        <v>1096</v>
      </c>
      <c r="D12" s="6">
        <v>5</v>
      </c>
      <c r="E12" s="213">
        <f>+'ACCIONES 320101'!I14</f>
        <v>29465599.538560003</v>
      </c>
      <c r="F12" s="213">
        <f>+'ACCIONES 320101'!J14</f>
        <v>0</v>
      </c>
      <c r="G12" s="213">
        <f>+'ACCIONES 320101'!K14</f>
        <v>0</v>
      </c>
      <c r="H12" s="213">
        <f>+'ACCIONES 320101'!L14</f>
        <v>0</v>
      </c>
      <c r="I12" s="213">
        <f>+'ACCIONES 320101'!M14</f>
        <v>29465599.538560003</v>
      </c>
      <c r="J12" s="213">
        <f>+'ACCIONES 320101'!N14</f>
        <v>0</v>
      </c>
      <c r="K12" s="489">
        <f>+'ACCIONES 320101'!O14</f>
        <v>29465599.538560003</v>
      </c>
    </row>
    <row r="13" spans="1:11" ht="38.25">
      <c r="B13" s="5" t="s">
        <v>992</v>
      </c>
      <c r="C13" s="379" t="s">
        <v>1097</v>
      </c>
      <c r="D13" s="1652">
        <v>2</v>
      </c>
      <c r="E13" s="213">
        <f>+'ACCIONES 320101'!I18</f>
        <v>187890038.645134</v>
      </c>
      <c r="F13" s="213">
        <f>+'ACCIONES 320101'!J18</f>
        <v>284645059</v>
      </c>
      <c r="G13" s="213">
        <f>+'ACCIONES 320101'!K18</f>
        <v>64256000</v>
      </c>
      <c r="H13" s="213">
        <f>+'ACCIONES 320101'!L18</f>
        <v>20080000</v>
      </c>
      <c r="I13" s="213">
        <f>+'ACCIONES 320101'!M18</f>
        <v>556871097.64513397</v>
      </c>
      <c r="J13" s="213">
        <f>+'ACCIONES 320101'!N18</f>
        <v>0</v>
      </c>
      <c r="K13" s="489">
        <f>+'ACCIONES 320101'!O18</f>
        <v>556871097.64513397</v>
      </c>
    </row>
    <row r="14" spans="1:11" ht="32.25" customHeight="1" thickBot="1">
      <c r="B14" s="1846" t="s">
        <v>357</v>
      </c>
      <c r="C14" s="1723"/>
      <c r="D14" s="1723"/>
      <c r="E14" s="409">
        <f>+'ACCIONES 320101'!I30</f>
        <v>0</v>
      </c>
      <c r="F14" s="409">
        <f>+'ACCIONES 320101'!J30</f>
        <v>0</v>
      </c>
      <c r="G14" s="409">
        <f>+'ACCIONES 320101'!K30</f>
        <v>0</v>
      </c>
      <c r="H14" s="409">
        <f>+'ACCIONES 320101'!L30</f>
        <v>0</v>
      </c>
      <c r="I14" s="409">
        <f>+'ACCIONES 320101'!M30</f>
        <v>0</v>
      </c>
      <c r="J14" s="409">
        <f>+'ACCIONES 320101'!N30</f>
        <v>1360645292.8599999</v>
      </c>
      <c r="K14" s="1755">
        <f>+'ACCIONES 320101'!O30</f>
        <v>1360645292.8599999</v>
      </c>
    </row>
    <row r="15" spans="1:11" ht="15.75" customHeight="1" thickBot="1">
      <c r="B15" s="2132" t="s">
        <v>205</v>
      </c>
      <c r="C15" s="2133"/>
      <c r="D15" s="2134"/>
      <c r="E15" s="799">
        <f t="shared" ref="E15:K15" si="1">+E9</f>
        <v>279202038.38369405</v>
      </c>
      <c r="F15" s="799">
        <f t="shared" si="1"/>
        <v>397494659</v>
      </c>
      <c r="G15" s="799">
        <f t="shared" si="1"/>
        <v>64256000</v>
      </c>
      <c r="H15" s="799">
        <f t="shared" si="1"/>
        <v>20080000</v>
      </c>
      <c r="I15" s="799">
        <f t="shared" si="1"/>
        <v>761032697.38369393</v>
      </c>
      <c r="J15" s="799">
        <f t="shared" si="1"/>
        <v>1360645292.8599999</v>
      </c>
      <c r="K15" s="799">
        <f t="shared" si="1"/>
        <v>2121677990.2436938</v>
      </c>
    </row>
    <row r="16" spans="1:11" ht="13.5" thickBot="1">
      <c r="C16" s="1"/>
      <c r="D16" s="316"/>
    </row>
    <row r="17" spans="1:11" ht="13.5" thickBot="1">
      <c r="C17" s="1"/>
      <c r="D17" s="316"/>
      <c r="E17" s="188">
        <v>279202038.38369405</v>
      </c>
      <c r="F17" s="334">
        <v>397494659</v>
      </c>
      <c r="G17" s="334">
        <v>64256000</v>
      </c>
      <c r="H17" s="334">
        <v>20080000</v>
      </c>
      <c r="I17" s="253">
        <v>761032697.38369393</v>
      </c>
      <c r="J17" s="253">
        <v>1360645292.8599999</v>
      </c>
      <c r="K17" s="253">
        <v>2121677990.2436938</v>
      </c>
    </row>
    <row r="18" spans="1:11">
      <c r="C18" s="1"/>
      <c r="D18" s="316"/>
    </row>
    <row r="19" spans="1:11">
      <c r="E19" s="598">
        <f t="shared" ref="E19:K19" si="2">+E17-E15</f>
        <v>0</v>
      </c>
      <c r="F19" s="598">
        <f t="shared" si="2"/>
        <v>0</v>
      </c>
      <c r="G19" s="598">
        <f t="shared" si="2"/>
        <v>0</v>
      </c>
      <c r="H19" s="598">
        <f t="shared" si="2"/>
        <v>0</v>
      </c>
      <c r="I19" s="598">
        <f t="shared" si="2"/>
        <v>0</v>
      </c>
      <c r="J19" s="598">
        <f t="shared" si="2"/>
        <v>0</v>
      </c>
      <c r="K19" s="598">
        <f t="shared" si="2"/>
        <v>0</v>
      </c>
    </row>
    <row r="20" spans="1:11">
      <c r="K20" s="292"/>
    </row>
    <row r="21" spans="1:11">
      <c r="A21" s="392"/>
    </row>
    <row r="22" spans="1:11">
      <c r="A22" s="208"/>
    </row>
    <row r="23" spans="1:11">
      <c r="A23" s="208"/>
    </row>
    <row r="24" spans="1:11">
      <c r="A24" s="208"/>
    </row>
    <row r="25" spans="1:11">
      <c r="A25" s="392"/>
    </row>
    <row r="26" spans="1:11">
      <c r="A26" s="392"/>
    </row>
  </sheetData>
  <mergeCells count="17">
    <mergeCell ref="K7:K8"/>
    <mergeCell ref="J1:K1"/>
    <mergeCell ref="J2:K2"/>
    <mergeCell ref="J3:K3"/>
    <mergeCell ref="C1:I3"/>
    <mergeCell ref="B4:K4"/>
    <mergeCell ref="B5:K5"/>
    <mergeCell ref="C6:K6"/>
    <mergeCell ref="J7:J8"/>
    <mergeCell ref="I7:I8"/>
    <mergeCell ref="E7:H7"/>
    <mergeCell ref="B1:B3"/>
    <mergeCell ref="B15:D15"/>
    <mergeCell ref="C7:C8"/>
    <mergeCell ref="D7:D8"/>
    <mergeCell ref="A6:A8"/>
    <mergeCell ref="B6:B8"/>
  </mergeCells>
  <dataValidations disablePrompts="1" count="1">
    <dataValidation type="list" allowBlank="1" showInputMessage="1" showErrorMessage="1" sqref="C10:C11"/>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0" tint="-4.9989318521683403E-2"/>
  </sheetPr>
  <dimension ref="A1:Z454"/>
  <sheetViews>
    <sheetView topLeftCell="E13" zoomScale="80" zoomScaleNormal="80" workbookViewId="0">
      <selection activeCell="M16" sqref="M16"/>
    </sheetView>
  </sheetViews>
  <sheetFormatPr baseColWidth="10" defaultColWidth="11.42578125" defaultRowHeight="12.75"/>
  <cols>
    <col min="1" max="1" width="8.140625" style="1841" customWidth="1"/>
    <col min="2" max="2" width="8.42578125" style="1841" customWidth="1"/>
    <col min="3" max="3" width="39.28515625" style="150" customWidth="1"/>
    <col min="4" max="4" width="19" style="150" customWidth="1"/>
    <col min="5" max="5" width="16.7109375" style="150" customWidth="1"/>
    <col min="6" max="6" width="19.5703125" style="150" customWidth="1"/>
    <col min="7" max="7" width="10.42578125" style="150" customWidth="1"/>
    <col min="8" max="8" width="20.140625" style="150" customWidth="1"/>
    <col min="9" max="9" width="16.140625" style="151" customWidth="1"/>
    <col min="10" max="10" width="15.42578125" style="151" customWidth="1"/>
    <col min="11" max="11" width="14.140625" style="151" customWidth="1"/>
    <col min="12" max="12" width="12.28515625" style="151" customWidth="1"/>
    <col min="13" max="13" width="15.42578125" style="151" bestFit="1" customWidth="1"/>
    <col min="14" max="14" width="15.42578125" style="150" bestFit="1" customWidth="1"/>
    <col min="15" max="15" width="18.140625" style="150" customWidth="1"/>
    <col min="16" max="16" width="14.85546875" style="150" customWidth="1"/>
    <col min="17" max="17" width="16.28515625" style="150" customWidth="1"/>
    <col min="18" max="18" width="17" style="150" customWidth="1"/>
    <col min="19" max="19" width="16.28515625" style="150" customWidth="1"/>
    <col min="20" max="20" width="13.85546875" style="150" customWidth="1"/>
    <col min="21" max="21" width="14.5703125" style="150" customWidth="1"/>
    <col min="22" max="22" width="11.42578125" style="150"/>
    <col min="23" max="23" width="13.42578125" style="150" customWidth="1"/>
    <col min="24" max="24" width="13.5703125" style="150" bestFit="1" customWidth="1"/>
    <col min="25" max="25" width="22" style="150" bestFit="1" customWidth="1"/>
    <col min="26" max="26" width="17.85546875" style="150" customWidth="1"/>
    <col min="27" max="16384" width="11.42578125" style="150"/>
  </cols>
  <sheetData>
    <row r="1" spans="1:26" ht="15" customHeight="1" thickBot="1">
      <c r="C1" s="2151"/>
      <c r="D1" s="2163" t="s">
        <v>434</v>
      </c>
      <c r="E1" s="2164"/>
      <c r="F1" s="2164"/>
      <c r="G1" s="2164"/>
      <c r="H1" s="2164"/>
      <c r="I1" s="2164"/>
      <c r="J1" s="2164"/>
      <c r="K1" s="2164"/>
      <c r="L1" s="2164"/>
      <c r="M1" s="2165"/>
      <c r="N1" s="2137" t="s">
        <v>980</v>
      </c>
      <c r="O1" s="2138"/>
    </row>
    <row r="2" spans="1:26" ht="15.75" customHeight="1" thickBot="1">
      <c r="C2" s="2152"/>
      <c r="D2" s="2166"/>
      <c r="E2" s="2167"/>
      <c r="F2" s="2167"/>
      <c r="G2" s="2167"/>
      <c r="H2" s="2167"/>
      <c r="I2" s="2167"/>
      <c r="J2" s="2167"/>
      <c r="K2" s="2167"/>
      <c r="L2" s="2167"/>
      <c r="M2" s="2168"/>
      <c r="N2" s="2137" t="s">
        <v>365</v>
      </c>
      <c r="O2" s="2138"/>
    </row>
    <row r="3" spans="1:26" ht="15.75" customHeight="1" thickBot="1">
      <c r="C3" s="2153"/>
      <c r="D3" s="2169"/>
      <c r="E3" s="2170"/>
      <c r="F3" s="2170"/>
      <c r="G3" s="2170"/>
      <c r="H3" s="2170"/>
      <c r="I3" s="2170"/>
      <c r="J3" s="2170"/>
      <c r="K3" s="2170"/>
      <c r="L3" s="2170"/>
      <c r="M3" s="2171"/>
      <c r="N3" s="2137" t="s">
        <v>366</v>
      </c>
      <c r="O3" s="2138"/>
    </row>
    <row r="4" spans="1:26" s="1" customFormat="1" ht="15" customHeight="1" thickBot="1">
      <c r="A4" s="1842"/>
      <c r="B4" s="1842"/>
      <c r="C4" s="2145" t="s">
        <v>282</v>
      </c>
      <c r="D4" s="2146"/>
      <c r="E4" s="2146"/>
      <c r="F4" s="2146"/>
      <c r="G4" s="2146"/>
      <c r="H4" s="2146"/>
      <c r="I4" s="2146"/>
      <c r="J4" s="2146"/>
      <c r="K4" s="2146"/>
      <c r="L4" s="2146"/>
      <c r="M4" s="2146"/>
      <c r="N4" s="2146"/>
      <c r="O4" s="2147"/>
      <c r="P4" s="1">
        <v>569290118</v>
      </c>
      <c r="Q4" s="1035">
        <v>479709882</v>
      </c>
      <c r="R4" s="1">
        <v>284645059</v>
      </c>
    </row>
    <row r="5" spans="1:26" ht="15.75" customHeight="1" thickBot="1">
      <c r="C5" s="2145" t="s">
        <v>1389</v>
      </c>
      <c r="D5" s="2146"/>
      <c r="E5" s="2146"/>
      <c r="F5" s="2146"/>
      <c r="G5" s="2146"/>
      <c r="H5" s="2146"/>
      <c r="I5" s="2146"/>
      <c r="J5" s="2146"/>
      <c r="K5" s="2146"/>
      <c r="L5" s="2146"/>
      <c r="M5" s="2146"/>
      <c r="N5" s="2146"/>
      <c r="O5" s="2147"/>
    </row>
    <row r="6" spans="1:26" ht="26.25" customHeight="1" thickBot="1">
      <c r="A6" s="2159" t="s">
        <v>368</v>
      </c>
      <c r="B6" s="2159" t="s">
        <v>369</v>
      </c>
      <c r="C6" s="2178" t="s">
        <v>311</v>
      </c>
      <c r="D6" s="2178" t="s">
        <v>312</v>
      </c>
      <c r="E6" s="2180" t="s">
        <v>350</v>
      </c>
      <c r="F6" s="2178" t="s">
        <v>313</v>
      </c>
      <c r="G6" s="2178" t="s">
        <v>191</v>
      </c>
      <c r="H6" s="2172" t="s">
        <v>387</v>
      </c>
      <c r="I6" s="2148" t="s">
        <v>189</v>
      </c>
      <c r="J6" s="2149"/>
      <c r="K6" s="2149"/>
      <c r="L6" s="2150"/>
      <c r="M6" s="2173" t="s">
        <v>324</v>
      </c>
      <c r="N6" s="2160" t="s">
        <v>356</v>
      </c>
      <c r="O6" s="2160" t="s">
        <v>1125</v>
      </c>
      <c r="P6" s="745" t="s">
        <v>1280</v>
      </c>
      <c r="Q6" s="1024" t="s">
        <v>1276</v>
      </c>
      <c r="R6" s="1024" t="s">
        <v>1277</v>
      </c>
      <c r="S6" s="2156" t="s">
        <v>1278</v>
      </c>
      <c r="T6" s="2155" t="s">
        <v>1279</v>
      </c>
      <c r="U6" s="2155"/>
      <c r="V6" s="2155"/>
      <c r="W6" s="2155"/>
      <c r="X6" s="2155"/>
      <c r="Y6" s="2154" t="s">
        <v>1302</v>
      </c>
      <c r="Z6" s="2154"/>
    </row>
    <row r="7" spans="1:26" ht="27.75" customHeight="1" thickBot="1">
      <c r="A7" s="2159"/>
      <c r="B7" s="2159"/>
      <c r="C7" s="2179"/>
      <c r="D7" s="2179"/>
      <c r="E7" s="2180"/>
      <c r="F7" s="2179"/>
      <c r="G7" s="2179"/>
      <c r="H7" s="2172"/>
      <c r="I7" s="491" t="s">
        <v>208</v>
      </c>
      <c r="J7" s="491" t="s">
        <v>277</v>
      </c>
      <c r="K7" s="491" t="s">
        <v>192</v>
      </c>
      <c r="L7" s="798" t="s">
        <v>193</v>
      </c>
      <c r="M7" s="2174"/>
      <c r="N7" s="2161"/>
      <c r="O7" s="2161"/>
      <c r="S7" s="2156"/>
      <c r="T7" s="1026" t="s">
        <v>208</v>
      </c>
      <c r="U7" s="1026" t="s">
        <v>277</v>
      </c>
      <c r="V7" s="1026" t="s">
        <v>192</v>
      </c>
      <c r="W7" s="1026" t="s">
        <v>193</v>
      </c>
      <c r="X7" s="1026" t="s">
        <v>356</v>
      </c>
      <c r="Y7" s="157" t="s">
        <v>1288</v>
      </c>
      <c r="Z7" s="157" t="s">
        <v>1289</v>
      </c>
    </row>
    <row r="8" spans="1:26" ht="57.75" customHeight="1" thickBot="1">
      <c r="A8" s="1864">
        <v>201</v>
      </c>
      <c r="B8" s="1865"/>
      <c r="C8" s="154" t="s">
        <v>1425</v>
      </c>
      <c r="D8" s="195"/>
      <c r="E8" s="195"/>
      <c r="F8" s="169" t="s">
        <v>202</v>
      </c>
      <c r="G8" s="169">
        <v>100</v>
      </c>
      <c r="H8" s="169"/>
      <c r="I8" s="588">
        <f t="shared" ref="I8:O8" si="0">+I9+I12+I14+I18+I30</f>
        <v>279202038.38369405</v>
      </c>
      <c r="J8" s="588">
        <f t="shared" si="0"/>
        <v>397494659</v>
      </c>
      <c r="K8" s="588">
        <f t="shared" si="0"/>
        <v>64256000</v>
      </c>
      <c r="L8" s="588">
        <f t="shared" si="0"/>
        <v>20080000</v>
      </c>
      <c r="M8" s="588">
        <f t="shared" si="0"/>
        <v>761032697.38369393</v>
      </c>
      <c r="N8" s="588">
        <f t="shared" si="0"/>
        <v>1360645292.8599999</v>
      </c>
      <c r="O8" s="589">
        <f t="shared" si="0"/>
        <v>2121677990.2436938</v>
      </c>
      <c r="S8" s="1025">
        <f t="shared" ref="S8:S9" si="1">+P8-R8</f>
        <v>0</v>
      </c>
    </row>
    <row r="9" spans="1:26" ht="36.75" customHeight="1">
      <c r="A9" s="1866"/>
      <c r="B9" s="1867" t="s">
        <v>1458</v>
      </c>
      <c r="C9" s="194" t="s">
        <v>989</v>
      </c>
      <c r="D9" s="194"/>
      <c r="E9" s="194"/>
      <c r="F9" s="1771" t="s">
        <v>408</v>
      </c>
      <c r="G9" s="1771">
        <v>1</v>
      </c>
      <c r="H9" s="1771"/>
      <c r="I9" s="1772">
        <f>SUM(I10:I11)</f>
        <v>61846400.20000001</v>
      </c>
      <c r="J9" s="1772">
        <f t="shared" ref="J9:O9" si="2">SUM(J10:J11)</f>
        <v>0</v>
      </c>
      <c r="K9" s="1772">
        <f t="shared" si="2"/>
        <v>0</v>
      </c>
      <c r="L9" s="1772">
        <f t="shared" si="2"/>
        <v>0</v>
      </c>
      <c r="M9" s="1772">
        <f t="shared" si="2"/>
        <v>61846400.20000001</v>
      </c>
      <c r="N9" s="1772">
        <f t="shared" si="2"/>
        <v>0</v>
      </c>
      <c r="O9" s="1772">
        <f t="shared" si="2"/>
        <v>61846400.20000001</v>
      </c>
      <c r="P9" s="1025"/>
      <c r="Q9" s="1025"/>
      <c r="R9" s="1025"/>
      <c r="S9" s="1025">
        <f t="shared" si="1"/>
        <v>0</v>
      </c>
      <c r="T9" s="1025"/>
      <c r="U9" s="1025"/>
    </row>
    <row r="10" spans="1:26" s="1080" customFormat="1" ht="25.5">
      <c r="A10" s="1055"/>
      <c r="B10" s="1055"/>
      <c r="C10" s="1108" t="s">
        <v>393</v>
      </c>
      <c r="D10" s="1095" t="s">
        <v>211</v>
      </c>
      <c r="E10" s="1095">
        <v>83990</v>
      </c>
      <c r="F10" s="1096" t="s">
        <v>394</v>
      </c>
      <c r="G10" s="1096">
        <v>11</v>
      </c>
      <c r="H10" s="1757">
        <f>(5000000*1.12*1.004)</f>
        <v>5622400.0000000009</v>
      </c>
      <c r="I10" s="1109">
        <v>61183760</v>
      </c>
      <c r="J10" s="1109"/>
      <c r="K10" s="1109"/>
      <c r="L10" s="1109"/>
      <c r="M10" s="1097">
        <f>+SUM(I10:L10)</f>
        <v>61183760</v>
      </c>
      <c r="N10" s="1097"/>
      <c r="O10" s="1097">
        <f>+M10+N10</f>
        <v>61183760</v>
      </c>
      <c r="P10" s="1083">
        <v>61846400</v>
      </c>
      <c r="Q10" s="1083">
        <v>61183760</v>
      </c>
      <c r="R10" s="1083">
        <v>61183760</v>
      </c>
      <c r="S10" s="1083">
        <f>+P10-R10</f>
        <v>662640</v>
      </c>
      <c r="T10" s="1083">
        <v>662640</v>
      </c>
      <c r="U10" s="1083"/>
      <c r="Y10" s="1080" t="s">
        <v>11</v>
      </c>
      <c r="Z10" s="1080" t="s">
        <v>1303</v>
      </c>
    </row>
    <row r="11" spans="1:26" s="1084" customFormat="1" ht="29.25" customHeight="1">
      <c r="A11" s="1055"/>
      <c r="B11" s="1055"/>
      <c r="C11" s="1758" t="s">
        <v>393</v>
      </c>
      <c r="D11" s="1532" t="s">
        <v>211</v>
      </c>
      <c r="E11" s="1532">
        <v>83990</v>
      </c>
      <c r="F11" s="1759" t="s">
        <v>394</v>
      </c>
      <c r="G11" s="1759">
        <v>11</v>
      </c>
      <c r="H11" s="1760">
        <f>(5000000*1.12*1.004)</f>
        <v>5622400.0000000009</v>
      </c>
      <c r="I11" s="1761">
        <v>662640.20000001043</v>
      </c>
      <c r="J11" s="1761"/>
      <c r="K11" s="1761"/>
      <c r="L11" s="1761"/>
      <c r="M11" s="1762">
        <f>+SUM(I11:L11)</f>
        <v>662640.20000001043</v>
      </c>
      <c r="N11" s="1762"/>
      <c r="O11" s="1763">
        <f>+M11+N11</f>
        <v>662640.20000001043</v>
      </c>
      <c r="P11" s="1085">
        <v>61846400</v>
      </c>
      <c r="Q11" s="1085">
        <v>61183760</v>
      </c>
      <c r="R11" s="1085">
        <v>61183760</v>
      </c>
      <c r="S11" s="1085">
        <f>+P11-R11</f>
        <v>662640</v>
      </c>
      <c r="T11" s="1085">
        <v>662640</v>
      </c>
      <c r="U11" s="1085"/>
      <c r="Y11" s="1084" t="s">
        <v>11</v>
      </c>
      <c r="Z11" s="1084" t="s">
        <v>1303</v>
      </c>
    </row>
    <row r="12" spans="1:26" ht="49.5" customHeight="1">
      <c r="A12" s="1866"/>
      <c r="B12" s="1867" t="s">
        <v>1459</v>
      </c>
      <c r="C12" s="94" t="s">
        <v>991</v>
      </c>
      <c r="D12" s="94"/>
      <c r="E12" s="94"/>
      <c r="F12" s="887" t="s">
        <v>408</v>
      </c>
      <c r="G12" s="887">
        <v>2</v>
      </c>
      <c r="H12" s="887"/>
      <c r="I12" s="1756">
        <f t="shared" ref="I12:O12" si="3">+I13</f>
        <v>0</v>
      </c>
      <c r="J12" s="1756">
        <f t="shared" si="3"/>
        <v>112849600</v>
      </c>
      <c r="K12" s="1756">
        <f t="shared" si="3"/>
        <v>0</v>
      </c>
      <c r="L12" s="1756">
        <f t="shared" si="3"/>
        <v>0</v>
      </c>
      <c r="M12" s="1756">
        <f t="shared" si="3"/>
        <v>112849600</v>
      </c>
      <c r="N12" s="1756">
        <f t="shared" si="3"/>
        <v>0</v>
      </c>
      <c r="O12" s="1756">
        <f t="shared" si="3"/>
        <v>112849600</v>
      </c>
      <c r="P12" s="1025"/>
      <c r="Q12" s="1025"/>
      <c r="R12" s="1025"/>
      <c r="S12" s="1025">
        <f t="shared" ref="S12:S53" si="4">+P12-R12</f>
        <v>0</v>
      </c>
      <c r="T12" s="1025"/>
      <c r="U12" s="1025"/>
    </row>
    <row r="13" spans="1:26" s="1084" customFormat="1" ht="22.5" customHeight="1">
      <c r="A13" s="1055"/>
      <c r="B13" s="1055"/>
      <c r="C13" s="1106" t="s">
        <v>401</v>
      </c>
      <c r="D13" s="1089" t="s">
        <v>402</v>
      </c>
      <c r="E13" s="1089" t="s">
        <v>574</v>
      </c>
      <c r="F13" s="1090"/>
      <c r="G13" s="1090">
        <v>10</v>
      </c>
      <c r="H13" s="1091">
        <f>(8540000*1.004)</f>
        <v>8574160</v>
      </c>
      <c r="I13" s="1092"/>
      <c r="J13" s="1112">
        <v>112849600</v>
      </c>
      <c r="K13" s="1112"/>
      <c r="L13" s="1092"/>
      <c r="M13" s="1092">
        <f>+SUM(I13:L13)</f>
        <v>112849600</v>
      </c>
      <c r="N13" s="1092"/>
      <c r="O13" s="1092">
        <f>+M13+N13</f>
        <v>112849600</v>
      </c>
      <c r="P13" s="1085">
        <v>112849600</v>
      </c>
      <c r="Q13" s="1085"/>
      <c r="R13" s="1085"/>
      <c r="S13" s="1085">
        <f t="shared" si="4"/>
        <v>112849600</v>
      </c>
      <c r="T13" s="1085"/>
      <c r="U13" s="1085">
        <v>112849600</v>
      </c>
      <c r="Y13" s="1084" t="s">
        <v>11</v>
      </c>
      <c r="Z13" s="1084" t="s">
        <v>1306</v>
      </c>
    </row>
    <row r="14" spans="1:26" ht="32.25" customHeight="1">
      <c r="A14" s="1866"/>
      <c r="B14" s="1867" t="s">
        <v>1461</v>
      </c>
      <c r="C14" s="94" t="s">
        <v>990</v>
      </c>
      <c r="D14" s="94"/>
      <c r="E14" s="94"/>
      <c r="F14" s="887" t="s">
        <v>1096</v>
      </c>
      <c r="G14" s="887">
        <v>5</v>
      </c>
      <c r="H14" s="887"/>
      <c r="I14" s="1756">
        <f>SUM(I15:I17)</f>
        <v>29465599.538560003</v>
      </c>
      <c r="J14" s="1756">
        <f t="shared" ref="J14:O14" si="5">SUM(J15:J17)</f>
        <v>0</v>
      </c>
      <c r="K14" s="1756">
        <f t="shared" si="5"/>
        <v>0</v>
      </c>
      <c r="L14" s="1756">
        <f t="shared" si="5"/>
        <v>0</v>
      </c>
      <c r="M14" s="1756">
        <f t="shared" si="5"/>
        <v>29465599.538560003</v>
      </c>
      <c r="N14" s="1756">
        <f t="shared" si="5"/>
        <v>0</v>
      </c>
      <c r="O14" s="1756">
        <f t="shared" si="5"/>
        <v>29465599.538560003</v>
      </c>
      <c r="P14" s="1025"/>
      <c r="Q14" s="1025"/>
      <c r="R14" s="1025"/>
      <c r="S14" s="1025">
        <f t="shared" si="4"/>
        <v>0</v>
      </c>
      <c r="T14" s="1025"/>
      <c r="U14" s="1025"/>
    </row>
    <row r="15" spans="1:26" s="1080" customFormat="1" ht="23.25" customHeight="1">
      <c r="A15" s="1055"/>
      <c r="B15" s="1055"/>
      <c r="C15" s="1108" t="s">
        <v>575</v>
      </c>
      <c r="D15" s="1095" t="s">
        <v>211</v>
      </c>
      <c r="E15" s="1095">
        <v>83990</v>
      </c>
      <c r="F15" s="1096" t="s">
        <v>394</v>
      </c>
      <c r="G15" s="1096">
        <v>11</v>
      </c>
      <c r="H15" s="1757">
        <f>(3569377*1.12*1.004)</f>
        <v>4013693.0489600003</v>
      </c>
      <c r="I15" s="1097">
        <v>16465600</v>
      </c>
      <c r="J15" s="1097"/>
      <c r="K15" s="1097"/>
      <c r="L15" s="1097"/>
      <c r="M15" s="1097">
        <f>+SUM(I15:L15)</f>
        <v>16465600</v>
      </c>
      <c r="N15" s="1097"/>
      <c r="O15" s="1097">
        <f>+M15+N15</f>
        <v>16465600</v>
      </c>
      <c r="P15" s="1083">
        <v>44150623.538560003</v>
      </c>
      <c r="Q15" s="1083">
        <v>16465600</v>
      </c>
      <c r="R15" s="1083">
        <v>16465600</v>
      </c>
      <c r="S15" s="1083">
        <f>+P15-R15</f>
        <v>27685023.538560003</v>
      </c>
      <c r="T15" s="1083">
        <v>27685023.538560003</v>
      </c>
      <c r="U15" s="1083"/>
      <c r="Y15" s="1080" t="s">
        <v>11</v>
      </c>
      <c r="Z15" s="1080" t="s">
        <v>1307</v>
      </c>
    </row>
    <row r="16" spans="1:26" s="1084" customFormat="1" ht="23.25" customHeight="1">
      <c r="A16" s="1055"/>
      <c r="B16" s="1055"/>
      <c r="C16" s="1106" t="s">
        <v>1374</v>
      </c>
      <c r="D16" s="1089" t="s">
        <v>211</v>
      </c>
      <c r="E16" s="1089">
        <v>83990</v>
      </c>
      <c r="F16" s="1090" t="s">
        <v>394</v>
      </c>
      <c r="G16" s="1090">
        <v>11</v>
      </c>
      <c r="H16" s="1091">
        <f>(3569377*1.12*1.004)</f>
        <v>4013693.0489600003</v>
      </c>
      <c r="I16" s="1092">
        <v>13000000</v>
      </c>
      <c r="J16" s="1092"/>
      <c r="K16" s="1092"/>
      <c r="L16" s="1092"/>
      <c r="M16" s="1092">
        <f>+SUM(I16:L16)</f>
        <v>13000000</v>
      </c>
      <c r="N16" s="1092"/>
      <c r="O16" s="1092">
        <f>+M16+N16</f>
        <v>13000000</v>
      </c>
      <c r="P16" s="1085">
        <v>44150623.538560003</v>
      </c>
      <c r="Q16" s="1085">
        <v>16465600</v>
      </c>
      <c r="R16" s="1085">
        <v>16465600</v>
      </c>
      <c r="S16" s="1085">
        <f>+P16-R16</f>
        <v>27685023.538560003</v>
      </c>
      <c r="T16" s="1085">
        <v>27685023.538560003</v>
      </c>
      <c r="U16" s="1085"/>
      <c r="Y16" s="1084" t="s">
        <v>11</v>
      </c>
      <c r="Z16" s="1084" t="s">
        <v>1307</v>
      </c>
    </row>
    <row r="17" spans="1:26" s="1084" customFormat="1" ht="23.25" customHeight="1">
      <c r="A17" s="1055"/>
      <c r="B17" s="1055"/>
      <c r="C17" s="1106" t="s">
        <v>1373</v>
      </c>
      <c r="D17" s="1089" t="s">
        <v>211</v>
      </c>
      <c r="E17" s="1089">
        <v>83990</v>
      </c>
      <c r="F17" s="1090" t="s">
        <v>394</v>
      </c>
      <c r="G17" s="1090">
        <v>11</v>
      </c>
      <c r="H17" s="1091">
        <f>(3569377*1.12*1.004)</f>
        <v>4013693.0489600003</v>
      </c>
      <c r="I17" s="1764">
        <f>44150623.53856-I15-I16-14685024</f>
        <v>-0.46143999695777893</v>
      </c>
      <c r="J17" s="1092"/>
      <c r="K17" s="1092"/>
      <c r="L17" s="1092"/>
      <c r="M17" s="1092">
        <f>+SUM(I17:L17)</f>
        <v>-0.46143999695777893</v>
      </c>
      <c r="N17" s="1092"/>
      <c r="O17" s="1092">
        <f>+M17+N17</f>
        <v>-0.46143999695777893</v>
      </c>
      <c r="P17" s="1086">
        <v>44150623.538560003</v>
      </c>
      <c r="Q17" s="1085">
        <v>16465600</v>
      </c>
      <c r="R17" s="1085">
        <v>16465600</v>
      </c>
      <c r="S17" s="1085">
        <f>+P17-R17</f>
        <v>27685023.538560003</v>
      </c>
      <c r="T17" s="1085">
        <v>27685023.538560003</v>
      </c>
      <c r="U17" s="1085"/>
      <c r="Y17" s="1084" t="s">
        <v>11</v>
      </c>
      <c r="Z17" s="1084" t="s">
        <v>1307</v>
      </c>
    </row>
    <row r="18" spans="1:26" ht="45" customHeight="1">
      <c r="A18" s="1866"/>
      <c r="B18" s="1867" t="s">
        <v>1462</v>
      </c>
      <c r="C18" s="94" t="s">
        <v>992</v>
      </c>
      <c r="D18" s="94"/>
      <c r="E18" s="94"/>
      <c r="F18" s="887" t="s">
        <v>1097</v>
      </c>
      <c r="G18" s="887">
        <v>2</v>
      </c>
      <c r="H18" s="887"/>
      <c r="I18" s="1756">
        <f>SUM(I19:I29)</f>
        <v>187890038.645134</v>
      </c>
      <c r="J18" s="1756">
        <f t="shared" ref="J18:O18" si="6">SUM(J19:J29)</f>
        <v>284645059</v>
      </c>
      <c r="K18" s="1756">
        <f t="shared" si="6"/>
        <v>64256000</v>
      </c>
      <c r="L18" s="1756">
        <f t="shared" si="6"/>
        <v>20080000</v>
      </c>
      <c r="M18" s="1756">
        <f t="shared" si="6"/>
        <v>556871097.64513397</v>
      </c>
      <c r="N18" s="1756">
        <f t="shared" si="6"/>
        <v>0</v>
      </c>
      <c r="O18" s="1756">
        <f t="shared" si="6"/>
        <v>556871097.64513397</v>
      </c>
      <c r="P18" s="1025"/>
      <c r="Q18" s="1025"/>
      <c r="R18" s="1025"/>
      <c r="S18" s="1025">
        <f t="shared" si="4"/>
        <v>0</v>
      </c>
      <c r="T18" s="1025"/>
      <c r="U18" s="1025"/>
    </row>
    <row r="19" spans="1:26" s="1084" customFormat="1" ht="35.25" customHeight="1">
      <c r="A19" s="1055"/>
      <c r="B19" s="1055"/>
      <c r="C19" s="1106" t="s">
        <v>396</v>
      </c>
      <c r="D19" s="1089" t="s">
        <v>397</v>
      </c>
      <c r="E19" s="1089" t="s">
        <v>398</v>
      </c>
      <c r="F19" s="1090"/>
      <c r="G19" s="1090">
        <f>4000+2000+2000+4000+2000+2000</f>
        <v>16000</v>
      </c>
      <c r="H19" s="1765">
        <f>(20000000/G19)*1.004</f>
        <v>1255</v>
      </c>
      <c r="I19" s="1092"/>
      <c r="J19" s="1092"/>
      <c r="K19" s="1092"/>
      <c r="L19" s="1092">
        <v>20080000</v>
      </c>
      <c r="M19" s="1092">
        <f t="shared" ref="M19:M26" si="7">+SUM(I19:L19)</f>
        <v>20080000</v>
      </c>
      <c r="N19" s="1092"/>
      <c r="O19" s="1092">
        <f>+M19+N19</f>
        <v>20080000</v>
      </c>
      <c r="P19" s="1085">
        <v>20080000</v>
      </c>
      <c r="Q19" s="1085"/>
      <c r="R19" s="1085"/>
      <c r="S19" s="1085">
        <f t="shared" si="4"/>
        <v>20080000</v>
      </c>
      <c r="T19" s="1085"/>
      <c r="U19" s="1085"/>
      <c r="W19" s="1085">
        <v>20080000</v>
      </c>
      <c r="Y19" s="1084" t="s">
        <v>11</v>
      </c>
      <c r="Z19" s="1084" t="s">
        <v>1304</v>
      </c>
    </row>
    <row r="20" spans="1:26" s="1084" customFormat="1" ht="23.25" customHeight="1">
      <c r="A20" s="1055"/>
      <c r="B20" s="1055"/>
      <c r="C20" s="1106" t="s">
        <v>399</v>
      </c>
      <c r="D20" s="1089" t="s">
        <v>447</v>
      </c>
      <c r="E20" s="1089">
        <v>36490</v>
      </c>
      <c r="F20" s="1090" t="s">
        <v>571</v>
      </c>
      <c r="G20" s="1090">
        <v>10</v>
      </c>
      <c r="H20" s="1091">
        <f>(430000*1.12*1.004)</f>
        <v>483526.40000000008</v>
      </c>
      <c r="I20" s="1092">
        <f>+G20*H20+0.1</f>
        <v>4835264.1000000006</v>
      </c>
      <c r="J20" s="1092"/>
      <c r="K20" s="1092"/>
      <c r="L20" s="1092"/>
      <c r="M20" s="1092">
        <f t="shared" si="7"/>
        <v>4835264.1000000006</v>
      </c>
      <c r="N20" s="1092"/>
      <c r="O20" s="1092">
        <f t="shared" ref="O20:O26" si="8">+M20+N20</f>
        <v>4835264.1000000006</v>
      </c>
      <c r="P20" s="1085">
        <v>4835264.1000000006</v>
      </c>
      <c r="Q20" s="1085"/>
      <c r="R20" s="1085"/>
      <c r="S20" s="1085">
        <f t="shared" si="4"/>
        <v>4835264.1000000006</v>
      </c>
      <c r="T20" s="1085">
        <v>4835264.1000000006</v>
      </c>
      <c r="U20" s="1085"/>
      <c r="V20" s="1085"/>
      <c r="W20" s="1085"/>
      <c r="X20" s="1085"/>
      <c r="Y20" s="1084" t="s">
        <v>11</v>
      </c>
      <c r="Z20" s="1084" t="s">
        <v>1305</v>
      </c>
    </row>
    <row r="21" spans="1:26" s="1084" customFormat="1" ht="23.25" customHeight="1">
      <c r="A21" s="1055"/>
      <c r="B21" s="1055"/>
      <c r="C21" s="2162" t="s">
        <v>400</v>
      </c>
      <c r="D21" s="1089" t="s">
        <v>374</v>
      </c>
      <c r="E21" s="1089">
        <v>1919</v>
      </c>
      <c r="F21" s="1090" t="s">
        <v>571</v>
      </c>
      <c r="G21" s="1090">
        <v>2</v>
      </c>
      <c r="H21" s="1091">
        <f>INT(1040000*1.12*1.004)</f>
        <v>1169459</v>
      </c>
      <c r="I21" s="1092">
        <f>+G21*H21</f>
        <v>2338918</v>
      </c>
      <c r="J21" s="1092"/>
      <c r="K21" s="1092"/>
      <c r="L21" s="1092"/>
      <c r="M21" s="1092">
        <f t="shared" si="7"/>
        <v>2338918</v>
      </c>
      <c r="N21" s="1092"/>
      <c r="O21" s="1092">
        <f t="shared" si="8"/>
        <v>2338918</v>
      </c>
      <c r="P21" s="1085">
        <v>2338918</v>
      </c>
      <c r="Q21" s="1085"/>
      <c r="R21" s="1085"/>
      <c r="S21" s="1085">
        <f t="shared" si="4"/>
        <v>2338918</v>
      </c>
      <c r="T21" s="1085">
        <v>2338918</v>
      </c>
      <c r="U21" s="1085"/>
      <c r="V21" s="1085"/>
      <c r="W21" s="1085"/>
      <c r="X21" s="1085"/>
      <c r="Y21" s="1084" t="s">
        <v>11</v>
      </c>
      <c r="Z21" s="1084" t="s">
        <v>1305</v>
      </c>
    </row>
    <row r="22" spans="1:26" s="1084" customFormat="1" ht="23.25" customHeight="1">
      <c r="A22" s="1055"/>
      <c r="B22" s="1055"/>
      <c r="C22" s="2162"/>
      <c r="D22" s="1089" t="s">
        <v>553</v>
      </c>
      <c r="E22" s="1089">
        <v>4621301</v>
      </c>
      <c r="F22" s="1090" t="s">
        <v>571</v>
      </c>
      <c r="G22" s="1090">
        <v>2</v>
      </c>
      <c r="H22" s="1091">
        <f>(1800000*1.12*1.004)</f>
        <v>2024064.0000000002</v>
      </c>
      <c r="I22" s="1092">
        <f>+G22*H22</f>
        <v>4048128.0000000005</v>
      </c>
      <c r="J22" s="1092"/>
      <c r="K22" s="1092"/>
      <c r="L22" s="1092"/>
      <c r="M22" s="1092">
        <f t="shared" si="7"/>
        <v>4048128.0000000005</v>
      </c>
      <c r="N22" s="1092"/>
      <c r="O22" s="1092">
        <f t="shared" si="8"/>
        <v>4048128.0000000005</v>
      </c>
      <c r="P22" s="1085">
        <v>4048128.0000000005</v>
      </c>
      <c r="Q22" s="1085"/>
      <c r="R22" s="1085"/>
      <c r="S22" s="1085">
        <f t="shared" si="4"/>
        <v>4048128.0000000005</v>
      </c>
      <c r="T22" s="1085">
        <v>4048128.0000000005</v>
      </c>
      <c r="U22" s="1085"/>
      <c r="V22" s="1085"/>
      <c r="W22" s="1085"/>
      <c r="X22" s="1085"/>
      <c r="Y22" s="1084" t="s">
        <v>11</v>
      </c>
      <c r="Z22" s="1084" t="s">
        <v>1305</v>
      </c>
    </row>
    <row r="23" spans="1:26" s="1084" customFormat="1" ht="23.25" customHeight="1">
      <c r="A23" s="1055"/>
      <c r="B23" s="1055"/>
      <c r="C23" s="2162"/>
      <c r="D23" s="1089" t="s">
        <v>447</v>
      </c>
      <c r="E23" s="1089" t="s">
        <v>558</v>
      </c>
      <c r="F23" s="1090" t="s">
        <v>571</v>
      </c>
      <c r="G23" s="1090">
        <v>2</v>
      </c>
      <c r="H23" s="1091">
        <f>610000*1.12*1.004</f>
        <v>685932.80000000016</v>
      </c>
      <c r="I23" s="1092">
        <f>+G23*H23</f>
        <v>1371865.6000000003</v>
      </c>
      <c r="J23" s="1092"/>
      <c r="K23" s="1092"/>
      <c r="L23" s="1092"/>
      <c r="M23" s="1092">
        <f t="shared" si="7"/>
        <v>1371865.6000000003</v>
      </c>
      <c r="N23" s="1092"/>
      <c r="O23" s="1092">
        <f t="shared" si="8"/>
        <v>1371865.6000000003</v>
      </c>
      <c r="P23" s="1085">
        <v>1371865.6000000003</v>
      </c>
      <c r="Q23" s="1085"/>
      <c r="R23" s="1085"/>
      <c r="S23" s="1085">
        <f t="shared" si="4"/>
        <v>1371865.6000000003</v>
      </c>
      <c r="T23" s="1085">
        <v>1371865.6000000003</v>
      </c>
      <c r="U23" s="1085"/>
      <c r="V23" s="1085"/>
      <c r="W23" s="1085"/>
      <c r="X23" s="1085"/>
      <c r="Y23" s="1084" t="s">
        <v>11</v>
      </c>
      <c r="Z23" s="1084" t="s">
        <v>1305</v>
      </c>
    </row>
    <row r="24" spans="1:26" s="1084" customFormat="1" ht="23.25" customHeight="1">
      <c r="A24" s="1055"/>
      <c r="B24" s="1055"/>
      <c r="C24" s="2162"/>
      <c r="D24" s="1089" t="s">
        <v>554</v>
      </c>
      <c r="E24" s="1089" t="s">
        <v>559</v>
      </c>
      <c r="F24" s="1090" t="s">
        <v>571</v>
      </c>
      <c r="G24" s="1090">
        <v>2</v>
      </c>
      <c r="H24" s="1091">
        <f>5150000*1.12*1.004</f>
        <v>5791072.0000000009</v>
      </c>
      <c r="I24" s="1092">
        <f>+G24*H24</f>
        <v>11582144.000000002</v>
      </c>
      <c r="J24" s="1092"/>
      <c r="K24" s="1092"/>
      <c r="L24" s="1092"/>
      <c r="M24" s="1092">
        <f t="shared" si="7"/>
        <v>11582144.000000002</v>
      </c>
      <c r="N24" s="1092"/>
      <c r="O24" s="1092">
        <f t="shared" si="8"/>
        <v>11582144.000000002</v>
      </c>
      <c r="P24" s="1085">
        <v>11582144.000000002</v>
      </c>
      <c r="Q24" s="1085"/>
      <c r="R24" s="1085"/>
      <c r="S24" s="1085">
        <f t="shared" si="4"/>
        <v>11582144.000000002</v>
      </c>
      <c r="T24" s="1085">
        <v>11582144.000000002</v>
      </c>
      <c r="U24" s="1085"/>
      <c r="V24" s="1085"/>
      <c r="W24" s="1085"/>
      <c r="X24" s="1085"/>
      <c r="Y24" s="1084" t="s">
        <v>11</v>
      </c>
      <c r="Z24" s="1084" t="s">
        <v>1305</v>
      </c>
    </row>
    <row r="25" spans="1:26" s="1084" customFormat="1" ht="23.25" customHeight="1">
      <c r="A25" s="1055"/>
      <c r="B25" s="1055"/>
      <c r="C25" s="1107" t="s">
        <v>572</v>
      </c>
      <c r="D25" s="1089" t="s">
        <v>447</v>
      </c>
      <c r="E25" s="1089" t="s">
        <v>573</v>
      </c>
      <c r="F25" s="1090" t="s">
        <v>571</v>
      </c>
      <c r="G25" s="1090">
        <v>1</v>
      </c>
      <c r="H25" s="1091">
        <v>40000000</v>
      </c>
      <c r="I25" s="1092">
        <f>+G25*H25</f>
        <v>40000000</v>
      </c>
      <c r="J25" s="1092"/>
      <c r="K25" s="1092"/>
      <c r="L25" s="1092"/>
      <c r="M25" s="1092">
        <f t="shared" si="7"/>
        <v>40000000</v>
      </c>
      <c r="N25" s="1092"/>
      <c r="O25" s="1092">
        <f t="shared" si="8"/>
        <v>40000000</v>
      </c>
      <c r="P25" s="1085">
        <v>40000000</v>
      </c>
      <c r="Q25" s="1085"/>
      <c r="R25" s="1085"/>
      <c r="S25" s="1085">
        <f>+P25-R25</f>
        <v>40000000</v>
      </c>
      <c r="T25" s="1085">
        <v>40000000</v>
      </c>
      <c r="U25" s="1085"/>
      <c r="V25" s="1085"/>
      <c r="W25" s="1085"/>
      <c r="X25" s="1085"/>
      <c r="Y25" s="1084" t="s">
        <v>11</v>
      </c>
      <c r="Z25" s="1084" t="s">
        <v>1305</v>
      </c>
    </row>
    <row r="26" spans="1:26" s="1084" customFormat="1" ht="23.25" customHeight="1">
      <c r="A26" s="1055"/>
      <c r="B26" s="1055"/>
      <c r="C26" s="1106" t="s">
        <v>719</v>
      </c>
      <c r="D26" s="1089"/>
      <c r="E26" s="1089"/>
      <c r="F26" s="1090"/>
      <c r="G26" s="1090"/>
      <c r="H26" s="1090"/>
      <c r="I26" s="1092"/>
      <c r="J26" s="1092">
        <f>1200000000-151000000-764354941</f>
        <v>284645059</v>
      </c>
      <c r="K26" s="1092">
        <f>151000000-86744000</f>
        <v>64256000</v>
      </c>
      <c r="L26" s="1092"/>
      <c r="M26" s="1092">
        <f t="shared" si="7"/>
        <v>348901059</v>
      </c>
      <c r="N26" s="1092"/>
      <c r="O26" s="1092">
        <f t="shared" si="8"/>
        <v>348901059</v>
      </c>
      <c r="P26" s="1085">
        <v>1200000000</v>
      </c>
      <c r="Q26" s="1085"/>
      <c r="R26" s="1085"/>
      <c r="S26" s="1085">
        <f>+P26-Q26</f>
        <v>1200000000</v>
      </c>
      <c r="T26" s="1085"/>
      <c r="U26" s="1085"/>
      <c r="V26" s="1085"/>
      <c r="W26" s="1085"/>
      <c r="X26" s="1085"/>
      <c r="Y26" s="1084" t="s">
        <v>11</v>
      </c>
      <c r="Z26" s="1084" t="s">
        <v>1305</v>
      </c>
    </row>
    <row r="27" spans="1:26" s="1080" customFormat="1" ht="25.5">
      <c r="A27" s="1055"/>
      <c r="B27" s="1055"/>
      <c r="C27" s="1108" t="s">
        <v>1368</v>
      </c>
      <c r="D27" s="1095" t="s">
        <v>381</v>
      </c>
      <c r="E27" s="1095" t="s">
        <v>403</v>
      </c>
      <c r="F27" s="1096"/>
      <c r="G27" s="1096"/>
      <c r="H27" s="1096"/>
      <c r="I27" s="1097">
        <v>12000000</v>
      </c>
      <c r="J27" s="1097"/>
      <c r="K27" s="1097"/>
      <c r="L27" s="1097"/>
      <c r="M27" s="1097">
        <f>+SUM(I27:L27)</f>
        <v>12000000</v>
      </c>
      <c r="N27" s="1097"/>
      <c r="O27" s="1097">
        <f>+M27+N27</f>
        <v>12000000</v>
      </c>
      <c r="P27" s="1083">
        <v>12000000</v>
      </c>
      <c r="Q27" s="1083">
        <v>12000000</v>
      </c>
      <c r="R27" s="1083">
        <v>12000000</v>
      </c>
      <c r="S27" s="1083">
        <f>+P27-R27</f>
        <v>0</v>
      </c>
      <c r="T27" s="1083"/>
      <c r="U27" s="1083"/>
      <c r="V27" s="1083"/>
      <c r="W27" s="1083"/>
      <c r="X27" s="1083"/>
      <c r="Y27" s="1080" t="s">
        <v>212</v>
      </c>
      <c r="Z27" s="1080" t="s">
        <v>1308</v>
      </c>
    </row>
    <row r="28" spans="1:26" s="1080" customFormat="1" ht="15">
      <c r="A28" s="1055"/>
      <c r="B28" s="1055"/>
      <c r="C28" s="1108" t="s">
        <v>204</v>
      </c>
      <c r="D28" s="1095" t="s">
        <v>404</v>
      </c>
      <c r="E28" s="1095"/>
      <c r="F28" s="1096" t="s">
        <v>238</v>
      </c>
      <c r="G28" s="1096">
        <v>1</v>
      </c>
      <c r="H28" s="1096"/>
      <c r="I28" s="1109">
        <v>36369940</v>
      </c>
      <c r="J28" s="1109"/>
      <c r="K28" s="1109"/>
      <c r="L28" s="1109"/>
      <c r="M28" s="1110">
        <f>+SUM(I28:L28)</f>
        <v>36369940</v>
      </c>
      <c r="N28" s="1097"/>
      <c r="O28" s="1097">
        <f>+M28+N28</f>
        <v>36369940</v>
      </c>
      <c r="P28" s="1083">
        <v>111713718.945134</v>
      </c>
      <c r="Q28" s="1083">
        <v>29096690</v>
      </c>
      <c r="R28" s="1083">
        <v>29096690</v>
      </c>
      <c r="S28" s="1083">
        <f>+P28-R28</f>
        <v>82617028.945133999</v>
      </c>
      <c r="T28" s="1083">
        <v>82617028.945133999</v>
      </c>
      <c r="U28" s="1083"/>
      <c r="V28" s="1083"/>
      <c r="W28" s="1083"/>
      <c r="X28" s="1083"/>
      <c r="Y28" s="1080" t="s">
        <v>212</v>
      </c>
      <c r="Z28" s="1080" t="s">
        <v>1308</v>
      </c>
    </row>
    <row r="29" spans="1:26" s="1084" customFormat="1" ht="15">
      <c r="A29" s="1055"/>
      <c r="B29" s="1055"/>
      <c r="C29" s="1106" t="s">
        <v>204</v>
      </c>
      <c r="D29" s="1089" t="s">
        <v>404</v>
      </c>
      <c r="E29" s="1089"/>
      <c r="F29" s="1090" t="s">
        <v>238</v>
      </c>
      <c r="G29" s="1090">
        <v>1</v>
      </c>
      <c r="H29" s="1090"/>
      <c r="I29" s="1387">
        <f>111713718.945134-I28</f>
        <v>75343778.945133999</v>
      </c>
      <c r="J29" s="1387"/>
      <c r="K29" s="1387"/>
      <c r="L29" s="1387"/>
      <c r="M29" s="1215">
        <f>+SUM(I29:L29)</f>
        <v>75343778.945133999</v>
      </c>
      <c r="N29" s="1092"/>
      <c r="O29" s="1092">
        <f>+M29+N29</f>
        <v>75343778.945133999</v>
      </c>
      <c r="P29" s="1085">
        <v>111713718.945134</v>
      </c>
      <c r="Q29" s="1085">
        <v>29096690</v>
      </c>
      <c r="R29" s="1085">
        <v>29096690</v>
      </c>
      <c r="S29" s="1085">
        <f>+P29-R29</f>
        <v>82617028.945133999</v>
      </c>
      <c r="T29" s="1085">
        <v>82617028.945133999</v>
      </c>
      <c r="U29" s="1085"/>
      <c r="V29" s="1085"/>
      <c r="W29" s="1085"/>
      <c r="X29" s="1085"/>
      <c r="Y29" s="1084" t="s">
        <v>212</v>
      </c>
      <c r="Z29" s="1084" t="s">
        <v>1308</v>
      </c>
    </row>
    <row r="30" spans="1:26" ht="25.5" customHeight="1">
      <c r="A30" s="1869"/>
      <c r="B30" s="1870"/>
      <c r="C30" s="1871" t="s">
        <v>357</v>
      </c>
      <c r="D30" s="94"/>
      <c r="E30" s="887"/>
      <c r="F30" s="95" t="s">
        <v>198</v>
      </c>
      <c r="G30" s="887">
        <v>1</v>
      </c>
      <c r="H30" s="887"/>
      <c r="I30" s="1756">
        <f t="shared" ref="I30:O30" si="9">+SUM(I31:I53)</f>
        <v>0</v>
      </c>
      <c r="J30" s="1756">
        <f t="shared" si="9"/>
        <v>0</v>
      </c>
      <c r="K30" s="1756">
        <f t="shared" si="9"/>
        <v>0</v>
      </c>
      <c r="L30" s="1756">
        <f t="shared" si="9"/>
        <v>0</v>
      </c>
      <c r="M30" s="1756">
        <f t="shared" si="9"/>
        <v>0</v>
      </c>
      <c r="N30" s="1756">
        <f t="shared" si="9"/>
        <v>1360645292.8599999</v>
      </c>
      <c r="O30" s="1756">
        <f t="shared" si="9"/>
        <v>1360645292.8599999</v>
      </c>
      <c r="P30" s="1025"/>
      <c r="Q30" s="1025"/>
      <c r="R30" s="1025"/>
      <c r="S30" s="1025">
        <f t="shared" si="4"/>
        <v>0</v>
      </c>
      <c r="T30" s="1025"/>
      <c r="U30" s="1025"/>
      <c r="V30" s="1025"/>
      <c r="W30" s="1025"/>
      <c r="X30" s="1025"/>
    </row>
    <row r="31" spans="1:26" ht="15.6" customHeight="1">
      <c r="B31" s="1868"/>
      <c r="C31" s="1766" t="s">
        <v>817</v>
      </c>
      <c r="D31" s="379" t="s">
        <v>211</v>
      </c>
      <c r="E31" s="1652">
        <v>83990</v>
      </c>
      <c r="F31" s="1652" t="s">
        <v>198</v>
      </c>
      <c r="G31" s="1652">
        <v>1</v>
      </c>
      <c r="H31" s="595"/>
      <c r="I31" s="481"/>
      <c r="J31" s="481"/>
      <c r="K31" s="481"/>
      <c r="L31" s="481"/>
      <c r="M31" s="481"/>
      <c r="N31" s="481">
        <v>96660000</v>
      </c>
      <c r="O31" s="481">
        <f t="shared" ref="O31:O53" si="10">+M31+N31</f>
        <v>96660000</v>
      </c>
      <c r="P31" s="1025">
        <v>96660000</v>
      </c>
      <c r="Q31" s="1025">
        <v>96660000</v>
      </c>
      <c r="R31" s="1025"/>
      <c r="S31" s="1025">
        <f>+P31-Q31</f>
        <v>0</v>
      </c>
      <c r="T31" s="1025"/>
      <c r="U31" s="1025"/>
      <c r="V31" s="1025"/>
      <c r="W31" s="1025"/>
      <c r="X31" s="1025"/>
      <c r="Y31" s="150" t="s">
        <v>11</v>
      </c>
      <c r="Z31" s="150" t="s">
        <v>357</v>
      </c>
    </row>
    <row r="32" spans="1:26" ht="15.6" customHeight="1">
      <c r="B32" s="1868"/>
      <c r="C32" s="1766" t="s">
        <v>818</v>
      </c>
      <c r="D32" s="379" t="s">
        <v>211</v>
      </c>
      <c r="E32" s="1652">
        <v>83990</v>
      </c>
      <c r="F32" s="1652" t="s">
        <v>198</v>
      </c>
      <c r="G32" s="1652">
        <v>1</v>
      </c>
      <c r="H32" s="595"/>
      <c r="I32" s="481"/>
      <c r="J32" s="481"/>
      <c r="K32" s="481"/>
      <c r="L32" s="481"/>
      <c r="M32" s="481"/>
      <c r="N32" s="481">
        <v>31504000</v>
      </c>
      <c r="O32" s="481">
        <f t="shared" si="10"/>
        <v>31504000</v>
      </c>
      <c r="P32" s="1025">
        <v>31504000</v>
      </c>
      <c r="Q32" s="1025">
        <v>31504000</v>
      </c>
      <c r="R32" s="1025"/>
      <c r="S32" s="1025">
        <f>+P32-Q32</f>
        <v>0</v>
      </c>
      <c r="T32" s="1025"/>
      <c r="U32" s="1025"/>
      <c r="V32" s="1025"/>
      <c r="W32" s="1025"/>
      <c r="X32" s="1025"/>
      <c r="Y32" s="150" t="s">
        <v>11</v>
      </c>
      <c r="Z32" s="150" t="s">
        <v>357</v>
      </c>
    </row>
    <row r="33" spans="2:26" ht="15.6" customHeight="1">
      <c r="B33" s="1868"/>
      <c r="C33" s="1766" t="s">
        <v>819</v>
      </c>
      <c r="D33" s="379" t="s">
        <v>211</v>
      </c>
      <c r="E33" s="1652">
        <v>83990</v>
      </c>
      <c r="F33" s="1652" t="s">
        <v>198</v>
      </c>
      <c r="G33" s="1652">
        <v>1</v>
      </c>
      <c r="H33" s="595"/>
      <c r="I33" s="481"/>
      <c r="J33" s="481"/>
      <c r="K33" s="481"/>
      <c r="L33" s="481"/>
      <c r="M33" s="481"/>
      <c r="N33" s="481">
        <v>624581177</v>
      </c>
      <c r="O33" s="481">
        <f t="shared" si="10"/>
        <v>624581177</v>
      </c>
      <c r="P33" s="2157">
        <f>SUM(O33:O53)</f>
        <v>1232481292.8599999</v>
      </c>
      <c r="Q33" s="2158">
        <v>1232481292.8599999</v>
      </c>
      <c r="R33" s="2158">
        <v>1232481292.8599999</v>
      </c>
      <c r="S33" s="2158">
        <f>+P33-R33</f>
        <v>0</v>
      </c>
      <c r="T33" s="1025"/>
      <c r="U33" s="1025"/>
      <c r="V33" s="1025"/>
      <c r="W33" s="1025"/>
      <c r="X33" s="1025"/>
      <c r="Y33" s="150" t="s">
        <v>11</v>
      </c>
      <c r="Z33" s="150" t="s">
        <v>357</v>
      </c>
    </row>
    <row r="34" spans="2:26" ht="15.6" customHeight="1">
      <c r="B34" s="1868"/>
      <c r="C34" s="2181" t="s">
        <v>820</v>
      </c>
      <c r="D34" s="2183" t="s">
        <v>211</v>
      </c>
      <c r="E34" s="1652">
        <v>83990</v>
      </c>
      <c r="F34" s="1652" t="s">
        <v>198</v>
      </c>
      <c r="G34" s="1652">
        <v>1</v>
      </c>
      <c r="H34" s="595"/>
      <c r="I34" s="481"/>
      <c r="J34" s="481"/>
      <c r="K34" s="481"/>
      <c r="L34" s="481"/>
      <c r="M34" s="481"/>
      <c r="N34" s="481">
        <v>385214320</v>
      </c>
      <c r="O34" s="481">
        <f t="shared" si="10"/>
        <v>385214320</v>
      </c>
      <c r="P34" s="2157"/>
      <c r="Q34" s="2158"/>
      <c r="R34" s="2158"/>
      <c r="S34" s="2158">
        <f t="shared" si="4"/>
        <v>0</v>
      </c>
      <c r="T34" s="1025"/>
      <c r="U34" s="1025"/>
      <c r="V34" s="1025"/>
      <c r="W34" s="1025"/>
      <c r="X34" s="1025"/>
      <c r="Y34" s="150" t="s">
        <v>11</v>
      </c>
      <c r="Z34" s="150" t="s">
        <v>357</v>
      </c>
    </row>
    <row r="35" spans="2:26" ht="15.6" customHeight="1">
      <c r="B35" s="1868"/>
      <c r="C35" s="2181"/>
      <c r="D35" s="2183"/>
      <c r="E35" s="1652">
        <v>81136</v>
      </c>
      <c r="F35" s="1652" t="s">
        <v>198</v>
      </c>
      <c r="G35" s="1652">
        <v>1</v>
      </c>
      <c r="H35" s="595"/>
      <c r="I35" s="481"/>
      <c r="J35" s="481"/>
      <c r="K35" s="481"/>
      <c r="L35" s="481"/>
      <c r="M35" s="481"/>
      <c r="N35" s="481">
        <v>17500000</v>
      </c>
      <c r="O35" s="481">
        <f t="shared" si="10"/>
        <v>17500000</v>
      </c>
      <c r="P35" s="2157"/>
      <c r="Q35" s="2158"/>
      <c r="R35" s="2158"/>
      <c r="S35" s="2158">
        <f t="shared" si="4"/>
        <v>0</v>
      </c>
      <c r="T35" s="1025"/>
      <c r="U35" s="1025"/>
      <c r="V35" s="1025"/>
      <c r="W35" s="1025"/>
      <c r="X35" s="1025"/>
      <c r="Y35" s="150" t="s">
        <v>11</v>
      </c>
      <c r="Z35" s="150" t="s">
        <v>357</v>
      </c>
    </row>
    <row r="36" spans="2:26" ht="15.6" customHeight="1">
      <c r="B36" s="1868"/>
      <c r="C36" s="2181"/>
      <c r="D36" s="379" t="s">
        <v>447</v>
      </c>
      <c r="E36" s="1652">
        <v>3465401</v>
      </c>
      <c r="F36" s="1652" t="s">
        <v>198</v>
      </c>
      <c r="G36" s="1652">
        <v>1</v>
      </c>
      <c r="H36" s="595"/>
      <c r="I36" s="481"/>
      <c r="J36" s="481"/>
      <c r="K36" s="481"/>
      <c r="L36" s="481"/>
      <c r="M36" s="481"/>
      <c r="N36" s="481">
        <v>0</v>
      </c>
      <c r="O36" s="481">
        <f t="shared" si="10"/>
        <v>0</v>
      </c>
      <c r="P36" s="2157"/>
      <c r="Q36" s="2158"/>
      <c r="R36" s="2158"/>
      <c r="S36" s="2158">
        <f t="shared" si="4"/>
        <v>0</v>
      </c>
      <c r="T36" s="1025"/>
      <c r="U36" s="1025"/>
      <c r="V36" s="1025"/>
      <c r="W36" s="1025"/>
      <c r="X36" s="1025"/>
      <c r="Y36" s="150" t="s">
        <v>11</v>
      </c>
      <c r="Z36" s="150" t="s">
        <v>357</v>
      </c>
    </row>
    <row r="37" spans="2:26" ht="15.6" customHeight="1">
      <c r="B37" s="1868"/>
      <c r="C37" s="2181"/>
      <c r="D37" s="2183" t="s">
        <v>381</v>
      </c>
      <c r="E37" s="1652">
        <v>62173</v>
      </c>
      <c r="F37" s="1652" t="s">
        <v>198</v>
      </c>
      <c r="G37" s="1652">
        <v>1</v>
      </c>
      <c r="H37" s="595"/>
      <c r="I37" s="481"/>
      <c r="J37" s="481"/>
      <c r="K37" s="481"/>
      <c r="L37" s="481"/>
      <c r="M37" s="481"/>
      <c r="N37" s="481">
        <v>361200</v>
      </c>
      <c r="O37" s="481">
        <f t="shared" si="10"/>
        <v>361200</v>
      </c>
      <c r="P37" s="2157"/>
      <c r="Q37" s="2158"/>
      <c r="R37" s="2158"/>
      <c r="S37" s="2158">
        <f t="shared" si="4"/>
        <v>0</v>
      </c>
      <c r="T37" s="1025"/>
      <c r="U37" s="1025"/>
      <c r="V37" s="1025"/>
      <c r="W37" s="1025"/>
      <c r="X37" s="1025"/>
      <c r="Y37" s="150" t="s">
        <v>11</v>
      </c>
      <c r="Z37" s="150" t="s">
        <v>357</v>
      </c>
    </row>
    <row r="38" spans="2:26" ht="15.6" customHeight="1">
      <c r="B38" s="1868"/>
      <c r="C38" s="2181"/>
      <c r="D38" s="2183"/>
      <c r="E38" s="1652">
        <v>62199</v>
      </c>
      <c r="F38" s="1652" t="s">
        <v>198</v>
      </c>
      <c r="G38" s="1652">
        <v>1</v>
      </c>
      <c r="H38" s="595"/>
      <c r="I38" s="481"/>
      <c r="J38" s="481"/>
      <c r="K38" s="481"/>
      <c r="L38" s="481"/>
      <c r="M38" s="481"/>
      <c r="N38" s="481">
        <v>2343000</v>
      </c>
      <c r="O38" s="481">
        <f t="shared" si="10"/>
        <v>2343000</v>
      </c>
      <c r="P38" s="2157"/>
      <c r="Q38" s="2158"/>
      <c r="R38" s="2158"/>
      <c r="S38" s="2158">
        <f t="shared" si="4"/>
        <v>0</v>
      </c>
      <c r="T38" s="1025"/>
      <c r="U38" s="1025"/>
      <c r="V38" s="1025"/>
      <c r="W38" s="1025"/>
      <c r="X38" s="1025"/>
      <c r="Y38" s="150" t="s">
        <v>11</v>
      </c>
      <c r="Z38" s="150" t="s">
        <v>357</v>
      </c>
    </row>
    <row r="39" spans="2:26" ht="15.6" customHeight="1">
      <c r="B39" s="1868"/>
      <c r="C39" s="2181"/>
      <c r="D39" s="2183"/>
      <c r="E39" s="1652">
        <v>67990</v>
      </c>
      <c r="F39" s="1652" t="s">
        <v>198</v>
      </c>
      <c r="G39" s="1652">
        <v>1</v>
      </c>
      <c r="H39" s="595"/>
      <c r="I39" s="481"/>
      <c r="J39" s="481"/>
      <c r="K39" s="481"/>
      <c r="L39" s="481"/>
      <c r="M39" s="481"/>
      <c r="N39" s="481">
        <v>0</v>
      </c>
      <c r="O39" s="481">
        <f t="shared" si="10"/>
        <v>0</v>
      </c>
      <c r="P39" s="2157"/>
      <c r="Q39" s="2158"/>
      <c r="R39" s="2158"/>
      <c r="S39" s="2158">
        <f t="shared" si="4"/>
        <v>0</v>
      </c>
      <c r="T39" s="1025"/>
      <c r="U39" s="1025"/>
      <c r="V39" s="1025"/>
      <c r="W39" s="1025"/>
      <c r="X39" s="1025"/>
      <c r="Y39" s="150" t="s">
        <v>11</v>
      </c>
      <c r="Z39" s="150" t="s">
        <v>357</v>
      </c>
    </row>
    <row r="40" spans="2:26" ht="15.6" customHeight="1">
      <c r="B40" s="1868"/>
      <c r="C40" s="2181"/>
      <c r="D40" s="2183"/>
      <c r="E40" s="1652">
        <v>62129</v>
      </c>
      <c r="F40" s="1652" t="s">
        <v>198</v>
      </c>
      <c r="G40" s="1652">
        <v>1</v>
      </c>
      <c r="H40" s="595"/>
      <c r="I40" s="481"/>
      <c r="J40" s="481"/>
      <c r="K40" s="481"/>
      <c r="L40" s="481"/>
      <c r="M40" s="481"/>
      <c r="N40" s="481">
        <v>0</v>
      </c>
      <c r="O40" s="481">
        <f t="shared" si="10"/>
        <v>0</v>
      </c>
      <c r="P40" s="2157"/>
      <c r="Q40" s="2158"/>
      <c r="R40" s="2158"/>
      <c r="S40" s="2158">
        <f t="shared" si="4"/>
        <v>0</v>
      </c>
      <c r="T40" s="1025"/>
      <c r="U40" s="1025"/>
      <c r="V40" s="1025"/>
      <c r="W40" s="1025"/>
      <c r="X40" s="1025"/>
      <c r="Y40" s="150" t="s">
        <v>11</v>
      </c>
      <c r="Z40" s="150" t="s">
        <v>357</v>
      </c>
    </row>
    <row r="41" spans="2:26" ht="15" customHeight="1">
      <c r="B41" s="1868"/>
      <c r="C41" s="2181"/>
      <c r="D41" s="2183"/>
      <c r="E41" s="1652">
        <v>62165</v>
      </c>
      <c r="F41" s="1652" t="s">
        <v>198</v>
      </c>
      <c r="G41" s="1652">
        <v>1</v>
      </c>
      <c r="H41" s="595"/>
      <c r="I41" s="481"/>
      <c r="J41" s="481"/>
      <c r="K41" s="481"/>
      <c r="L41" s="481"/>
      <c r="M41" s="481"/>
      <c r="N41" s="481">
        <v>6340000</v>
      </c>
      <c r="O41" s="481">
        <f t="shared" si="10"/>
        <v>6340000</v>
      </c>
      <c r="P41" s="2157"/>
      <c r="Q41" s="2158"/>
      <c r="R41" s="2158"/>
      <c r="S41" s="2158">
        <f t="shared" si="4"/>
        <v>0</v>
      </c>
      <c r="T41" s="1025"/>
      <c r="U41" s="1025"/>
      <c r="V41" s="1025"/>
      <c r="W41" s="1025"/>
      <c r="X41" s="1025"/>
      <c r="Y41" s="150" t="s">
        <v>11</v>
      </c>
      <c r="Z41" s="150" t="s">
        <v>357</v>
      </c>
    </row>
    <row r="42" spans="2:26" ht="15" customHeight="1">
      <c r="B42" s="1868"/>
      <c r="C42" s="2181"/>
      <c r="D42" s="379" t="s">
        <v>374</v>
      </c>
      <c r="E42" s="1652" t="s">
        <v>825</v>
      </c>
      <c r="F42" s="1652" t="s">
        <v>198</v>
      </c>
      <c r="G42" s="1652">
        <v>1</v>
      </c>
      <c r="H42" s="595"/>
      <c r="I42" s="481"/>
      <c r="J42" s="481"/>
      <c r="K42" s="481"/>
      <c r="L42" s="481"/>
      <c r="M42" s="481"/>
      <c r="N42" s="481">
        <v>15350400</v>
      </c>
      <c r="O42" s="481">
        <f t="shared" si="10"/>
        <v>15350400</v>
      </c>
      <c r="P42" s="2157"/>
      <c r="Q42" s="2158"/>
      <c r="R42" s="2158"/>
      <c r="S42" s="2158">
        <f t="shared" si="4"/>
        <v>0</v>
      </c>
      <c r="T42" s="1025"/>
      <c r="U42" s="1025"/>
      <c r="V42" s="1025"/>
      <c r="W42" s="1025"/>
      <c r="X42" s="1025"/>
      <c r="Y42" s="150" t="s">
        <v>11</v>
      </c>
      <c r="Z42" s="150" t="s">
        <v>357</v>
      </c>
    </row>
    <row r="43" spans="2:26" ht="15" customHeight="1">
      <c r="B43" s="1868"/>
      <c r="C43" s="2181"/>
      <c r="D43" s="379" t="s">
        <v>826</v>
      </c>
      <c r="E43" s="1652">
        <v>4419899</v>
      </c>
      <c r="F43" s="1652" t="s">
        <v>198</v>
      </c>
      <c r="G43" s="1652">
        <v>1</v>
      </c>
      <c r="H43" s="595"/>
      <c r="I43" s="481"/>
      <c r="J43" s="481"/>
      <c r="K43" s="481"/>
      <c r="L43" s="481"/>
      <c r="M43" s="481"/>
      <c r="N43" s="481">
        <v>16800</v>
      </c>
      <c r="O43" s="481">
        <f t="shared" si="10"/>
        <v>16800</v>
      </c>
      <c r="P43" s="2157"/>
      <c r="Q43" s="2158"/>
      <c r="R43" s="2158"/>
      <c r="S43" s="2158">
        <f t="shared" si="4"/>
        <v>0</v>
      </c>
      <c r="T43" s="1025"/>
      <c r="U43" s="1025"/>
      <c r="V43" s="1025"/>
      <c r="W43" s="1025"/>
      <c r="X43" s="1025"/>
      <c r="Y43" s="150" t="s">
        <v>11</v>
      </c>
      <c r="Z43" s="150" t="s">
        <v>357</v>
      </c>
    </row>
    <row r="44" spans="2:26" ht="15" customHeight="1">
      <c r="B44" s="1868"/>
      <c r="C44" s="2181"/>
      <c r="D44" s="379" t="s">
        <v>503</v>
      </c>
      <c r="E44" s="1652">
        <v>2732099</v>
      </c>
      <c r="F44" s="1652" t="s">
        <v>198</v>
      </c>
      <c r="G44" s="1652">
        <v>1</v>
      </c>
      <c r="H44" s="595"/>
      <c r="I44" s="481"/>
      <c r="J44" s="481"/>
      <c r="K44" s="481"/>
      <c r="L44" s="481"/>
      <c r="M44" s="481"/>
      <c r="N44" s="481">
        <v>588000</v>
      </c>
      <c r="O44" s="481">
        <f t="shared" si="10"/>
        <v>588000</v>
      </c>
      <c r="P44" s="2157"/>
      <c r="Q44" s="2158"/>
      <c r="R44" s="2158"/>
      <c r="S44" s="2158">
        <f t="shared" si="4"/>
        <v>0</v>
      </c>
      <c r="T44" s="1025"/>
      <c r="U44" s="1025"/>
      <c r="V44" s="1025"/>
      <c r="W44" s="1025"/>
      <c r="X44" s="1025"/>
      <c r="Y44" s="150" t="s">
        <v>11</v>
      </c>
      <c r="Z44" s="150" t="s">
        <v>357</v>
      </c>
    </row>
    <row r="45" spans="2:26" ht="15" customHeight="1">
      <c r="B45" s="1868"/>
      <c r="C45" s="2181"/>
      <c r="D45" s="2183" t="s">
        <v>827</v>
      </c>
      <c r="E45" s="1652">
        <v>1611003</v>
      </c>
      <c r="F45" s="1652" t="s">
        <v>198</v>
      </c>
      <c r="G45" s="1652">
        <v>1</v>
      </c>
      <c r="H45" s="595"/>
      <c r="I45" s="481"/>
      <c r="J45" s="481"/>
      <c r="K45" s="481"/>
      <c r="L45" s="481"/>
      <c r="M45" s="481"/>
      <c r="N45" s="481">
        <v>0</v>
      </c>
      <c r="O45" s="481">
        <f t="shared" si="10"/>
        <v>0</v>
      </c>
      <c r="P45" s="2157"/>
      <c r="Q45" s="2158"/>
      <c r="R45" s="2158"/>
      <c r="S45" s="2158">
        <f t="shared" si="4"/>
        <v>0</v>
      </c>
      <c r="T45" s="1025"/>
      <c r="U45" s="1025"/>
      <c r="V45" s="1025"/>
      <c r="W45" s="1025"/>
      <c r="X45" s="1025"/>
      <c r="Y45" s="150" t="s">
        <v>11</v>
      </c>
      <c r="Z45" s="150" t="s">
        <v>357</v>
      </c>
    </row>
    <row r="46" spans="2:26" ht="15" customHeight="1">
      <c r="B46" s="1868"/>
      <c r="C46" s="2181"/>
      <c r="D46" s="2183"/>
      <c r="E46" s="1652">
        <v>1633001</v>
      </c>
      <c r="F46" s="1652" t="s">
        <v>198</v>
      </c>
      <c r="G46" s="1652">
        <v>1</v>
      </c>
      <c r="H46" s="595"/>
      <c r="I46" s="481"/>
      <c r="J46" s="481"/>
      <c r="K46" s="481"/>
      <c r="L46" s="481"/>
      <c r="M46" s="481"/>
      <c r="N46" s="481">
        <v>0</v>
      </c>
      <c r="O46" s="481">
        <f t="shared" si="10"/>
        <v>0</v>
      </c>
      <c r="P46" s="2157"/>
      <c r="Q46" s="2158"/>
      <c r="R46" s="2158"/>
      <c r="S46" s="2158">
        <f t="shared" si="4"/>
        <v>0</v>
      </c>
      <c r="T46" s="1025"/>
      <c r="U46" s="1025"/>
      <c r="V46" s="1025"/>
      <c r="W46" s="1025"/>
      <c r="X46" s="1025"/>
      <c r="Y46" s="150" t="s">
        <v>11</v>
      </c>
      <c r="Z46" s="150" t="s">
        <v>357</v>
      </c>
    </row>
    <row r="47" spans="2:26" ht="15" customHeight="1">
      <c r="B47" s="1868"/>
      <c r="C47" s="376" t="s">
        <v>821</v>
      </c>
      <c r="D47" s="379" t="s">
        <v>782</v>
      </c>
      <c r="E47" s="1652">
        <v>67990</v>
      </c>
      <c r="F47" s="1652" t="s">
        <v>198</v>
      </c>
      <c r="G47" s="1652">
        <v>1</v>
      </c>
      <c r="H47" s="595"/>
      <c r="I47" s="481"/>
      <c r="J47" s="481"/>
      <c r="K47" s="481"/>
      <c r="L47" s="481"/>
      <c r="M47" s="481"/>
      <c r="N47" s="481">
        <v>78908054.859999999</v>
      </c>
      <c r="O47" s="481">
        <f t="shared" si="10"/>
        <v>78908054.859999999</v>
      </c>
      <c r="P47" s="2157"/>
      <c r="Q47" s="2158"/>
      <c r="R47" s="2158"/>
      <c r="S47" s="2158">
        <f t="shared" si="4"/>
        <v>0</v>
      </c>
      <c r="T47" s="1025"/>
      <c r="U47" s="1025"/>
      <c r="V47" s="1025"/>
      <c r="W47" s="1025"/>
      <c r="X47" s="1025"/>
      <c r="Y47" s="150" t="s">
        <v>11</v>
      </c>
      <c r="Z47" s="150" t="s">
        <v>357</v>
      </c>
    </row>
    <row r="48" spans="2:26" ht="15" customHeight="1">
      <c r="B48" s="1868"/>
      <c r="C48" s="376" t="s">
        <v>822</v>
      </c>
      <c r="D48" s="379" t="s">
        <v>211</v>
      </c>
      <c r="E48" s="1652">
        <v>81136</v>
      </c>
      <c r="F48" s="1652" t="s">
        <v>198</v>
      </c>
      <c r="G48" s="1652">
        <v>1</v>
      </c>
      <c r="H48" s="595"/>
      <c r="I48" s="481"/>
      <c r="J48" s="481"/>
      <c r="K48" s="481"/>
      <c r="L48" s="481"/>
      <c r="M48" s="481"/>
      <c r="N48" s="481">
        <v>56230000</v>
      </c>
      <c r="O48" s="481">
        <f t="shared" si="10"/>
        <v>56230000</v>
      </c>
      <c r="P48" s="2157"/>
      <c r="Q48" s="2158"/>
      <c r="R48" s="2158"/>
      <c r="S48" s="2158">
        <f t="shared" si="4"/>
        <v>0</v>
      </c>
      <c r="T48" s="1025"/>
      <c r="U48" s="1025"/>
      <c r="V48" s="1025"/>
      <c r="W48" s="1025"/>
      <c r="X48" s="1025"/>
      <c r="Y48" s="150" t="s">
        <v>11</v>
      </c>
      <c r="Z48" s="150" t="s">
        <v>357</v>
      </c>
    </row>
    <row r="49" spans="2:26" ht="15" customHeight="1">
      <c r="B49" s="1868"/>
      <c r="C49" s="376" t="s">
        <v>823</v>
      </c>
      <c r="D49" s="379" t="s">
        <v>395</v>
      </c>
      <c r="E49" s="1652">
        <v>92913</v>
      </c>
      <c r="F49" s="1652" t="s">
        <v>198</v>
      </c>
      <c r="G49" s="1652">
        <v>1</v>
      </c>
      <c r="H49" s="595"/>
      <c r="I49" s="481"/>
      <c r="J49" s="481"/>
      <c r="K49" s="481"/>
      <c r="L49" s="481"/>
      <c r="M49" s="481"/>
      <c r="N49" s="481">
        <v>28840000</v>
      </c>
      <c r="O49" s="481">
        <f t="shared" si="10"/>
        <v>28840000</v>
      </c>
      <c r="P49" s="2157"/>
      <c r="Q49" s="2158"/>
      <c r="R49" s="2158"/>
      <c r="S49" s="2158">
        <f t="shared" si="4"/>
        <v>0</v>
      </c>
      <c r="T49" s="1025"/>
      <c r="U49" s="1025"/>
      <c r="V49" s="1025"/>
      <c r="W49" s="1025"/>
      <c r="X49" s="1025"/>
      <c r="Y49" s="150" t="s">
        <v>11</v>
      </c>
      <c r="Z49" s="150" t="s">
        <v>357</v>
      </c>
    </row>
    <row r="50" spans="2:26" ht="15" customHeight="1">
      <c r="B50" s="1868"/>
      <c r="C50" s="2181" t="s">
        <v>824</v>
      </c>
      <c r="D50" s="379" t="s">
        <v>381</v>
      </c>
      <c r="E50" s="1652">
        <v>63391</v>
      </c>
      <c r="F50" s="1652" t="s">
        <v>198</v>
      </c>
      <c r="G50" s="1652">
        <v>1</v>
      </c>
      <c r="H50" s="595"/>
      <c r="I50" s="481"/>
      <c r="J50" s="481"/>
      <c r="K50" s="481"/>
      <c r="L50" s="481"/>
      <c r="M50" s="481"/>
      <c r="N50" s="481">
        <v>6732646</v>
      </c>
      <c r="O50" s="481">
        <f t="shared" si="10"/>
        <v>6732646</v>
      </c>
      <c r="P50" s="2157"/>
      <c r="Q50" s="2158"/>
      <c r="R50" s="2158"/>
      <c r="S50" s="2158">
        <f t="shared" si="4"/>
        <v>0</v>
      </c>
      <c r="T50" s="1025"/>
      <c r="U50" s="1025"/>
      <c r="V50" s="1025"/>
      <c r="W50" s="1025"/>
      <c r="X50" s="1025"/>
      <c r="Y50" s="150" t="s">
        <v>11</v>
      </c>
      <c r="Z50" s="150" t="s">
        <v>357</v>
      </c>
    </row>
    <row r="51" spans="2:26" ht="15" customHeight="1">
      <c r="B51" s="1868"/>
      <c r="C51" s="2181"/>
      <c r="D51" s="379" t="s">
        <v>211</v>
      </c>
      <c r="E51" s="1652">
        <v>8363102</v>
      </c>
      <c r="F51" s="1652" t="s">
        <v>198</v>
      </c>
      <c r="G51" s="1652">
        <v>1</v>
      </c>
      <c r="H51" s="595"/>
      <c r="I51" s="481"/>
      <c r="J51" s="481"/>
      <c r="K51" s="481"/>
      <c r="L51" s="481"/>
      <c r="M51" s="481"/>
      <c r="N51" s="481">
        <v>800000</v>
      </c>
      <c r="O51" s="481">
        <f t="shared" si="10"/>
        <v>800000</v>
      </c>
      <c r="P51" s="2157"/>
      <c r="Q51" s="2158"/>
      <c r="R51" s="2158"/>
      <c r="S51" s="2158">
        <f t="shared" si="4"/>
        <v>0</v>
      </c>
      <c r="T51" s="1025"/>
      <c r="U51" s="1025"/>
      <c r="V51" s="1025"/>
      <c r="W51" s="1025"/>
      <c r="X51" s="1025"/>
      <c r="Y51" s="150" t="s">
        <v>11</v>
      </c>
      <c r="Z51" s="150" t="s">
        <v>357</v>
      </c>
    </row>
    <row r="52" spans="2:26" ht="15" customHeight="1">
      <c r="B52" s="1868"/>
      <c r="C52" s="2181"/>
      <c r="D52" s="2183" t="s">
        <v>447</v>
      </c>
      <c r="E52" s="1652">
        <v>3229101</v>
      </c>
      <c r="F52" s="1652" t="s">
        <v>198</v>
      </c>
      <c r="G52" s="1652">
        <v>1</v>
      </c>
      <c r="H52" s="595"/>
      <c r="I52" s="481"/>
      <c r="J52" s="481"/>
      <c r="K52" s="481"/>
      <c r="L52" s="481"/>
      <c r="M52" s="481"/>
      <c r="N52" s="481">
        <v>8080100</v>
      </c>
      <c r="O52" s="481">
        <f t="shared" si="10"/>
        <v>8080100</v>
      </c>
      <c r="P52" s="2157"/>
      <c r="Q52" s="2158"/>
      <c r="R52" s="2158"/>
      <c r="S52" s="2158">
        <f t="shared" si="4"/>
        <v>0</v>
      </c>
      <c r="T52" s="1025"/>
      <c r="U52" s="1025"/>
      <c r="V52" s="1025"/>
      <c r="W52" s="1025"/>
      <c r="X52" s="1025"/>
      <c r="Y52" s="150" t="s">
        <v>11</v>
      </c>
      <c r="Z52" s="150" t="s">
        <v>357</v>
      </c>
    </row>
    <row r="53" spans="2:26" ht="15" customHeight="1" thickBot="1">
      <c r="B53" s="1868"/>
      <c r="C53" s="2182"/>
      <c r="D53" s="2184"/>
      <c r="E53" s="1675">
        <v>3262002</v>
      </c>
      <c r="F53" s="1675" t="s">
        <v>198</v>
      </c>
      <c r="G53" s="1675">
        <v>1</v>
      </c>
      <c r="H53" s="1767"/>
      <c r="I53" s="879"/>
      <c r="J53" s="879"/>
      <c r="K53" s="879"/>
      <c r="L53" s="879"/>
      <c r="M53" s="879"/>
      <c r="N53" s="879">
        <v>595595</v>
      </c>
      <c r="O53" s="879">
        <f t="shared" si="10"/>
        <v>595595</v>
      </c>
      <c r="P53" s="2157"/>
      <c r="Q53" s="2158"/>
      <c r="R53" s="2158"/>
      <c r="S53" s="2158">
        <f t="shared" si="4"/>
        <v>0</v>
      </c>
      <c r="T53" s="1025"/>
      <c r="U53" s="1025"/>
      <c r="V53" s="1025"/>
      <c r="W53" s="1025"/>
      <c r="X53" s="1025"/>
      <c r="Y53" s="150" t="s">
        <v>11</v>
      </c>
      <c r="Z53" s="150" t="s">
        <v>357</v>
      </c>
    </row>
    <row r="54" spans="2:26" ht="15.75" customHeight="1" thickBot="1">
      <c r="B54" s="1868"/>
      <c r="C54" s="2175" t="s">
        <v>10</v>
      </c>
      <c r="D54" s="2176"/>
      <c r="E54" s="2176"/>
      <c r="F54" s="2176"/>
      <c r="G54" s="2177"/>
      <c r="H54" s="1768"/>
      <c r="I54" s="1769">
        <f>+I8</f>
        <v>279202038.38369405</v>
      </c>
      <c r="J54" s="1769">
        <f t="shared" ref="J54:O54" si="11">+J8</f>
        <v>397494659</v>
      </c>
      <c r="K54" s="1769">
        <f t="shared" si="11"/>
        <v>64256000</v>
      </c>
      <c r="L54" s="1769">
        <f t="shared" si="11"/>
        <v>20080000</v>
      </c>
      <c r="M54" s="1769">
        <f t="shared" si="11"/>
        <v>761032697.38369393</v>
      </c>
      <c r="N54" s="1769">
        <f t="shared" si="11"/>
        <v>1360645292.8599999</v>
      </c>
      <c r="O54" s="1770">
        <f t="shared" si="11"/>
        <v>2121677990.2436938</v>
      </c>
      <c r="S54" s="1025"/>
      <c r="T54" s="1025"/>
      <c r="U54" s="1025"/>
    </row>
    <row r="55" spans="2:26" ht="13.5" thickBot="1">
      <c r="I55" s="479"/>
      <c r="J55" s="479"/>
      <c r="K55" s="479"/>
      <c r="L55" s="479"/>
      <c r="M55" s="479"/>
      <c r="N55" s="479"/>
      <c r="O55" s="479"/>
    </row>
    <row r="56" spans="2:26" ht="13.5" thickBot="1">
      <c r="I56" s="480">
        <v>279202038.38369405</v>
      </c>
      <c r="J56" s="480">
        <v>397494659</v>
      </c>
      <c r="K56" s="480">
        <v>64256000</v>
      </c>
      <c r="L56" s="480">
        <v>20080000</v>
      </c>
      <c r="M56" s="480">
        <v>761032697.38369393</v>
      </c>
      <c r="N56" s="480">
        <v>1360645292.8599999</v>
      </c>
      <c r="O56" s="480">
        <v>2121677990.2436938</v>
      </c>
      <c r="R56" s="1031">
        <f t="shared" ref="R56:X56" si="12">SUM(R8:R55)</f>
        <v>1474438992.8599999</v>
      </c>
      <c r="S56" s="1031">
        <f t="shared" si="12"/>
        <v>1646720328.2059479</v>
      </c>
      <c r="T56" s="1031">
        <f t="shared" si="12"/>
        <v>313790728.205948</v>
      </c>
      <c r="U56" s="1031">
        <f t="shared" si="12"/>
        <v>112849600</v>
      </c>
      <c r="V56" s="1031">
        <f t="shared" si="12"/>
        <v>0</v>
      </c>
      <c r="W56" s="1031">
        <f t="shared" si="12"/>
        <v>20080000</v>
      </c>
      <c r="X56" s="1031">
        <f t="shared" si="12"/>
        <v>0</v>
      </c>
    </row>
    <row r="57" spans="2:26">
      <c r="R57" s="1025"/>
    </row>
    <row r="58" spans="2:26">
      <c r="I58" s="179">
        <f t="shared" ref="I58:O58" si="13">+I56-I54</f>
        <v>0</v>
      </c>
      <c r="J58" s="179">
        <f t="shared" si="13"/>
        <v>0</v>
      </c>
      <c r="K58" s="179">
        <f t="shared" si="13"/>
        <v>0</v>
      </c>
      <c r="L58" s="179">
        <f t="shared" si="13"/>
        <v>0</v>
      </c>
      <c r="M58" s="179">
        <f t="shared" si="13"/>
        <v>0</v>
      </c>
      <c r="N58" s="179">
        <f t="shared" si="13"/>
        <v>0</v>
      </c>
      <c r="O58" s="179">
        <f t="shared" si="13"/>
        <v>0</v>
      </c>
    </row>
    <row r="60" spans="2:26" ht="13.5" thickBot="1">
      <c r="C60" s="295"/>
      <c r="E60" s="295"/>
      <c r="N60" s="1"/>
      <c r="O60" s="1"/>
    </row>
    <row r="61" spans="2:26" ht="13.5" thickBot="1">
      <c r="M61" s="374" t="s">
        <v>10</v>
      </c>
      <c r="N61" s="373">
        <v>2987461954.9436932</v>
      </c>
      <c r="O61" s="373">
        <v>2987461954.9436932</v>
      </c>
    </row>
    <row r="63" spans="2:26">
      <c r="F63" s="297"/>
      <c r="I63" s="1036"/>
      <c r="J63" s="1036"/>
      <c r="K63" s="1036"/>
      <c r="L63" s="1036"/>
      <c r="M63" s="1036"/>
      <c r="N63" s="1036"/>
      <c r="O63" s="1199">
        <f>+O10+O15+O27+O28</f>
        <v>126019300</v>
      </c>
      <c r="P63" s="150" t="s">
        <v>1383</v>
      </c>
    </row>
    <row r="65" spans="3:15">
      <c r="I65" s="1036"/>
      <c r="J65" s="1036"/>
      <c r="K65" s="1036"/>
      <c r="L65" s="1036"/>
      <c r="M65" s="1036"/>
      <c r="N65" s="1036"/>
      <c r="O65" s="1036"/>
    </row>
    <row r="66" spans="3:15">
      <c r="C66" s="1025"/>
    </row>
    <row r="72" spans="3:15">
      <c r="E72" s="375"/>
    </row>
    <row r="125" spans="14:15">
      <c r="N125" s="150">
        <v>125</v>
      </c>
      <c r="O125" s="150">
        <v>125</v>
      </c>
    </row>
    <row r="126" spans="14:15">
      <c r="N126" s="150">
        <v>126</v>
      </c>
      <c r="O126" s="150">
        <v>126</v>
      </c>
    </row>
    <row r="127" spans="14:15">
      <c r="N127" s="150">
        <v>127</v>
      </c>
      <c r="O127" s="150">
        <v>127</v>
      </c>
    </row>
    <row r="128" spans="14:15">
      <c r="N128" s="150">
        <v>128</v>
      </c>
      <c r="O128" s="150">
        <v>128</v>
      </c>
    </row>
    <row r="129" spans="14:15">
      <c r="N129" s="150">
        <v>129</v>
      </c>
      <c r="O129" s="150">
        <v>129</v>
      </c>
    </row>
    <row r="130" spans="14:15">
      <c r="N130" s="150">
        <v>130</v>
      </c>
      <c r="O130" s="150">
        <v>130</v>
      </c>
    </row>
    <row r="131" spans="14:15">
      <c r="N131" s="150">
        <v>131</v>
      </c>
      <c r="O131" s="150">
        <v>131</v>
      </c>
    </row>
    <row r="132" spans="14:15">
      <c r="N132" s="150">
        <v>132</v>
      </c>
      <c r="O132" s="150">
        <v>132</v>
      </c>
    </row>
    <row r="133" spans="14:15">
      <c r="N133" s="150">
        <v>133</v>
      </c>
      <c r="O133" s="150">
        <v>133</v>
      </c>
    </row>
    <row r="134" spans="14:15">
      <c r="N134" s="150">
        <v>134</v>
      </c>
      <c r="O134" s="150">
        <v>134</v>
      </c>
    </row>
    <row r="135" spans="14:15">
      <c r="N135" s="150">
        <v>135</v>
      </c>
      <c r="O135" s="150">
        <v>135</v>
      </c>
    </row>
    <row r="136" spans="14:15">
      <c r="N136" s="150">
        <v>136</v>
      </c>
      <c r="O136" s="150">
        <v>136</v>
      </c>
    </row>
    <row r="137" spans="14:15">
      <c r="N137" s="150">
        <v>137</v>
      </c>
      <c r="O137" s="150">
        <v>137</v>
      </c>
    </row>
    <row r="138" spans="14:15">
      <c r="N138" s="150">
        <v>138</v>
      </c>
      <c r="O138" s="150">
        <v>138</v>
      </c>
    </row>
    <row r="139" spans="14:15">
      <c r="N139" s="150">
        <v>139</v>
      </c>
      <c r="O139" s="150">
        <v>139</v>
      </c>
    </row>
    <row r="140" spans="14:15">
      <c r="N140" s="150">
        <v>140</v>
      </c>
      <c r="O140" s="150">
        <v>140</v>
      </c>
    </row>
    <row r="141" spans="14:15">
      <c r="N141" s="150">
        <v>141</v>
      </c>
      <c r="O141" s="150">
        <v>141</v>
      </c>
    </row>
    <row r="142" spans="14:15">
      <c r="N142" s="150">
        <v>142</v>
      </c>
      <c r="O142" s="150">
        <v>142</v>
      </c>
    </row>
    <row r="143" spans="14:15">
      <c r="N143" s="150">
        <v>143</v>
      </c>
      <c r="O143" s="150">
        <v>143</v>
      </c>
    </row>
    <row r="144" spans="14:15">
      <c r="N144" s="150">
        <v>144</v>
      </c>
      <c r="O144" s="150">
        <v>144</v>
      </c>
    </row>
    <row r="145" spans="14:15">
      <c r="N145" s="150">
        <v>145</v>
      </c>
      <c r="O145" s="150">
        <v>145</v>
      </c>
    </row>
    <row r="146" spans="14:15">
      <c r="N146" s="150">
        <v>146</v>
      </c>
      <c r="O146" s="150">
        <v>146</v>
      </c>
    </row>
    <row r="147" spans="14:15">
      <c r="N147" s="150">
        <v>147</v>
      </c>
      <c r="O147" s="150">
        <v>147</v>
      </c>
    </row>
    <row r="148" spans="14:15">
      <c r="N148" s="150">
        <v>148</v>
      </c>
      <c r="O148" s="150">
        <v>148</v>
      </c>
    </row>
    <row r="149" spans="14:15">
      <c r="N149" s="150">
        <v>149</v>
      </c>
      <c r="O149" s="150">
        <v>149</v>
      </c>
    </row>
    <row r="150" spans="14:15">
      <c r="N150" s="150">
        <v>150</v>
      </c>
      <c r="O150" s="150">
        <v>150</v>
      </c>
    </row>
    <row r="151" spans="14:15">
      <c r="N151" s="150">
        <v>151</v>
      </c>
      <c r="O151" s="150">
        <v>151</v>
      </c>
    </row>
    <row r="152" spans="14:15">
      <c r="N152" s="150">
        <v>152</v>
      </c>
      <c r="O152" s="150">
        <v>152</v>
      </c>
    </row>
    <row r="153" spans="14:15">
      <c r="N153" s="150">
        <v>153</v>
      </c>
      <c r="O153" s="150">
        <v>153</v>
      </c>
    </row>
    <row r="154" spans="14:15">
      <c r="N154" s="150">
        <v>154</v>
      </c>
      <c r="O154" s="150">
        <v>154</v>
      </c>
    </row>
    <row r="155" spans="14:15">
      <c r="N155" s="150">
        <v>155</v>
      </c>
      <c r="O155" s="150">
        <v>155</v>
      </c>
    </row>
    <row r="156" spans="14:15">
      <c r="N156" s="150">
        <v>156</v>
      </c>
      <c r="O156" s="150">
        <v>156</v>
      </c>
    </row>
    <row r="157" spans="14:15">
      <c r="N157" s="150">
        <v>157</v>
      </c>
      <c r="O157" s="150">
        <v>157</v>
      </c>
    </row>
    <row r="158" spans="14:15">
      <c r="N158" s="150">
        <v>158</v>
      </c>
      <c r="O158" s="150">
        <v>158</v>
      </c>
    </row>
    <row r="159" spans="14:15">
      <c r="N159" s="150">
        <v>159</v>
      </c>
      <c r="O159" s="150">
        <v>159</v>
      </c>
    </row>
    <row r="160" spans="14:15">
      <c r="N160" s="150">
        <v>160</v>
      </c>
      <c r="O160" s="150">
        <v>160</v>
      </c>
    </row>
    <row r="161" spans="14:15">
      <c r="N161" s="150">
        <v>161</v>
      </c>
      <c r="O161" s="150">
        <v>161</v>
      </c>
    </row>
    <row r="162" spans="14:15">
      <c r="N162" s="150">
        <v>162</v>
      </c>
      <c r="O162" s="150">
        <v>162</v>
      </c>
    </row>
    <row r="163" spans="14:15">
      <c r="N163" s="150">
        <v>163</v>
      </c>
      <c r="O163" s="150">
        <v>163</v>
      </c>
    </row>
    <row r="164" spans="14:15">
      <c r="N164" s="150">
        <v>164</v>
      </c>
      <c r="O164" s="150">
        <v>164</v>
      </c>
    </row>
    <row r="165" spans="14:15">
      <c r="N165" s="150">
        <v>165</v>
      </c>
      <c r="O165" s="150">
        <v>165</v>
      </c>
    </row>
    <row r="166" spans="14:15">
      <c r="N166" s="150">
        <v>166</v>
      </c>
      <c r="O166" s="150">
        <v>166</v>
      </c>
    </row>
    <row r="167" spans="14:15">
      <c r="N167" s="150">
        <v>167</v>
      </c>
      <c r="O167" s="150">
        <v>167</v>
      </c>
    </row>
    <row r="168" spans="14:15">
      <c r="N168" s="150">
        <v>168</v>
      </c>
      <c r="O168" s="150">
        <v>168</v>
      </c>
    </row>
    <row r="169" spans="14:15">
      <c r="N169" s="150">
        <v>169</v>
      </c>
      <c r="O169" s="150">
        <v>169</v>
      </c>
    </row>
    <row r="170" spans="14:15">
      <c r="N170" s="150">
        <v>170</v>
      </c>
      <c r="O170" s="150">
        <v>170</v>
      </c>
    </row>
    <row r="171" spans="14:15">
      <c r="N171" s="150">
        <v>171</v>
      </c>
      <c r="O171" s="150">
        <v>171</v>
      </c>
    </row>
    <row r="172" spans="14:15">
      <c r="N172" s="150">
        <v>172</v>
      </c>
      <c r="O172" s="150">
        <v>172</v>
      </c>
    </row>
    <row r="173" spans="14:15">
      <c r="N173" s="150">
        <v>173</v>
      </c>
      <c r="O173" s="150">
        <v>173</v>
      </c>
    </row>
    <row r="174" spans="14:15">
      <c r="N174" s="150">
        <v>174</v>
      </c>
      <c r="O174" s="150">
        <v>174</v>
      </c>
    </row>
    <row r="175" spans="14:15">
      <c r="N175" s="150">
        <v>175</v>
      </c>
      <c r="O175" s="150">
        <v>175</v>
      </c>
    </row>
    <row r="176" spans="14:15">
      <c r="N176" s="150">
        <v>176</v>
      </c>
      <c r="O176" s="150">
        <v>176</v>
      </c>
    </row>
    <row r="177" spans="14:15">
      <c r="N177" s="150">
        <v>177</v>
      </c>
      <c r="O177" s="150">
        <v>177</v>
      </c>
    </row>
    <row r="178" spans="14:15">
      <c r="N178" s="150">
        <v>178</v>
      </c>
      <c r="O178" s="150">
        <v>178</v>
      </c>
    </row>
    <row r="179" spans="14:15">
      <c r="N179" s="150">
        <v>179</v>
      </c>
      <c r="O179" s="150">
        <v>179</v>
      </c>
    </row>
    <row r="180" spans="14:15">
      <c r="N180" s="150">
        <v>180</v>
      </c>
      <c r="O180" s="150">
        <v>180</v>
      </c>
    </row>
    <row r="181" spans="14:15">
      <c r="N181" s="150">
        <v>181</v>
      </c>
      <c r="O181" s="150">
        <v>181</v>
      </c>
    </row>
    <row r="182" spans="14:15">
      <c r="N182" s="150">
        <v>182</v>
      </c>
      <c r="O182" s="150">
        <v>182</v>
      </c>
    </row>
    <row r="183" spans="14:15">
      <c r="N183" s="150">
        <v>183</v>
      </c>
      <c r="O183" s="150">
        <v>183</v>
      </c>
    </row>
    <row r="184" spans="14:15">
      <c r="N184" s="150">
        <v>184</v>
      </c>
      <c r="O184" s="150">
        <v>184</v>
      </c>
    </row>
    <row r="185" spans="14:15">
      <c r="N185" s="150">
        <v>185</v>
      </c>
      <c r="O185" s="150">
        <v>185</v>
      </c>
    </row>
    <row r="186" spans="14:15">
      <c r="N186" s="150">
        <v>186</v>
      </c>
      <c r="O186" s="150">
        <v>186</v>
      </c>
    </row>
    <row r="187" spans="14:15">
      <c r="N187" s="150">
        <v>187</v>
      </c>
      <c r="O187" s="150">
        <v>187</v>
      </c>
    </row>
    <row r="188" spans="14:15">
      <c r="N188" s="150">
        <v>188</v>
      </c>
      <c r="O188" s="150">
        <v>188</v>
      </c>
    </row>
    <row r="189" spans="14:15">
      <c r="N189" s="150">
        <v>189</v>
      </c>
      <c r="O189" s="150">
        <v>189</v>
      </c>
    </row>
    <row r="190" spans="14:15">
      <c r="N190" s="150">
        <v>190</v>
      </c>
      <c r="O190" s="150">
        <v>190</v>
      </c>
    </row>
    <row r="191" spans="14:15">
      <c r="N191" s="150">
        <v>191</v>
      </c>
      <c r="O191" s="150">
        <v>191</v>
      </c>
    </row>
    <row r="192" spans="14:15">
      <c r="N192" s="150">
        <v>192</v>
      </c>
      <c r="O192" s="150">
        <v>192</v>
      </c>
    </row>
    <row r="193" spans="14:15">
      <c r="N193" s="150">
        <v>193</v>
      </c>
      <c r="O193" s="150">
        <v>193</v>
      </c>
    </row>
    <row r="194" spans="14:15">
      <c r="N194" s="150">
        <v>194</v>
      </c>
      <c r="O194" s="150">
        <v>194</v>
      </c>
    </row>
    <row r="195" spans="14:15">
      <c r="N195" s="150">
        <v>195</v>
      </c>
      <c r="O195" s="150">
        <v>195</v>
      </c>
    </row>
    <row r="196" spans="14:15">
      <c r="N196" s="150">
        <v>196</v>
      </c>
      <c r="O196" s="150">
        <v>196</v>
      </c>
    </row>
    <row r="197" spans="14:15">
      <c r="N197" s="150">
        <v>197</v>
      </c>
      <c r="O197" s="150">
        <v>197</v>
      </c>
    </row>
    <row r="198" spans="14:15">
      <c r="N198" s="150">
        <v>198</v>
      </c>
      <c r="O198" s="150">
        <v>198</v>
      </c>
    </row>
    <row r="199" spans="14:15">
      <c r="N199" s="150">
        <v>199</v>
      </c>
      <c r="O199" s="150">
        <v>199</v>
      </c>
    </row>
    <row r="200" spans="14:15">
      <c r="N200" s="150">
        <v>200</v>
      </c>
      <c r="O200" s="150">
        <v>200</v>
      </c>
    </row>
    <row r="201" spans="14:15">
      <c r="N201" s="150">
        <v>201</v>
      </c>
      <c r="O201" s="150">
        <v>201</v>
      </c>
    </row>
    <row r="202" spans="14:15">
      <c r="N202" s="150">
        <v>202</v>
      </c>
      <c r="O202" s="150">
        <v>202</v>
      </c>
    </row>
    <row r="203" spans="14:15">
      <c r="N203" s="150">
        <v>203</v>
      </c>
      <c r="O203" s="150">
        <v>203</v>
      </c>
    </row>
    <row r="204" spans="14:15">
      <c r="N204" s="150">
        <v>204</v>
      </c>
      <c r="O204" s="150">
        <v>204</v>
      </c>
    </row>
    <row r="205" spans="14:15">
      <c r="N205" s="150">
        <v>205</v>
      </c>
      <c r="O205" s="150">
        <v>205</v>
      </c>
    </row>
    <row r="206" spans="14:15">
      <c r="N206" s="150">
        <v>206</v>
      </c>
      <c r="O206" s="150">
        <v>206</v>
      </c>
    </row>
    <row r="207" spans="14:15">
      <c r="N207" s="150">
        <v>207</v>
      </c>
      <c r="O207" s="150">
        <v>207</v>
      </c>
    </row>
    <row r="208" spans="14:15">
      <c r="N208" s="150">
        <v>208</v>
      </c>
      <c r="O208" s="150">
        <v>208</v>
      </c>
    </row>
    <row r="209" spans="14:15">
      <c r="N209" s="150">
        <v>209</v>
      </c>
      <c r="O209" s="150">
        <v>209</v>
      </c>
    </row>
    <row r="210" spans="14:15">
      <c r="N210" s="150">
        <v>210</v>
      </c>
      <c r="O210" s="150">
        <v>210</v>
      </c>
    </row>
    <row r="211" spans="14:15">
      <c r="N211" s="150">
        <v>211</v>
      </c>
      <c r="O211" s="150">
        <v>211</v>
      </c>
    </row>
    <row r="212" spans="14:15">
      <c r="N212" s="150">
        <v>212</v>
      </c>
      <c r="O212" s="150">
        <v>212</v>
      </c>
    </row>
    <row r="213" spans="14:15">
      <c r="N213" s="150">
        <v>213</v>
      </c>
      <c r="O213" s="150">
        <v>213</v>
      </c>
    </row>
    <row r="214" spans="14:15">
      <c r="N214" s="150">
        <v>214</v>
      </c>
      <c r="O214" s="150">
        <v>214</v>
      </c>
    </row>
    <row r="215" spans="14:15">
      <c r="N215" s="150">
        <v>215</v>
      </c>
      <c r="O215" s="150">
        <v>215</v>
      </c>
    </row>
    <row r="216" spans="14:15">
      <c r="N216" s="150">
        <v>216</v>
      </c>
      <c r="O216" s="150">
        <v>216</v>
      </c>
    </row>
    <row r="217" spans="14:15">
      <c r="N217" s="150">
        <v>217</v>
      </c>
      <c r="O217" s="150">
        <v>217</v>
      </c>
    </row>
    <row r="218" spans="14:15">
      <c r="N218" s="150">
        <v>218</v>
      </c>
      <c r="O218" s="150">
        <v>218</v>
      </c>
    </row>
    <row r="219" spans="14:15">
      <c r="N219" s="150">
        <v>219</v>
      </c>
      <c r="O219" s="150">
        <v>219</v>
      </c>
    </row>
    <row r="220" spans="14:15">
      <c r="N220" s="150">
        <v>220</v>
      </c>
      <c r="O220" s="150">
        <v>220</v>
      </c>
    </row>
    <row r="221" spans="14:15">
      <c r="N221" s="150">
        <v>221</v>
      </c>
      <c r="O221" s="150">
        <v>221</v>
      </c>
    </row>
    <row r="222" spans="14:15">
      <c r="N222" s="150">
        <v>222</v>
      </c>
      <c r="O222" s="150">
        <v>222</v>
      </c>
    </row>
    <row r="223" spans="14:15">
      <c r="N223" s="150">
        <v>223</v>
      </c>
      <c r="O223" s="150">
        <v>223</v>
      </c>
    </row>
    <row r="224" spans="14:15">
      <c r="N224" s="150">
        <v>224</v>
      </c>
      <c r="O224" s="150">
        <v>224</v>
      </c>
    </row>
    <row r="225" spans="14:15">
      <c r="N225" s="150">
        <v>225</v>
      </c>
      <c r="O225" s="150">
        <v>225</v>
      </c>
    </row>
    <row r="226" spans="14:15">
      <c r="N226" s="150">
        <v>226</v>
      </c>
      <c r="O226" s="150">
        <v>226</v>
      </c>
    </row>
    <row r="227" spans="14:15">
      <c r="N227" s="150">
        <v>227</v>
      </c>
      <c r="O227" s="150">
        <v>227</v>
      </c>
    </row>
    <row r="228" spans="14:15">
      <c r="N228" s="150">
        <v>228</v>
      </c>
      <c r="O228" s="150">
        <v>228</v>
      </c>
    </row>
    <row r="229" spans="14:15">
      <c r="N229" s="150">
        <v>229</v>
      </c>
      <c r="O229" s="150">
        <v>229</v>
      </c>
    </row>
    <row r="230" spans="14:15">
      <c r="N230" s="150">
        <v>230</v>
      </c>
      <c r="O230" s="150">
        <v>230</v>
      </c>
    </row>
    <row r="231" spans="14:15">
      <c r="N231" s="150">
        <v>231</v>
      </c>
      <c r="O231" s="150">
        <v>231</v>
      </c>
    </row>
    <row r="232" spans="14:15">
      <c r="N232" s="150">
        <v>232</v>
      </c>
      <c r="O232" s="150">
        <v>232</v>
      </c>
    </row>
    <row r="233" spans="14:15">
      <c r="N233" s="150">
        <v>233</v>
      </c>
      <c r="O233" s="150">
        <v>233</v>
      </c>
    </row>
    <row r="234" spans="14:15">
      <c r="N234" s="150">
        <v>234</v>
      </c>
      <c r="O234" s="150">
        <v>234</v>
      </c>
    </row>
    <row r="235" spans="14:15">
      <c r="N235" s="150">
        <v>235</v>
      </c>
      <c r="O235" s="150">
        <v>235</v>
      </c>
    </row>
    <row r="236" spans="14:15">
      <c r="N236" s="150">
        <v>236</v>
      </c>
      <c r="O236" s="150">
        <v>236</v>
      </c>
    </row>
    <row r="237" spans="14:15">
      <c r="N237" s="150">
        <v>237</v>
      </c>
      <c r="O237" s="150">
        <v>237</v>
      </c>
    </row>
    <row r="238" spans="14:15">
      <c r="N238" s="150">
        <v>238</v>
      </c>
      <c r="O238" s="150">
        <v>238</v>
      </c>
    </row>
    <row r="239" spans="14:15">
      <c r="N239" s="150">
        <v>239</v>
      </c>
      <c r="O239" s="150">
        <v>239</v>
      </c>
    </row>
    <row r="240" spans="14:15">
      <c r="N240" s="150">
        <v>240</v>
      </c>
      <c r="O240" s="150">
        <v>240</v>
      </c>
    </row>
    <row r="241" spans="14:15">
      <c r="N241" s="150">
        <v>241</v>
      </c>
      <c r="O241" s="150">
        <v>241</v>
      </c>
    </row>
    <row r="242" spans="14:15">
      <c r="N242" s="150">
        <v>242</v>
      </c>
      <c r="O242" s="150">
        <v>242</v>
      </c>
    </row>
    <row r="243" spans="14:15">
      <c r="N243" s="150">
        <v>243</v>
      </c>
      <c r="O243" s="150">
        <v>243</v>
      </c>
    </row>
    <row r="244" spans="14:15">
      <c r="N244" s="150">
        <v>244</v>
      </c>
      <c r="O244" s="150">
        <v>244</v>
      </c>
    </row>
    <row r="245" spans="14:15">
      <c r="N245" s="150">
        <v>245</v>
      </c>
      <c r="O245" s="150">
        <v>245</v>
      </c>
    </row>
    <row r="246" spans="14:15">
      <c r="N246" s="150">
        <v>246</v>
      </c>
      <c r="O246" s="150">
        <v>246</v>
      </c>
    </row>
    <row r="247" spans="14:15">
      <c r="N247" s="150">
        <v>247</v>
      </c>
      <c r="O247" s="150">
        <v>247</v>
      </c>
    </row>
    <row r="248" spans="14:15">
      <c r="N248" s="150">
        <v>248</v>
      </c>
      <c r="O248" s="150">
        <v>248</v>
      </c>
    </row>
    <row r="249" spans="14:15">
      <c r="N249" s="150">
        <v>249</v>
      </c>
      <c r="O249" s="150">
        <v>249</v>
      </c>
    </row>
    <row r="250" spans="14:15">
      <c r="N250" s="150">
        <v>250</v>
      </c>
      <c r="O250" s="150">
        <v>250</v>
      </c>
    </row>
    <row r="251" spans="14:15">
      <c r="N251" s="150">
        <v>251</v>
      </c>
      <c r="O251" s="150">
        <v>251</v>
      </c>
    </row>
    <row r="252" spans="14:15">
      <c r="N252" s="150">
        <v>252</v>
      </c>
      <c r="O252" s="150">
        <v>252</v>
      </c>
    </row>
    <row r="253" spans="14:15">
      <c r="N253" s="150">
        <v>253</v>
      </c>
      <c r="O253" s="150">
        <v>253</v>
      </c>
    </row>
    <row r="254" spans="14:15">
      <c r="N254" s="150">
        <v>254</v>
      </c>
      <c r="O254" s="150">
        <v>254</v>
      </c>
    </row>
    <row r="255" spans="14:15">
      <c r="N255" s="150">
        <v>255</v>
      </c>
      <c r="O255" s="150">
        <v>255</v>
      </c>
    </row>
    <row r="256" spans="14:15">
      <c r="N256" s="150">
        <v>256</v>
      </c>
      <c r="O256" s="150">
        <v>256</v>
      </c>
    </row>
    <row r="257" spans="14:15">
      <c r="N257" s="150">
        <v>257</v>
      </c>
      <c r="O257" s="150">
        <v>257</v>
      </c>
    </row>
    <row r="258" spans="14:15">
      <c r="N258" s="150">
        <v>258</v>
      </c>
      <c r="O258" s="150">
        <v>258</v>
      </c>
    </row>
    <row r="259" spans="14:15">
      <c r="N259" s="150">
        <v>259</v>
      </c>
      <c r="O259" s="150">
        <v>259</v>
      </c>
    </row>
    <row r="260" spans="14:15">
      <c r="N260" s="150">
        <v>260</v>
      </c>
      <c r="O260" s="150">
        <v>260</v>
      </c>
    </row>
    <row r="261" spans="14:15">
      <c r="N261" s="150">
        <v>261</v>
      </c>
      <c r="O261" s="150">
        <v>261</v>
      </c>
    </row>
    <row r="262" spans="14:15">
      <c r="N262" s="150">
        <v>262</v>
      </c>
      <c r="O262" s="150">
        <v>262</v>
      </c>
    </row>
    <row r="263" spans="14:15">
      <c r="N263" s="150">
        <v>263</v>
      </c>
      <c r="O263" s="150">
        <v>263</v>
      </c>
    </row>
    <row r="264" spans="14:15">
      <c r="N264" s="150">
        <v>264</v>
      </c>
      <c r="O264" s="150">
        <v>264</v>
      </c>
    </row>
    <row r="265" spans="14:15">
      <c r="N265" s="150">
        <v>265</v>
      </c>
      <c r="O265" s="150">
        <v>265</v>
      </c>
    </row>
    <row r="266" spans="14:15">
      <c r="N266" s="150">
        <v>266</v>
      </c>
      <c r="O266" s="150">
        <v>266</v>
      </c>
    </row>
    <row r="267" spans="14:15">
      <c r="N267" s="150">
        <v>267</v>
      </c>
      <c r="O267" s="150">
        <v>267</v>
      </c>
    </row>
    <row r="268" spans="14:15">
      <c r="N268" s="150">
        <v>268</v>
      </c>
      <c r="O268" s="150">
        <v>268</v>
      </c>
    </row>
    <row r="269" spans="14:15">
      <c r="N269" s="150">
        <v>269</v>
      </c>
      <c r="O269" s="150">
        <v>269</v>
      </c>
    </row>
    <row r="270" spans="14:15">
      <c r="N270" s="150">
        <v>270</v>
      </c>
      <c r="O270" s="150">
        <v>270</v>
      </c>
    </row>
    <row r="271" spans="14:15">
      <c r="N271" s="150">
        <v>271</v>
      </c>
      <c r="O271" s="150">
        <v>271</v>
      </c>
    </row>
    <row r="272" spans="14:15">
      <c r="N272" s="150">
        <v>272</v>
      </c>
      <c r="O272" s="150">
        <v>272</v>
      </c>
    </row>
    <row r="273" spans="14:15">
      <c r="N273" s="150">
        <v>273</v>
      </c>
      <c r="O273" s="150">
        <v>273</v>
      </c>
    </row>
    <row r="274" spans="14:15">
      <c r="N274" s="150">
        <v>274</v>
      </c>
      <c r="O274" s="150">
        <v>274</v>
      </c>
    </row>
    <row r="275" spans="14:15">
      <c r="N275" s="150">
        <v>275</v>
      </c>
      <c r="O275" s="150">
        <v>275</v>
      </c>
    </row>
    <row r="276" spans="14:15">
      <c r="N276" s="150">
        <v>276</v>
      </c>
      <c r="O276" s="150">
        <v>276</v>
      </c>
    </row>
    <row r="277" spans="14:15">
      <c r="N277" s="150">
        <v>277</v>
      </c>
      <c r="O277" s="150">
        <v>277</v>
      </c>
    </row>
    <row r="278" spans="14:15">
      <c r="N278" s="150">
        <v>278</v>
      </c>
      <c r="O278" s="150">
        <v>278</v>
      </c>
    </row>
    <row r="279" spans="14:15">
      <c r="N279" s="150">
        <v>279</v>
      </c>
      <c r="O279" s="150">
        <v>279</v>
      </c>
    </row>
    <row r="280" spans="14:15">
      <c r="N280" s="150">
        <v>280</v>
      </c>
      <c r="O280" s="150">
        <v>280</v>
      </c>
    </row>
    <row r="281" spans="14:15">
      <c r="N281" s="150">
        <v>281</v>
      </c>
      <c r="O281" s="150">
        <v>281</v>
      </c>
    </row>
    <row r="282" spans="14:15">
      <c r="N282" s="150">
        <v>282</v>
      </c>
      <c r="O282" s="150">
        <v>282</v>
      </c>
    </row>
    <row r="283" spans="14:15">
      <c r="N283" s="150">
        <v>283</v>
      </c>
      <c r="O283" s="150">
        <v>283</v>
      </c>
    </row>
    <row r="284" spans="14:15">
      <c r="N284" s="150">
        <v>284</v>
      </c>
      <c r="O284" s="150">
        <v>284</v>
      </c>
    </row>
    <row r="285" spans="14:15">
      <c r="N285" s="150">
        <v>285</v>
      </c>
      <c r="O285" s="150">
        <v>285</v>
      </c>
    </row>
    <row r="286" spans="14:15">
      <c r="N286" s="150">
        <v>286</v>
      </c>
      <c r="O286" s="150">
        <v>286</v>
      </c>
    </row>
    <row r="287" spans="14:15">
      <c r="N287" s="150">
        <v>287</v>
      </c>
      <c r="O287" s="150">
        <v>287</v>
      </c>
    </row>
    <row r="288" spans="14:15">
      <c r="N288" s="150">
        <v>288</v>
      </c>
      <c r="O288" s="150">
        <v>288</v>
      </c>
    </row>
    <row r="289" spans="14:15">
      <c r="N289" s="150">
        <v>289</v>
      </c>
      <c r="O289" s="150">
        <v>289</v>
      </c>
    </row>
    <row r="290" spans="14:15">
      <c r="N290" s="150">
        <v>290</v>
      </c>
      <c r="O290" s="150">
        <v>290</v>
      </c>
    </row>
    <row r="291" spans="14:15">
      <c r="N291" s="150">
        <v>291</v>
      </c>
      <c r="O291" s="150">
        <v>291</v>
      </c>
    </row>
    <row r="292" spans="14:15">
      <c r="N292" s="150">
        <v>292</v>
      </c>
      <c r="O292" s="150">
        <v>292</v>
      </c>
    </row>
    <row r="293" spans="14:15">
      <c r="N293" s="150">
        <v>293</v>
      </c>
      <c r="O293" s="150">
        <v>293</v>
      </c>
    </row>
    <row r="294" spans="14:15">
      <c r="N294" s="150">
        <v>294</v>
      </c>
      <c r="O294" s="150">
        <v>294</v>
      </c>
    </row>
    <row r="295" spans="14:15">
      <c r="N295" s="150">
        <v>295</v>
      </c>
      <c r="O295" s="150">
        <v>295</v>
      </c>
    </row>
    <row r="296" spans="14:15">
      <c r="N296" s="150">
        <v>296</v>
      </c>
      <c r="O296" s="150">
        <v>296</v>
      </c>
    </row>
    <row r="297" spans="14:15">
      <c r="N297" s="150">
        <v>297</v>
      </c>
      <c r="O297" s="150">
        <v>297</v>
      </c>
    </row>
    <row r="298" spans="14:15">
      <c r="N298" s="150">
        <v>298</v>
      </c>
      <c r="O298" s="150">
        <v>298</v>
      </c>
    </row>
    <row r="299" spans="14:15">
      <c r="N299" s="150">
        <v>299</v>
      </c>
      <c r="O299" s="150">
        <v>299</v>
      </c>
    </row>
    <row r="300" spans="14:15">
      <c r="N300" s="150">
        <v>300</v>
      </c>
      <c r="O300" s="150">
        <v>300</v>
      </c>
    </row>
    <row r="301" spans="14:15">
      <c r="N301" s="150">
        <v>301</v>
      </c>
      <c r="O301" s="150">
        <v>301</v>
      </c>
    </row>
    <row r="302" spans="14:15">
      <c r="N302" s="150">
        <v>302</v>
      </c>
      <c r="O302" s="150">
        <v>302</v>
      </c>
    </row>
    <row r="303" spans="14:15">
      <c r="N303" s="150">
        <v>303</v>
      </c>
      <c r="O303" s="150">
        <v>303</v>
      </c>
    </row>
    <row r="304" spans="14:15">
      <c r="N304" s="150">
        <v>304</v>
      </c>
      <c r="O304" s="150">
        <v>304</v>
      </c>
    </row>
    <row r="305" spans="14:15">
      <c r="N305" s="150">
        <v>305</v>
      </c>
      <c r="O305" s="150">
        <v>305</v>
      </c>
    </row>
    <row r="306" spans="14:15">
      <c r="N306" s="150">
        <v>306</v>
      </c>
      <c r="O306" s="150">
        <v>306</v>
      </c>
    </row>
    <row r="307" spans="14:15">
      <c r="N307" s="150">
        <v>307</v>
      </c>
      <c r="O307" s="150">
        <v>307</v>
      </c>
    </row>
    <row r="308" spans="14:15">
      <c r="N308" s="150">
        <v>308</v>
      </c>
      <c r="O308" s="150">
        <v>308</v>
      </c>
    </row>
    <row r="309" spans="14:15">
      <c r="N309" s="150">
        <v>309</v>
      </c>
      <c r="O309" s="150">
        <v>309</v>
      </c>
    </row>
    <row r="310" spans="14:15">
      <c r="N310" s="150">
        <v>310</v>
      </c>
      <c r="O310" s="150">
        <v>310</v>
      </c>
    </row>
    <row r="311" spans="14:15">
      <c r="N311" s="150">
        <v>311</v>
      </c>
      <c r="O311" s="150">
        <v>311</v>
      </c>
    </row>
    <row r="312" spans="14:15">
      <c r="N312" s="150">
        <v>312</v>
      </c>
      <c r="O312" s="150">
        <v>312</v>
      </c>
    </row>
    <row r="313" spans="14:15">
      <c r="N313" s="150">
        <v>313</v>
      </c>
      <c r="O313" s="150">
        <v>313</v>
      </c>
    </row>
    <row r="314" spans="14:15">
      <c r="N314" s="150">
        <v>314</v>
      </c>
      <c r="O314" s="150">
        <v>314</v>
      </c>
    </row>
    <row r="315" spans="14:15">
      <c r="N315" s="150">
        <v>315</v>
      </c>
      <c r="O315" s="150">
        <v>315</v>
      </c>
    </row>
    <row r="316" spans="14:15">
      <c r="N316" s="150">
        <v>316</v>
      </c>
      <c r="O316" s="150">
        <v>316</v>
      </c>
    </row>
    <row r="317" spans="14:15">
      <c r="N317" s="150">
        <v>317</v>
      </c>
      <c r="O317" s="150">
        <v>317</v>
      </c>
    </row>
    <row r="318" spans="14:15">
      <c r="N318" s="150">
        <v>318</v>
      </c>
      <c r="O318" s="150">
        <v>318</v>
      </c>
    </row>
    <row r="319" spans="14:15">
      <c r="N319" s="150">
        <v>319</v>
      </c>
      <c r="O319" s="150">
        <v>319</v>
      </c>
    </row>
    <row r="320" spans="14:15">
      <c r="N320" s="150">
        <v>320</v>
      </c>
      <c r="O320" s="150">
        <v>320</v>
      </c>
    </row>
    <row r="321" spans="14:15">
      <c r="N321" s="150">
        <v>321</v>
      </c>
      <c r="O321" s="150">
        <v>321</v>
      </c>
    </row>
    <row r="322" spans="14:15">
      <c r="N322" s="150">
        <v>322</v>
      </c>
      <c r="O322" s="150">
        <v>322</v>
      </c>
    </row>
    <row r="323" spans="14:15">
      <c r="N323" s="150">
        <v>323</v>
      </c>
      <c r="O323" s="150">
        <v>323</v>
      </c>
    </row>
    <row r="324" spans="14:15">
      <c r="N324" s="150">
        <v>324</v>
      </c>
      <c r="O324" s="150">
        <v>324</v>
      </c>
    </row>
    <row r="325" spans="14:15">
      <c r="N325" s="150">
        <v>325</v>
      </c>
      <c r="O325" s="150">
        <v>325</v>
      </c>
    </row>
    <row r="326" spans="14:15">
      <c r="N326" s="150">
        <v>326</v>
      </c>
      <c r="O326" s="150">
        <v>326</v>
      </c>
    </row>
    <row r="327" spans="14:15">
      <c r="N327" s="150">
        <v>327</v>
      </c>
      <c r="O327" s="150">
        <v>327</v>
      </c>
    </row>
    <row r="328" spans="14:15">
      <c r="N328" s="150">
        <v>328</v>
      </c>
      <c r="O328" s="150">
        <v>328</v>
      </c>
    </row>
    <row r="329" spans="14:15">
      <c r="N329" s="150">
        <v>329</v>
      </c>
      <c r="O329" s="150">
        <v>329</v>
      </c>
    </row>
    <row r="330" spans="14:15">
      <c r="N330" s="150">
        <v>330</v>
      </c>
      <c r="O330" s="150">
        <v>330</v>
      </c>
    </row>
    <row r="331" spans="14:15">
      <c r="N331" s="150">
        <v>331</v>
      </c>
      <c r="O331" s="150">
        <v>331</v>
      </c>
    </row>
    <row r="332" spans="14:15">
      <c r="N332" s="150">
        <v>332</v>
      </c>
      <c r="O332" s="150">
        <v>332</v>
      </c>
    </row>
    <row r="333" spans="14:15">
      <c r="N333" s="150">
        <v>333</v>
      </c>
      <c r="O333" s="150">
        <v>333</v>
      </c>
    </row>
    <row r="334" spans="14:15">
      <c r="N334" s="150">
        <v>334</v>
      </c>
      <c r="O334" s="150">
        <v>334</v>
      </c>
    </row>
    <row r="335" spans="14:15">
      <c r="N335" s="150">
        <v>335</v>
      </c>
      <c r="O335" s="150">
        <v>335</v>
      </c>
    </row>
    <row r="336" spans="14:15">
      <c r="N336" s="150">
        <v>336</v>
      </c>
      <c r="O336" s="150">
        <v>336</v>
      </c>
    </row>
    <row r="337" spans="14:15">
      <c r="N337" s="150">
        <v>337</v>
      </c>
      <c r="O337" s="150">
        <v>337</v>
      </c>
    </row>
    <row r="338" spans="14:15">
      <c r="N338" s="150">
        <v>338</v>
      </c>
      <c r="O338" s="150">
        <v>338</v>
      </c>
    </row>
    <row r="339" spans="14:15">
      <c r="N339" s="150">
        <v>339</v>
      </c>
      <c r="O339" s="150">
        <v>339</v>
      </c>
    </row>
    <row r="340" spans="14:15">
      <c r="N340" s="150">
        <v>340</v>
      </c>
      <c r="O340" s="150">
        <v>340</v>
      </c>
    </row>
    <row r="341" spans="14:15">
      <c r="N341" s="150">
        <v>341</v>
      </c>
      <c r="O341" s="150">
        <v>341</v>
      </c>
    </row>
    <row r="342" spans="14:15">
      <c r="N342" s="150">
        <v>342</v>
      </c>
      <c r="O342" s="150">
        <v>342</v>
      </c>
    </row>
    <row r="343" spans="14:15">
      <c r="N343" s="150">
        <v>343</v>
      </c>
      <c r="O343" s="150">
        <v>343</v>
      </c>
    </row>
    <row r="344" spans="14:15">
      <c r="N344" s="150">
        <v>344</v>
      </c>
      <c r="O344" s="150">
        <v>344</v>
      </c>
    </row>
    <row r="345" spans="14:15">
      <c r="N345" s="150">
        <v>345</v>
      </c>
      <c r="O345" s="150">
        <v>345</v>
      </c>
    </row>
    <row r="346" spans="14:15">
      <c r="N346" s="150">
        <v>346</v>
      </c>
      <c r="O346" s="150">
        <v>346</v>
      </c>
    </row>
    <row r="347" spans="14:15">
      <c r="N347" s="150">
        <v>347</v>
      </c>
      <c r="O347" s="150">
        <v>347</v>
      </c>
    </row>
    <row r="348" spans="14:15">
      <c r="N348" s="150">
        <v>348</v>
      </c>
      <c r="O348" s="150">
        <v>348</v>
      </c>
    </row>
    <row r="349" spans="14:15">
      <c r="N349" s="150">
        <v>349</v>
      </c>
      <c r="O349" s="150">
        <v>349</v>
      </c>
    </row>
    <row r="350" spans="14:15">
      <c r="N350" s="150">
        <v>350</v>
      </c>
      <c r="O350" s="150">
        <v>350</v>
      </c>
    </row>
    <row r="351" spans="14:15">
      <c r="N351" s="150">
        <v>351</v>
      </c>
      <c r="O351" s="150">
        <v>351</v>
      </c>
    </row>
    <row r="352" spans="14:15">
      <c r="N352" s="150">
        <v>352</v>
      </c>
      <c r="O352" s="150">
        <v>352</v>
      </c>
    </row>
    <row r="353" spans="14:15">
      <c r="N353" s="150">
        <v>353</v>
      </c>
      <c r="O353" s="150">
        <v>353</v>
      </c>
    </row>
    <row r="354" spans="14:15">
      <c r="N354" s="150">
        <v>354</v>
      </c>
      <c r="O354" s="150">
        <v>354</v>
      </c>
    </row>
    <row r="355" spans="14:15">
      <c r="N355" s="150">
        <v>355</v>
      </c>
      <c r="O355" s="150">
        <v>355</v>
      </c>
    </row>
    <row r="356" spans="14:15">
      <c r="N356" s="150">
        <v>356</v>
      </c>
      <c r="O356" s="150">
        <v>356</v>
      </c>
    </row>
    <row r="357" spans="14:15">
      <c r="N357" s="150">
        <v>357</v>
      </c>
      <c r="O357" s="150">
        <v>357</v>
      </c>
    </row>
    <row r="358" spans="14:15">
      <c r="N358" s="150">
        <v>358</v>
      </c>
      <c r="O358" s="150">
        <v>358</v>
      </c>
    </row>
    <row r="359" spans="14:15">
      <c r="N359" s="150">
        <v>359</v>
      </c>
      <c r="O359" s="150">
        <v>359</v>
      </c>
    </row>
    <row r="360" spans="14:15">
      <c r="N360" s="150">
        <v>360</v>
      </c>
      <c r="O360" s="150">
        <v>360</v>
      </c>
    </row>
    <row r="361" spans="14:15">
      <c r="N361" s="150">
        <v>361</v>
      </c>
      <c r="O361" s="150">
        <v>361</v>
      </c>
    </row>
    <row r="362" spans="14:15">
      <c r="N362" s="150">
        <v>362</v>
      </c>
      <c r="O362" s="150">
        <v>362</v>
      </c>
    </row>
    <row r="363" spans="14:15">
      <c r="N363" s="150">
        <v>363</v>
      </c>
      <c r="O363" s="150">
        <v>363</v>
      </c>
    </row>
    <row r="364" spans="14:15">
      <c r="N364" s="150">
        <v>364</v>
      </c>
      <c r="O364" s="150">
        <v>364</v>
      </c>
    </row>
    <row r="365" spans="14:15">
      <c r="N365" s="150">
        <v>365</v>
      </c>
      <c r="O365" s="150">
        <v>365</v>
      </c>
    </row>
    <row r="366" spans="14:15">
      <c r="N366" s="150">
        <v>366</v>
      </c>
      <c r="O366" s="150">
        <v>366</v>
      </c>
    </row>
    <row r="367" spans="14:15">
      <c r="N367" s="150">
        <v>367</v>
      </c>
      <c r="O367" s="150">
        <v>367</v>
      </c>
    </row>
    <row r="368" spans="14:15">
      <c r="N368" s="150">
        <v>368</v>
      </c>
      <c r="O368" s="150">
        <v>368</v>
      </c>
    </row>
    <row r="369" spans="14:15">
      <c r="N369" s="150">
        <v>369</v>
      </c>
      <c r="O369" s="150">
        <v>369</v>
      </c>
    </row>
    <row r="370" spans="14:15">
      <c r="N370" s="150">
        <v>370</v>
      </c>
      <c r="O370" s="150">
        <v>370</v>
      </c>
    </row>
    <row r="371" spans="14:15">
      <c r="N371" s="150">
        <v>371</v>
      </c>
      <c r="O371" s="150">
        <v>371</v>
      </c>
    </row>
    <row r="372" spans="14:15">
      <c r="N372" s="150">
        <v>372</v>
      </c>
      <c r="O372" s="150">
        <v>372</v>
      </c>
    </row>
    <row r="373" spans="14:15">
      <c r="N373" s="150">
        <v>373</v>
      </c>
      <c r="O373" s="150">
        <v>373</v>
      </c>
    </row>
    <row r="374" spans="14:15">
      <c r="N374" s="150">
        <v>374</v>
      </c>
      <c r="O374" s="150">
        <v>374</v>
      </c>
    </row>
    <row r="375" spans="14:15">
      <c r="N375" s="150">
        <v>375</v>
      </c>
      <c r="O375" s="150">
        <v>375</v>
      </c>
    </row>
    <row r="376" spans="14:15">
      <c r="N376" s="150">
        <v>376</v>
      </c>
      <c r="O376" s="150">
        <v>376</v>
      </c>
    </row>
    <row r="377" spans="14:15">
      <c r="N377" s="150">
        <v>377</v>
      </c>
      <c r="O377" s="150">
        <v>377</v>
      </c>
    </row>
    <row r="378" spans="14:15">
      <c r="N378" s="150">
        <v>378</v>
      </c>
      <c r="O378" s="150">
        <v>378</v>
      </c>
    </row>
    <row r="379" spans="14:15">
      <c r="N379" s="150">
        <v>379</v>
      </c>
      <c r="O379" s="150">
        <v>379</v>
      </c>
    </row>
    <row r="380" spans="14:15">
      <c r="N380" s="150">
        <v>380</v>
      </c>
      <c r="O380" s="150">
        <v>380</v>
      </c>
    </row>
    <row r="381" spans="14:15">
      <c r="N381" s="150">
        <v>381</v>
      </c>
      <c r="O381" s="150">
        <v>381</v>
      </c>
    </row>
    <row r="382" spans="14:15">
      <c r="N382" s="150">
        <v>382</v>
      </c>
      <c r="O382" s="150">
        <v>382</v>
      </c>
    </row>
    <row r="383" spans="14:15">
      <c r="N383" s="150">
        <v>383</v>
      </c>
      <c r="O383" s="150">
        <v>383</v>
      </c>
    </row>
    <row r="384" spans="14:15">
      <c r="N384" s="150">
        <v>384</v>
      </c>
      <c r="O384" s="150">
        <v>384</v>
      </c>
    </row>
    <row r="385" spans="14:15">
      <c r="N385" s="150">
        <v>385</v>
      </c>
      <c r="O385" s="150">
        <v>385</v>
      </c>
    </row>
    <row r="386" spans="14:15">
      <c r="N386" s="150">
        <v>386</v>
      </c>
      <c r="O386" s="150">
        <v>386</v>
      </c>
    </row>
    <row r="387" spans="14:15">
      <c r="N387" s="150">
        <v>387</v>
      </c>
      <c r="O387" s="150">
        <v>387</v>
      </c>
    </row>
    <row r="388" spans="14:15">
      <c r="N388" s="150">
        <v>388</v>
      </c>
      <c r="O388" s="150">
        <v>388</v>
      </c>
    </row>
    <row r="389" spans="14:15">
      <c r="N389" s="150">
        <v>389</v>
      </c>
      <c r="O389" s="150">
        <v>389</v>
      </c>
    </row>
    <row r="390" spans="14:15">
      <c r="N390" s="150">
        <v>390</v>
      </c>
      <c r="O390" s="150">
        <v>390</v>
      </c>
    </row>
    <row r="391" spans="14:15">
      <c r="N391" s="150">
        <v>391</v>
      </c>
      <c r="O391" s="150">
        <v>391</v>
      </c>
    </row>
    <row r="392" spans="14:15">
      <c r="N392" s="150">
        <v>392</v>
      </c>
      <c r="O392" s="150">
        <v>392</v>
      </c>
    </row>
    <row r="393" spans="14:15">
      <c r="N393" s="150">
        <v>393</v>
      </c>
      <c r="O393" s="150">
        <v>393</v>
      </c>
    </row>
    <row r="394" spans="14:15">
      <c r="N394" s="150">
        <v>394</v>
      </c>
      <c r="O394" s="150">
        <v>394</v>
      </c>
    </row>
    <row r="395" spans="14:15">
      <c r="N395" s="150">
        <v>395</v>
      </c>
      <c r="O395" s="150">
        <v>395</v>
      </c>
    </row>
    <row r="396" spans="14:15">
      <c r="N396" s="150">
        <v>396</v>
      </c>
      <c r="O396" s="150">
        <v>396</v>
      </c>
    </row>
    <row r="397" spans="14:15">
      <c r="N397" s="150">
        <v>397</v>
      </c>
      <c r="O397" s="150">
        <v>397</v>
      </c>
    </row>
    <row r="398" spans="14:15">
      <c r="N398" s="150">
        <v>398</v>
      </c>
      <c r="O398" s="150">
        <v>398</v>
      </c>
    </row>
    <row r="399" spans="14:15">
      <c r="N399" s="150">
        <v>399</v>
      </c>
      <c r="O399" s="150">
        <v>399</v>
      </c>
    </row>
    <row r="400" spans="14:15">
      <c r="N400" s="150">
        <v>400</v>
      </c>
      <c r="O400" s="150">
        <v>400</v>
      </c>
    </row>
    <row r="401" spans="14:15">
      <c r="N401" s="150">
        <v>401</v>
      </c>
      <c r="O401" s="150">
        <v>401</v>
      </c>
    </row>
    <row r="402" spans="14:15">
      <c r="N402" s="150">
        <v>402</v>
      </c>
      <c r="O402" s="150">
        <v>402</v>
      </c>
    </row>
    <row r="403" spans="14:15">
      <c r="N403" s="150">
        <v>403</v>
      </c>
      <c r="O403" s="150">
        <v>403</v>
      </c>
    </row>
    <row r="404" spans="14:15">
      <c r="N404" s="150">
        <v>404</v>
      </c>
      <c r="O404" s="150">
        <v>404</v>
      </c>
    </row>
    <row r="405" spans="14:15">
      <c r="N405" s="150">
        <v>405</v>
      </c>
      <c r="O405" s="150">
        <v>405</v>
      </c>
    </row>
    <row r="406" spans="14:15">
      <c r="N406" s="150">
        <v>406</v>
      </c>
      <c r="O406" s="150">
        <v>406</v>
      </c>
    </row>
    <row r="407" spans="14:15">
      <c r="N407" s="150">
        <v>407</v>
      </c>
      <c r="O407" s="150">
        <v>407</v>
      </c>
    </row>
    <row r="408" spans="14:15">
      <c r="N408" s="150">
        <v>408</v>
      </c>
      <c r="O408" s="150">
        <v>408</v>
      </c>
    </row>
    <row r="409" spans="14:15">
      <c r="N409" s="150">
        <v>409</v>
      </c>
      <c r="O409" s="150">
        <v>409</v>
      </c>
    </row>
    <row r="410" spans="14:15">
      <c r="N410" s="150">
        <v>410</v>
      </c>
      <c r="O410" s="150">
        <v>410</v>
      </c>
    </row>
    <row r="411" spans="14:15">
      <c r="N411" s="150">
        <v>411</v>
      </c>
      <c r="O411" s="150">
        <v>411</v>
      </c>
    </row>
    <row r="412" spans="14:15">
      <c r="N412" s="150">
        <v>412</v>
      </c>
      <c r="O412" s="150">
        <v>412</v>
      </c>
    </row>
    <row r="413" spans="14:15">
      <c r="N413" s="150">
        <v>413</v>
      </c>
      <c r="O413" s="150">
        <v>413</v>
      </c>
    </row>
    <row r="414" spans="14:15">
      <c r="N414" s="150">
        <v>414</v>
      </c>
      <c r="O414" s="150">
        <v>414</v>
      </c>
    </row>
    <row r="415" spans="14:15">
      <c r="N415" s="150">
        <v>415</v>
      </c>
      <c r="O415" s="150">
        <v>415</v>
      </c>
    </row>
    <row r="416" spans="14:15">
      <c r="N416" s="150">
        <v>416</v>
      </c>
      <c r="O416" s="150">
        <v>416</v>
      </c>
    </row>
    <row r="417" spans="14:15">
      <c r="N417" s="150">
        <v>417</v>
      </c>
      <c r="O417" s="150">
        <v>417</v>
      </c>
    </row>
    <row r="418" spans="14:15">
      <c r="N418" s="150">
        <v>418</v>
      </c>
      <c r="O418" s="150">
        <v>418</v>
      </c>
    </row>
    <row r="419" spans="14:15">
      <c r="N419" s="150">
        <v>419</v>
      </c>
      <c r="O419" s="150">
        <v>419</v>
      </c>
    </row>
    <row r="420" spans="14:15">
      <c r="N420" s="150">
        <v>420</v>
      </c>
      <c r="O420" s="150">
        <v>420</v>
      </c>
    </row>
    <row r="421" spans="14:15">
      <c r="N421" s="150">
        <v>421</v>
      </c>
      <c r="O421" s="150">
        <v>421</v>
      </c>
    </row>
    <row r="422" spans="14:15">
      <c r="N422" s="150">
        <v>422</v>
      </c>
      <c r="O422" s="150">
        <v>422</v>
      </c>
    </row>
    <row r="423" spans="14:15">
      <c r="N423" s="150">
        <v>423</v>
      </c>
      <c r="O423" s="150">
        <v>423</v>
      </c>
    </row>
    <row r="424" spans="14:15">
      <c r="N424" s="150">
        <v>424</v>
      </c>
      <c r="O424" s="150">
        <v>424</v>
      </c>
    </row>
    <row r="425" spans="14:15">
      <c r="N425" s="150">
        <v>425</v>
      </c>
      <c r="O425" s="150">
        <v>425</v>
      </c>
    </row>
    <row r="426" spans="14:15">
      <c r="N426" s="150">
        <v>426</v>
      </c>
      <c r="O426" s="150">
        <v>426</v>
      </c>
    </row>
    <row r="427" spans="14:15">
      <c r="N427" s="150">
        <v>427</v>
      </c>
      <c r="O427" s="150">
        <v>427</v>
      </c>
    </row>
    <row r="428" spans="14:15">
      <c r="N428" s="150">
        <v>428</v>
      </c>
      <c r="O428" s="150">
        <v>428</v>
      </c>
    </row>
    <row r="429" spans="14:15">
      <c r="N429" s="150">
        <v>429</v>
      </c>
      <c r="O429" s="150">
        <v>429</v>
      </c>
    </row>
    <row r="430" spans="14:15">
      <c r="N430" s="150">
        <v>430</v>
      </c>
      <c r="O430" s="150">
        <v>430</v>
      </c>
    </row>
    <row r="431" spans="14:15">
      <c r="N431" s="150">
        <v>431</v>
      </c>
      <c r="O431" s="150">
        <v>431</v>
      </c>
    </row>
    <row r="432" spans="14:15">
      <c r="N432" s="150">
        <v>432</v>
      </c>
      <c r="O432" s="150">
        <v>432</v>
      </c>
    </row>
    <row r="433" spans="14:15">
      <c r="N433" s="150">
        <v>433</v>
      </c>
      <c r="O433" s="150">
        <v>433</v>
      </c>
    </row>
    <row r="434" spans="14:15">
      <c r="N434" s="150">
        <v>434</v>
      </c>
      <c r="O434" s="150">
        <v>434</v>
      </c>
    </row>
    <row r="435" spans="14:15">
      <c r="N435" s="150">
        <v>435</v>
      </c>
      <c r="O435" s="150">
        <v>435</v>
      </c>
    </row>
    <row r="436" spans="14:15">
      <c r="N436" s="150">
        <v>436</v>
      </c>
      <c r="O436" s="150">
        <v>436</v>
      </c>
    </row>
    <row r="437" spans="14:15">
      <c r="N437" s="150">
        <v>437</v>
      </c>
      <c r="O437" s="150">
        <v>437</v>
      </c>
    </row>
    <row r="438" spans="14:15">
      <c r="N438" s="150">
        <v>438</v>
      </c>
      <c r="O438" s="150">
        <v>438</v>
      </c>
    </row>
    <row r="439" spans="14:15">
      <c r="N439" s="150">
        <v>439</v>
      </c>
      <c r="O439" s="150">
        <v>439</v>
      </c>
    </row>
    <row r="440" spans="14:15">
      <c r="N440" s="150">
        <v>440</v>
      </c>
      <c r="O440" s="150">
        <v>440</v>
      </c>
    </row>
    <row r="441" spans="14:15">
      <c r="N441" s="150">
        <v>441</v>
      </c>
      <c r="O441" s="150">
        <v>441</v>
      </c>
    </row>
    <row r="442" spans="14:15">
      <c r="N442" s="150">
        <v>442</v>
      </c>
      <c r="O442" s="150">
        <v>442</v>
      </c>
    </row>
    <row r="443" spans="14:15">
      <c r="N443" s="150">
        <v>443</v>
      </c>
      <c r="O443" s="150">
        <v>443</v>
      </c>
    </row>
    <row r="444" spans="14:15">
      <c r="N444" s="150">
        <v>444</v>
      </c>
      <c r="O444" s="150">
        <v>444</v>
      </c>
    </row>
    <row r="445" spans="14:15">
      <c r="N445" s="150">
        <v>445</v>
      </c>
      <c r="O445" s="150">
        <v>445</v>
      </c>
    </row>
    <row r="446" spans="14:15">
      <c r="N446" s="150">
        <v>446</v>
      </c>
      <c r="O446" s="150">
        <v>446</v>
      </c>
    </row>
    <row r="447" spans="14:15">
      <c r="N447" s="150">
        <v>447</v>
      </c>
      <c r="O447" s="150">
        <v>447</v>
      </c>
    </row>
    <row r="448" spans="14:15">
      <c r="N448" s="150">
        <v>448</v>
      </c>
      <c r="O448" s="150">
        <v>448</v>
      </c>
    </row>
    <row r="449" spans="14:15">
      <c r="N449" s="150">
        <v>449</v>
      </c>
      <c r="O449" s="150">
        <v>449</v>
      </c>
    </row>
    <row r="450" spans="14:15">
      <c r="N450" s="150">
        <v>450</v>
      </c>
      <c r="O450" s="150">
        <v>450</v>
      </c>
    </row>
    <row r="451" spans="14:15">
      <c r="N451" s="150">
        <v>451</v>
      </c>
      <c r="O451" s="150">
        <v>451</v>
      </c>
    </row>
    <row r="452" spans="14:15">
      <c r="N452" s="150">
        <v>452</v>
      </c>
      <c r="O452" s="150">
        <v>452</v>
      </c>
    </row>
    <row r="453" spans="14:15">
      <c r="N453" s="150">
        <v>453</v>
      </c>
      <c r="O453" s="150">
        <v>453</v>
      </c>
    </row>
    <row r="454" spans="14:15">
      <c r="N454" s="150">
        <v>454</v>
      </c>
      <c r="O454" s="150">
        <v>454</v>
      </c>
    </row>
  </sheetData>
  <autoFilter ref="A7:Z54"/>
  <mergeCells count="34">
    <mergeCell ref="C54:G54"/>
    <mergeCell ref="C6:C7"/>
    <mergeCell ref="D6:D7"/>
    <mergeCell ref="E6:E7"/>
    <mergeCell ref="F6:F7"/>
    <mergeCell ref="G6:G7"/>
    <mergeCell ref="C34:C46"/>
    <mergeCell ref="C50:C53"/>
    <mergeCell ref="D34:D35"/>
    <mergeCell ref="D37:D41"/>
    <mergeCell ref="D45:D46"/>
    <mergeCell ref="D52:D53"/>
    <mergeCell ref="A6:A7"/>
    <mergeCell ref="B6:B7"/>
    <mergeCell ref="C1:C3"/>
    <mergeCell ref="N6:N7"/>
    <mergeCell ref="C21:C24"/>
    <mergeCell ref="N1:O1"/>
    <mergeCell ref="N2:O2"/>
    <mergeCell ref="N3:O3"/>
    <mergeCell ref="O6:O7"/>
    <mergeCell ref="C5:O5"/>
    <mergeCell ref="C4:O4"/>
    <mergeCell ref="D1:M3"/>
    <mergeCell ref="I6:L6"/>
    <mergeCell ref="H6:H7"/>
    <mergeCell ref="M6:M7"/>
    <mergeCell ref="Y6:Z6"/>
    <mergeCell ref="T6:X6"/>
    <mergeCell ref="S6:S7"/>
    <mergeCell ref="P33:P53"/>
    <mergeCell ref="Q33:Q53"/>
    <mergeCell ref="R33:R53"/>
    <mergeCell ref="S33:S53"/>
  </mergeCells>
  <pageMargins left="0.7" right="0.7" top="0.75" bottom="0.75" header="0.3" footer="0.3"/>
  <pageSetup orientation="portrait" verticalDpi="597"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tint="-4.9989318521683403E-2"/>
  </sheetPr>
  <dimension ref="A1:K22"/>
  <sheetViews>
    <sheetView zoomScale="80" zoomScaleNormal="80" workbookViewId="0">
      <pane xSplit="2" ySplit="8" topLeftCell="C9" activePane="bottomRight" state="frozen"/>
      <selection activeCell="F55" sqref="F55"/>
      <selection pane="topRight" activeCell="F55" sqref="F55"/>
      <selection pane="bottomLeft" activeCell="F55" sqref="F55"/>
      <selection pane="bottomRight" activeCell="B20" sqref="B20"/>
    </sheetView>
  </sheetViews>
  <sheetFormatPr baseColWidth="10" defaultRowHeight="15"/>
  <cols>
    <col min="1" max="1" width="8.42578125" customWidth="1"/>
    <col min="2" max="2" width="43.42578125" customWidth="1"/>
    <col min="3" max="3" width="10.42578125" customWidth="1"/>
    <col min="4" max="4" width="12.5703125" customWidth="1"/>
    <col min="5" max="5" width="17.28515625" customWidth="1"/>
    <col min="6" max="6" width="17.42578125" customWidth="1"/>
    <col min="7" max="7" width="15.28515625" customWidth="1"/>
    <col min="8" max="8" width="15.85546875" customWidth="1"/>
    <col min="9" max="9" width="15.42578125" customWidth="1"/>
    <col min="10" max="10" width="20" customWidth="1"/>
    <col min="11" max="11" width="15.140625" customWidth="1"/>
  </cols>
  <sheetData>
    <row r="1" spans="1:11" ht="15" customHeight="1" thickBot="1">
      <c r="B1" s="2201"/>
      <c r="C1" s="2185" t="s">
        <v>434</v>
      </c>
      <c r="D1" s="2186"/>
      <c r="E1" s="2186"/>
      <c r="F1" s="2186"/>
      <c r="G1" s="2186"/>
      <c r="H1" s="2186"/>
      <c r="I1" s="2187"/>
      <c r="J1" s="1721" t="s">
        <v>980</v>
      </c>
      <c r="K1" s="1722"/>
    </row>
    <row r="2" spans="1:11" ht="15.75" thickBot="1">
      <c r="B2" s="2202"/>
      <c r="C2" s="2188"/>
      <c r="D2" s="2189"/>
      <c r="E2" s="2189"/>
      <c r="F2" s="2189"/>
      <c r="G2" s="2189"/>
      <c r="H2" s="2189"/>
      <c r="I2" s="2190"/>
      <c r="J2" s="1721" t="s">
        <v>365</v>
      </c>
      <c r="K2" s="1722"/>
    </row>
    <row r="3" spans="1:11" ht="26.25" customHeight="1" thickBot="1">
      <c r="B3" s="2203"/>
      <c r="C3" s="2191"/>
      <c r="D3" s="2192"/>
      <c r="E3" s="2192"/>
      <c r="F3" s="2192"/>
      <c r="G3" s="2192"/>
      <c r="H3" s="2192"/>
      <c r="I3" s="2193"/>
      <c r="J3" s="1721" t="s">
        <v>366</v>
      </c>
      <c r="K3" s="1722"/>
    </row>
    <row r="4" spans="1:11" ht="15.75" thickBot="1">
      <c r="B4" s="2145" t="s">
        <v>282</v>
      </c>
      <c r="C4" s="2146"/>
      <c r="D4" s="2146"/>
      <c r="E4" s="2146"/>
      <c r="F4" s="2146"/>
      <c r="G4" s="2146"/>
      <c r="H4" s="2146"/>
      <c r="I4" s="2146"/>
      <c r="J4" s="2146"/>
      <c r="K4" s="2147"/>
    </row>
    <row r="5" spans="1:11" ht="15.75" thickBot="1">
      <c r="B5" s="2145" t="s">
        <v>1390</v>
      </c>
      <c r="C5" s="2146"/>
      <c r="D5" s="2146"/>
      <c r="E5" s="2146"/>
      <c r="F5" s="2146"/>
      <c r="G5" s="2146"/>
      <c r="H5" s="2146"/>
      <c r="I5" s="2146"/>
      <c r="J5" s="2146"/>
      <c r="K5" s="2147"/>
    </row>
    <row r="6" spans="1:11" ht="15" customHeight="1" thickBot="1">
      <c r="A6" s="2135" t="s">
        <v>278</v>
      </c>
      <c r="B6" s="2197" t="s">
        <v>188</v>
      </c>
      <c r="C6" s="2206">
        <v>2024</v>
      </c>
      <c r="D6" s="2207"/>
      <c r="E6" s="2207"/>
      <c r="F6" s="2207"/>
      <c r="G6" s="2207"/>
      <c r="H6" s="2207"/>
      <c r="I6" s="2207"/>
      <c r="J6" s="2207"/>
      <c r="K6" s="2208"/>
    </row>
    <row r="7" spans="1:11" ht="24" customHeight="1" thickBot="1">
      <c r="A7" s="2135"/>
      <c r="B7" s="2198"/>
      <c r="C7" s="2159" t="s">
        <v>190</v>
      </c>
      <c r="D7" s="2159" t="s">
        <v>191</v>
      </c>
      <c r="E7" s="193" t="s">
        <v>189</v>
      </c>
      <c r="F7" s="2135" t="s">
        <v>324</v>
      </c>
      <c r="G7" s="193" t="s">
        <v>527</v>
      </c>
      <c r="H7" s="2200" t="s">
        <v>1126</v>
      </c>
      <c r="I7" s="2209" t="s">
        <v>356</v>
      </c>
      <c r="J7" s="2209" t="s">
        <v>1064</v>
      </c>
      <c r="K7" s="2204" t="s">
        <v>1267</v>
      </c>
    </row>
    <row r="8" spans="1:11" ht="15.75" thickBot="1">
      <c r="A8" s="2135"/>
      <c r="B8" s="2199"/>
      <c r="C8" s="2200"/>
      <c r="D8" s="2200"/>
      <c r="E8" s="493" t="s">
        <v>208</v>
      </c>
      <c r="F8" s="2210"/>
      <c r="G8" s="493" t="s">
        <v>208</v>
      </c>
      <c r="H8" s="2172"/>
      <c r="I8" s="2204"/>
      <c r="J8" s="2204"/>
      <c r="K8" s="2205"/>
    </row>
    <row r="9" spans="1:11" ht="27.75" customHeight="1" thickBot="1">
      <c r="A9" s="163">
        <v>3201003</v>
      </c>
      <c r="B9" s="154" t="s">
        <v>1426</v>
      </c>
      <c r="C9" s="1677" t="s">
        <v>1098</v>
      </c>
      <c r="D9" s="1677">
        <v>100</v>
      </c>
      <c r="E9" s="610">
        <f t="shared" ref="E9:K9" si="0">SUM(E10:E15)</f>
        <v>442525293.94513398</v>
      </c>
      <c r="F9" s="610">
        <f t="shared" si="0"/>
        <v>442525293.94513398</v>
      </c>
      <c r="G9" s="610">
        <f t="shared" si="0"/>
        <v>90000000</v>
      </c>
      <c r="H9" s="610">
        <f t="shared" si="0"/>
        <v>90000000</v>
      </c>
      <c r="I9" s="610">
        <f t="shared" si="0"/>
        <v>650438916.22000003</v>
      </c>
      <c r="J9" s="610">
        <f t="shared" si="0"/>
        <v>1182964210.165134</v>
      </c>
      <c r="K9" s="962">
        <f t="shared" si="0"/>
        <v>45000000</v>
      </c>
    </row>
    <row r="10" spans="1:11" ht="38.25" customHeight="1">
      <c r="B10" s="26" t="s">
        <v>1057</v>
      </c>
      <c r="C10" s="1679" t="s">
        <v>408</v>
      </c>
      <c r="D10" s="1679">
        <v>17</v>
      </c>
      <c r="E10" s="538">
        <f>+'ACCIONES 320102'!I10</f>
        <v>57698358.400000006</v>
      </c>
      <c r="F10" s="538">
        <f>+'ACCIONES 320102'!J10</f>
        <v>57698358.400000006</v>
      </c>
      <c r="G10" s="538">
        <f>+'ACCIONES 320102'!K10</f>
        <v>0</v>
      </c>
      <c r="H10" s="538">
        <f>+'ACCIONES 320102'!L10</f>
        <v>0</v>
      </c>
      <c r="I10" s="538">
        <f>+'ACCIONES 320102'!M10</f>
        <v>0</v>
      </c>
      <c r="J10" s="538">
        <f>+'ACCIONES 320102'!N10</f>
        <v>57698358.400000006</v>
      </c>
      <c r="K10" s="539">
        <f>+'ACCIONES 320102'!O10</f>
        <v>0</v>
      </c>
    </row>
    <row r="11" spans="1:11" ht="33" customHeight="1">
      <c r="B11" s="5" t="s">
        <v>1058</v>
      </c>
      <c r="C11" s="6" t="s">
        <v>1098</v>
      </c>
      <c r="D11" s="10">
        <v>42</v>
      </c>
      <c r="E11" s="281">
        <f>+'ACCIONES 320102'!I19</f>
        <v>49951811.200000003</v>
      </c>
      <c r="F11" s="281">
        <f>+'ACCIONES 320102'!J19</f>
        <v>49951811.200000003</v>
      </c>
      <c r="G11" s="281">
        <f>+'ACCIONES 320102'!K19</f>
        <v>0</v>
      </c>
      <c r="H11" s="281">
        <f>+'ACCIONES 320102'!L19</f>
        <v>0</v>
      </c>
      <c r="I11" s="281">
        <f>+'ACCIONES 320102'!M19</f>
        <v>0</v>
      </c>
      <c r="J11" s="281">
        <f>+'ACCIONES 320102'!N19</f>
        <v>49951811.200000003</v>
      </c>
      <c r="K11" s="300">
        <f>+'ACCIONES 320102'!O19</f>
        <v>0</v>
      </c>
    </row>
    <row r="12" spans="1:11" ht="33" customHeight="1">
      <c r="B12" s="5" t="s">
        <v>994</v>
      </c>
      <c r="C12" s="1652" t="s">
        <v>408</v>
      </c>
      <c r="D12" s="1652">
        <v>5</v>
      </c>
      <c r="E12" s="281">
        <f>+'ACCIONES 320102'!I25</f>
        <v>184169101.94513398</v>
      </c>
      <c r="F12" s="281">
        <f>+'ACCIONES 320102'!J25</f>
        <v>184169101.94513398</v>
      </c>
      <c r="G12" s="281">
        <f>+'ACCIONES 320102'!K25</f>
        <v>90000000</v>
      </c>
      <c r="H12" s="281">
        <f>+'ACCIONES 320102'!L25</f>
        <v>90000000</v>
      </c>
      <c r="I12" s="281">
        <f>+'ACCIONES 320102'!M25</f>
        <v>0</v>
      </c>
      <c r="J12" s="281">
        <f>+'ACCIONES 320102'!N25</f>
        <v>274169101.94513398</v>
      </c>
      <c r="K12" s="300">
        <f>+'ACCIONES 320102'!O25</f>
        <v>45000000</v>
      </c>
    </row>
    <row r="13" spans="1:11" ht="33" customHeight="1">
      <c r="B13" s="5" t="s">
        <v>1059</v>
      </c>
      <c r="C13" s="6" t="s">
        <v>1098</v>
      </c>
      <c r="D13" s="6">
        <v>80</v>
      </c>
      <c r="E13" s="281">
        <f>+'ACCIONES 320102'!I32</f>
        <v>49951811.200000003</v>
      </c>
      <c r="F13" s="281">
        <f>+'ACCIONES 320102'!J32</f>
        <v>49951811.200000003</v>
      </c>
      <c r="G13" s="281">
        <f>+'ACCIONES 320102'!K32</f>
        <v>0</v>
      </c>
      <c r="H13" s="281">
        <f>+'ACCIONES 320102'!L32</f>
        <v>0</v>
      </c>
      <c r="I13" s="281">
        <f>+'ACCIONES 320102'!M32</f>
        <v>0</v>
      </c>
      <c r="J13" s="281">
        <f>+'ACCIONES 320102'!N32</f>
        <v>49951811.200000003</v>
      </c>
      <c r="K13" s="300">
        <f>+'ACCIONES 320102'!O32</f>
        <v>0</v>
      </c>
    </row>
    <row r="14" spans="1:11" ht="33" customHeight="1">
      <c r="B14" s="5" t="s">
        <v>1060</v>
      </c>
      <c r="C14" s="6" t="s">
        <v>1098</v>
      </c>
      <c r="D14" s="6">
        <v>5</v>
      </c>
      <c r="E14" s="281">
        <f>+'ACCIONES 320102'!I38</f>
        <v>100754211.2</v>
      </c>
      <c r="F14" s="281">
        <f>+'ACCIONES 320102'!J38</f>
        <v>100754211.2</v>
      </c>
      <c r="G14" s="281">
        <f>+'ACCIONES 320102'!K38</f>
        <v>0</v>
      </c>
      <c r="H14" s="281">
        <f>+'ACCIONES 320102'!L38</f>
        <v>0</v>
      </c>
      <c r="I14" s="281">
        <f>+'ACCIONES 320102'!M38</f>
        <v>0</v>
      </c>
      <c r="J14" s="281">
        <f>+'ACCIONES 320102'!N38</f>
        <v>100754211.2</v>
      </c>
      <c r="K14" s="300">
        <f>+'ACCIONES 320102'!O38</f>
        <v>0</v>
      </c>
    </row>
    <row r="15" spans="1:11" ht="33" customHeight="1" thickBot="1">
      <c r="B15" s="1846" t="s">
        <v>802</v>
      </c>
      <c r="C15" s="101"/>
      <c r="D15" s="101"/>
      <c r="E15" s="540">
        <f>+'ACCIONES 320102'!I46</f>
        <v>0</v>
      </c>
      <c r="F15" s="540">
        <f>+'ACCIONES 320102'!J46</f>
        <v>0</v>
      </c>
      <c r="G15" s="540">
        <f>+'ACCIONES 320102'!K46</f>
        <v>0</v>
      </c>
      <c r="H15" s="540">
        <f>+'ACCIONES 320102'!L46</f>
        <v>0</v>
      </c>
      <c r="I15" s="540">
        <f>+'ACCIONES 320102'!M46</f>
        <v>650438916.22000003</v>
      </c>
      <c r="J15" s="540">
        <f>+'ACCIONES 320102'!N46</f>
        <v>650438916.22000003</v>
      </c>
      <c r="K15" s="541">
        <f>+'ACCIONES 320102'!O46</f>
        <v>0</v>
      </c>
    </row>
    <row r="16" spans="1:11" ht="26.25" thickBot="1">
      <c r="A16" s="164">
        <v>3201003</v>
      </c>
      <c r="B16" s="1774" t="s">
        <v>1062</v>
      </c>
      <c r="C16" s="1775" t="s">
        <v>1099</v>
      </c>
      <c r="D16" s="1775">
        <v>800</v>
      </c>
      <c r="E16" s="1776">
        <f>SUM(E17)</f>
        <v>49951811.200000003</v>
      </c>
      <c r="F16" s="1776">
        <f t="shared" ref="F16:K16" si="1">SUM(F17)</f>
        <v>49951811.200000003</v>
      </c>
      <c r="G16" s="1776">
        <f t="shared" si="1"/>
        <v>0</v>
      </c>
      <c r="H16" s="1776">
        <f t="shared" si="1"/>
        <v>0</v>
      </c>
      <c r="I16" s="1776">
        <f t="shared" si="1"/>
        <v>0</v>
      </c>
      <c r="J16" s="1776">
        <f t="shared" si="1"/>
        <v>49951811.200000003</v>
      </c>
      <c r="K16" s="1777">
        <f t="shared" si="1"/>
        <v>0</v>
      </c>
    </row>
    <row r="17" spans="2:11" ht="33" customHeight="1" thickBot="1">
      <c r="B17" s="587" t="s">
        <v>1063</v>
      </c>
      <c r="C17" s="1779" t="s">
        <v>1099</v>
      </c>
      <c r="D17" s="1779">
        <v>800</v>
      </c>
      <c r="E17" s="993">
        <f>+'ACCIONES 320102'!I74</f>
        <v>49951811.200000003</v>
      </c>
      <c r="F17" s="993">
        <f>+'ACCIONES 320102'!J74</f>
        <v>49951811.200000003</v>
      </c>
      <c r="G17" s="993">
        <f>+'ACCIONES 320102'!K74</f>
        <v>0</v>
      </c>
      <c r="H17" s="993">
        <f>+'ACCIONES 320102'!L74</f>
        <v>0</v>
      </c>
      <c r="I17" s="993">
        <f>+'ACCIONES 320102'!M74</f>
        <v>0</v>
      </c>
      <c r="J17" s="993">
        <f>+'ACCIONES 320102'!N74</f>
        <v>49951811.200000003</v>
      </c>
      <c r="K17" s="994">
        <f>+'ACCIONES 320102'!O74</f>
        <v>0</v>
      </c>
    </row>
    <row r="18" spans="2:11" ht="15.75" thickBot="1">
      <c r="B18" s="2194" t="s">
        <v>205</v>
      </c>
      <c r="C18" s="2195"/>
      <c r="D18" s="2196"/>
      <c r="E18" s="1778">
        <f t="shared" ref="E18:K18" si="2">+E9+E16</f>
        <v>492477105.14513397</v>
      </c>
      <c r="F18" s="1778">
        <f t="shared" si="2"/>
        <v>492477105.14513397</v>
      </c>
      <c r="G18" s="1778">
        <f t="shared" si="2"/>
        <v>90000000</v>
      </c>
      <c r="H18" s="1778">
        <f t="shared" si="2"/>
        <v>90000000</v>
      </c>
      <c r="I18" s="1778">
        <f t="shared" si="2"/>
        <v>650438916.22000003</v>
      </c>
      <c r="J18" s="1778">
        <f t="shared" si="2"/>
        <v>1232916021.365134</v>
      </c>
      <c r="K18" s="1778">
        <f t="shared" si="2"/>
        <v>45000000</v>
      </c>
    </row>
    <row r="19" spans="2:11" ht="15.75" thickBot="1"/>
    <row r="20" spans="2:11" ht="15.75" thickBot="1">
      <c r="E20" s="189">
        <v>492477104.54513365</v>
      </c>
      <c r="F20" s="189">
        <v>492477104.54513365</v>
      </c>
      <c r="G20" s="190">
        <v>90000000</v>
      </c>
      <c r="H20" s="190">
        <v>90000000</v>
      </c>
      <c r="I20" s="190">
        <v>650438916</v>
      </c>
      <c r="J20" s="190">
        <f>582477105+650438916.22</f>
        <v>1232916021.22</v>
      </c>
      <c r="K20" s="190">
        <v>45000000</v>
      </c>
    </row>
    <row r="22" spans="2:11">
      <c r="E22" s="25">
        <f>+E20-E18</f>
        <v>-0.60000032186508179</v>
      </c>
      <c r="F22" s="25">
        <f>+F20-F18</f>
        <v>-0.60000032186508179</v>
      </c>
      <c r="G22" s="25">
        <f>+G20-G18</f>
        <v>0</v>
      </c>
      <c r="H22" s="25">
        <f t="shared" ref="H22:K22" si="3">+H20-H18</f>
        <v>0</v>
      </c>
      <c r="I22" s="25">
        <f t="shared" si="3"/>
        <v>-0.22000002861022949</v>
      </c>
      <c r="J22" s="25">
        <f t="shared" si="3"/>
        <v>-0.14513397216796875</v>
      </c>
      <c r="K22" s="25">
        <f t="shared" si="3"/>
        <v>0</v>
      </c>
    </row>
  </sheetData>
  <mergeCells count="15">
    <mergeCell ref="K7:K8"/>
    <mergeCell ref="B4:K4"/>
    <mergeCell ref="B5:K5"/>
    <mergeCell ref="C6:K6"/>
    <mergeCell ref="J7:J8"/>
    <mergeCell ref="F7:F8"/>
    <mergeCell ref="I7:I8"/>
    <mergeCell ref="H7:H8"/>
    <mergeCell ref="C1:I3"/>
    <mergeCell ref="A6:A8"/>
    <mergeCell ref="B18:D18"/>
    <mergeCell ref="B6:B8"/>
    <mergeCell ref="D7:D8"/>
    <mergeCell ref="C7:C8"/>
    <mergeCell ref="B1:B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0" tint="-4.9989318521683403E-2"/>
  </sheetPr>
  <dimension ref="A1:X90"/>
  <sheetViews>
    <sheetView topLeftCell="B1" zoomScale="80" zoomScaleNormal="80" workbookViewId="0">
      <selection activeCell="M29" sqref="M29"/>
    </sheetView>
  </sheetViews>
  <sheetFormatPr baseColWidth="10" defaultColWidth="11.42578125" defaultRowHeight="12.75"/>
  <cols>
    <col min="1" max="1" width="7.28515625" style="1841" customWidth="1"/>
    <col min="2" max="2" width="6.85546875" style="1841" customWidth="1"/>
    <col min="3" max="3" width="41.7109375" style="150" customWidth="1"/>
    <col min="4" max="4" width="17.28515625" style="150" customWidth="1"/>
    <col min="5" max="5" width="11" style="150" customWidth="1"/>
    <col min="6" max="6" width="8.85546875" style="150" customWidth="1"/>
    <col min="7" max="7" width="10.42578125" style="151" customWidth="1"/>
    <col min="8" max="8" width="12.140625" style="151" customWidth="1"/>
    <col min="9" max="9" width="15.7109375" style="151" customWidth="1"/>
    <col min="10" max="10" width="15.42578125" style="150" customWidth="1"/>
    <col min="11" max="11" width="13.7109375" style="150" customWidth="1"/>
    <col min="12" max="12" width="15.7109375" style="150" customWidth="1"/>
    <col min="13" max="13" width="13.140625" style="150" customWidth="1"/>
    <col min="14" max="14" width="15.5703125" style="150" customWidth="1"/>
    <col min="15" max="15" width="16.5703125" style="150" customWidth="1"/>
    <col min="16" max="16" width="14.28515625" style="150" customWidth="1"/>
    <col min="17" max="17" width="16.28515625" style="150" customWidth="1"/>
    <col min="18" max="19" width="14.5703125" style="150" customWidth="1"/>
    <col min="20" max="20" width="19.28515625" style="150" customWidth="1"/>
    <col min="21" max="21" width="14.28515625" style="150" bestFit="1" customWidth="1"/>
    <col min="22" max="22" width="13.28515625" style="150" bestFit="1" customWidth="1"/>
    <col min="23" max="23" width="22" style="150" bestFit="1" customWidth="1"/>
    <col min="24" max="24" width="20.7109375" style="150" customWidth="1"/>
    <col min="25" max="16384" width="11.42578125" style="150"/>
  </cols>
  <sheetData>
    <row r="1" spans="1:24" ht="15.75" customHeight="1" thickBot="1">
      <c r="C1" s="2223"/>
      <c r="D1" s="2236" t="s">
        <v>434</v>
      </c>
      <c r="E1" s="2237"/>
      <c r="F1" s="2237"/>
      <c r="G1" s="2237"/>
      <c r="H1" s="2237"/>
      <c r="I1" s="2237"/>
      <c r="J1" s="2237"/>
      <c r="K1" s="2237"/>
      <c r="L1" s="2237"/>
      <c r="M1" s="2237"/>
      <c r="N1" s="2137" t="s">
        <v>980</v>
      </c>
      <c r="O1" s="2138"/>
    </row>
    <row r="2" spans="1:24" ht="15" customHeight="1" thickBot="1">
      <c r="C2" s="2224"/>
      <c r="D2" s="2236"/>
      <c r="E2" s="2237"/>
      <c r="F2" s="2237"/>
      <c r="G2" s="2237"/>
      <c r="H2" s="2237"/>
      <c r="I2" s="2237"/>
      <c r="J2" s="2237"/>
      <c r="K2" s="2237"/>
      <c r="L2" s="2237"/>
      <c r="M2" s="2237"/>
      <c r="N2" s="2137" t="s">
        <v>365</v>
      </c>
      <c r="O2" s="2138"/>
    </row>
    <row r="3" spans="1:24" ht="15.75" customHeight="1" thickBot="1">
      <c r="C3" s="2225"/>
      <c r="D3" s="2236"/>
      <c r="E3" s="2237"/>
      <c r="F3" s="2237"/>
      <c r="G3" s="2237"/>
      <c r="H3" s="2237"/>
      <c r="I3" s="2237"/>
      <c r="J3" s="2237"/>
      <c r="K3" s="2237"/>
      <c r="L3" s="2237"/>
      <c r="M3" s="2237"/>
      <c r="N3" s="2137" t="s">
        <v>366</v>
      </c>
      <c r="O3" s="2138"/>
    </row>
    <row r="4" spans="1:24" ht="15.75" customHeight="1" thickBot="1">
      <c r="C4" s="2175" t="s">
        <v>282</v>
      </c>
      <c r="D4" s="2176"/>
      <c r="E4" s="2176"/>
      <c r="F4" s="2176"/>
      <c r="G4" s="2176"/>
      <c r="H4" s="2176"/>
      <c r="I4" s="2176"/>
      <c r="J4" s="2176"/>
      <c r="K4" s="2176"/>
      <c r="L4" s="2176"/>
      <c r="M4" s="2176"/>
      <c r="N4" s="2176"/>
      <c r="O4" s="2230"/>
    </row>
    <row r="5" spans="1:24" ht="15.75" customHeight="1" thickBot="1">
      <c r="C5" s="2175" t="s">
        <v>1390</v>
      </c>
      <c r="D5" s="2176"/>
      <c r="E5" s="2176"/>
      <c r="F5" s="2176"/>
      <c r="G5" s="2176"/>
      <c r="H5" s="2176"/>
      <c r="I5" s="2176"/>
      <c r="J5" s="2176"/>
      <c r="K5" s="2176"/>
      <c r="L5" s="2176"/>
      <c r="M5" s="2176"/>
      <c r="N5" s="2176"/>
      <c r="O5" s="2230"/>
    </row>
    <row r="6" spans="1:24" ht="12.75" customHeight="1" thickBot="1">
      <c r="A6" s="2211" t="s">
        <v>368</v>
      </c>
      <c r="B6" s="2213" t="s">
        <v>369</v>
      </c>
      <c r="C6" s="2226" t="s">
        <v>311</v>
      </c>
      <c r="D6" s="2218" t="s">
        <v>206</v>
      </c>
      <c r="E6" s="2231" t="s">
        <v>383</v>
      </c>
      <c r="F6" s="2042" t="s">
        <v>313</v>
      </c>
      <c r="G6" s="2233" t="s">
        <v>191</v>
      </c>
      <c r="H6" s="2215" t="s">
        <v>387</v>
      </c>
      <c r="I6" s="623" t="s">
        <v>189</v>
      </c>
      <c r="J6" s="2200" t="s">
        <v>324</v>
      </c>
      <c r="K6" s="2228" t="s">
        <v>916</v>
      </c>
      <c r="L6" s="2200" t="s">
        <v>1126</v>
      </c>
      <c r="M6" s="2220" t="s">
        <v>356</v>
      </c>
      <c r="N6" s="2234" t="s">
        <v>987</v>
      </c>
      <c r="O6" s="2234" t="s">
        <v>1267</v>
      </c>
    </row>
    <row r="7" spans="1:24" ht="39" customHeight="1" thickBot="1">
      <c r="A7" s="2211"/>
      <c r="B7" s="2213"/>
      <c r="C7" s="2227"/>
      <c r="D7" s="2219"/>
      <c r="E7" s="2232"/>
      <c r="F7" s="2211"/>
      <c r="G7" s="2213"/>
      <c r="H7" s="2216"/>
      <c r="I7" s="2214" t="s">
        <v>208</v>
      </c>
      <c r="J7" s="2172"/>
      <c r="K7" s="2229"/>
      <c r="L7" s="2172"/>
      <c r="M7" s="2220"/>
      <c r="N7" s="2235"/>
      <c r="O7" s="2235"/>
      <c r="P7" s="745" t="s">
        <v>1280</v>
      </c>
      <c r="Q7" s="1024" t="s">
        <v>1276</v>
      </c>
      <c r="R7" s="1024" t="s">
        <v>1277</v>
      </c>
      <c r="S7" s="2156" t="s">
        <v>1278</v>
      </c>
      <c r="T7" s="2155" t="s">
        <v>1279</v>
      </c>
      <c r="U7" s="2155"/>
      <c r="V7" s="1030"/>
      <c r="W7" s="2154" t="s">
        <v>1302</v>
      </c>
      <c r="X7" s="2154"/>
    </row>
    <row r="8" spans="1:24" ht="29.25" customHeight="1" thickBot="1">
      <c r="A8" s="2212"/>
      <c r="B8" s="2214"/>
      <c r="C8" s="2179"/>
      <c r="D8" s="2219"/>
      <c r="E8" s="2232"/>
      <c r="F8" s="2212"/>
      <c r="G8" s="2214"/>
      <c r="H8" s="2217"/>
      <c r="I8" s="2222"/>
      <c r="J8" s="2172"/>
      <c r="K8" s="616" t="s">
        <v>917</v>
      </c>
      <c r="L8" s="2172"/>
      <c r="M8" s="2221"/>
      <c r="N8" s="2235"/>
      <c r="O8" s="2235"/>
      <c r="P8" s="1030"/>
      <c r="Q8" s="1030"/>
      <c r="R8" s="1030"/>
      <c r="S8" s="2156"/>
      <c r="T8" s="745" t="s">
        <v>1282</v>
      </c>
      <c r="U8" s="1029" t="s">
        <v>1281</v>
      </c>
      <c r="V8" s="1030" t="s">
        <v>356</v>
      </c>
      <c r="W8" s="157" t="s">
        <v>1288</v>
      </c>
      <c r="X8" s="157" t="s">
        <v>1289</v>
      </c>
    </row>
    <row r="9" spans="1:24" ht="53.25" customHeight="1" thickBot="1">
      <c r="A9" s="1866">
        <v>202</v>
      </c>
      <c r="B9" s="1872"/>
      <c r="C9" s="1849" t="s">
        <v>1426</v>
      </c>
      <c r="D9" s="195"/>
      <c r="E9" s="195"/>
      <c r="F9" s="198" t="s">
        <v>1098</v>
      </c>
      <c r="G9" s="198">
        <v>100</v>
      </c>
      <c r="H9" s="198"/>
      <c r="I9" s="1799">
        <f t="shared" ref="I9:L9" si="0">+I10+I19+I25+I32+I38+I46</f>
        <v>442525293.94513398</v>
      </c>
      <c r="J9" s="1799">
        <f t="shared" si="0"/>
        <v>442525293.94513398</v>
      </c>
      <c r="K9" s="1799">
        <f t="shared" si="0"/>
        <v>90000000</v>
      </c>
      <c r="L9" s="1799">
        <f t="shared" si="0"/>
        <v>90000000</v>
      </c>
      <c r="M9" s="1799">
        <f>+M10+M19+M25+M32+M38+M46</f>
        <v>650438916.22000003</v>
      </c>
      <c r="N9" s="1799">
        <f t="shared" ref="N9:O9" si="1">+N10+N19+N25+N32+N38+N46</f>
        <v>1182964210.165134</v>
      </c>
      <c r="O9" s="1800">
        <f t="shared" si="1"/>
        <v>45000000</v>
      </c>
      <c r="P9" s="1025"/>
      <c r="Q9" s="1025"/>
      <c r="R9" s="1025"/>
      <c r="S9" s="1025"/>
      <c r="T9" s="1025"/>
      <c r="U9" s="1025"/>
      <c r="V9" s="1025"/>
    </row>
    <row r="10" spans="1:24" ht="49.5" customHeight="1">
      <c r="A10" s="1866"/>
      <c r="B10" s="1872" t="s">
        <v>1460</v>
      </c>
      <c r="C10" s="1850" t="s">
        <v>1057</v>
      </c>
      <c r="D10" s="194"/>
      <c r="E10" s="194"/>
      <c r="F10" s="197" t="s">
        <v>408</v>
      </c>
      <c r="G10" s="197">
        <v>17</v>
      </c>
      <c r="H10" s="197"/>
      <c r="I10" s="337">
        <f t="shared" ref="I10:O10" si="2">SUM(I11:I18)</f>
        <v>57698358.400000006</v>
      </c>
      <c r="J10" s="337">
        <f t="shared" si="2"/>
        <v>57698358.400000006</v>
      </c>
      <c r="K10" s="337">
        <f t="shared" si="2"/>
        <v>0</v>
      </c>
      <c r="L10" s="337">
        <f t="shared" si="2"/>
        <v>0</v>
      </c>
      <c r="M10" s="337">
        <f t="shared" si="2"/>
        <v>0</v>
      </c>
      <c r="N10" s="337">
        <f t="shared" si="2"/>
        <v>57698358.400000006</v>
      </c>
      <c r="O10" s="202">
        <f t="shared" si="2"/>
        <v>0</v>
      </c>
      <c r="P10" s="1025"/>
      <c r="Q10" s="1025"/>
      <c r="R10" s="1025"/>
      <c r="S10" s="1025"/>
      <c r="T10" s="1025"/>
      <c r="U10" s="1025"/>
      <c r="V10" s="1025"/>
    </row>
    <row r="11" spans="1:24" s="1080" customFormat="1" ht="25.5">
      <c r="A11" s="1055"/>
      <c r="B11" s="1055"/>
      <c r="C11" s="1851" t="s">
        <v>384</v>
      </c>
      <c r="D11" s="1096" t="s">
        <v>211</v>
      </c>
      <c r="E11" s="1096">
        <v>83990</v>
      </c>
      <c r="F11" s="1096" t="s">
        <v>386</v>
      </c>
      <c r="G11" s="1096">
        <v>11</v>
      </c>
      <c r="H11" s="1116">
        <v>5644889.5999999996</v>
      </c>
      <c r="I11" s="1117">
        <f>(62093785.9-865849.899999999)/5</f>
        <v>12245587.199999999</v>
      </c>
      <c r="J11" s="1118">
        <f t="shared" ref="J11:J15" si="3">+SUM(I11)</f>
        <v>12245587.199999999</v>
      </c>
      <c r="K11" s="1118"/>
      <c r="L11" s="1118">
        <f>+K11</f>
        <v>0</v>
      </c>
      <c r="M11" s="1118"/>
      <c r="N11" s="1118">
        <f>+J11+K11+M11</f>
        <v>12245587.199999999</v>
      </c>
      <c r="O11" s="1119"/>
      <c r="P11" s="1083">
        <v>12245587.199999999</v>
      </c>
      <c r="Q11" s="1083">
        <v>12245587.199999999</v>
      </c>
      <c r="R11" s="1083">
        <v>12245587.199999999</v>
      </c>
      <c r="S11" s="1083">
        <f>+P11-R11</f>
        <v>0</v>
      </c>
      <c r="T11" s="1083"/>
      <c r="U11" s="1083"/>
      <c r="V11" s="1083"/>
      <c r="W11" s="1080" t="s">
        <v>210</v>
      </c>
      <c r="X11" s="1080" t="s">
        <v>1309</v>
      </c>
    </row>
    <row r="12" spans="1:24" s="1080" customFormat="1" ht="15">
      <c r="A12" s="1055"/>
      <c r="B12" s="1055"/>
      <c r="C12" s="1852" t="s">
        <v>810</v>
      </c>
      <c r="D12" s="1096" t="s">
        <v>211</v>
      </c>
      <c r="E12" s="1096">
        <v>83990</v>
      </c>
      <c r="F12" s="1096" t="s">
        <v>386</v>
      </c>
      <c r="G12" s="1096">
        <v>10</v>
      </c>
      <c r="H12" s="1116">
        <v>4618400</v>
      </c>
      <c r="I12" s="1117">
        <f>46184000/5</f>
        <v>9236800</v>
      </c>
      <c r="J12" s="1118">
        <f t="shared" si="3"/>
        <v>9236800</v>
      </c>
      <c r="K12" s="1118"/>
      <c r="L12" s="1118">
        <f t="shared" ref="L12:L18" si="4">+K12</f>
        <v>0</v>
      </c>
      <c r="M12" s="1118"/>
      <c r="N12" s="1118">
        <f t="shared" ref="N12:N15" si="5">+J12+K12+M12</f>
        <v>9236800</v>
      </c>
      <c r="O12" s="1119"/>
      <c r="P12" s="1083">
        <v>9236800</v>
      </c>
      <c r="Q12" s="1083">
        <v>9236800</v>
      </c>
      <c r="R12" s="1083">
        <v>9236800</v>
      </c>
      <c r="S12" s="1083">
        <f t="shared" ref="S12:S16" si="6">+P12-R12</f>
        <v>0</v>
      </c>
      <c r="T12" s="1083"/>
      <c r="U12" s="1083"/>
      <c r="V12" s="1083"/>
      <c r="W12" s="1080" t="s">
        <v>210</v>
      </c>
      <c r="X12" s="1080" t="s">
        <v>1309</v>
      </c>
    </row>
    <row r="13" spans="1:24" s="1080" customFormat="1" ht="15">
      <c r="A13" s="1055"/>
      <c r="B13" s="1055"/>
      <c r="C13" s="1851" t="s">
        <v>811</v>
      </c>
      <c r="D13" s="1096" t="s">
        <v>211</v>
      </c>
      <c r="E13" s="1096">
        <v>83990</v>
      </c>
      <c r="F13" s="1096" t="s">
        <v>386</v>
      </c>
      <c r="G13" s="1096">
        <v>10</v>
      </c>
      <c r="H13" s="1116">
        <v>4618400</v>
      </c>
      <c r="I13" s="1117">
        <f>46184000/5</f>
        <v>9236800</v>
      </c>
      <c r="J13" s="1118">
        <f t="shared" si="3"/>
        <v>9236800</v>
      </c>
      <c r="K13" s="1118"/>
      <c r="L13" s="1118">
        <f t="shared" si="4"/>
        <v>0</v>
      </c>
      <c r="M13" s="1118"/>
      <c r="N13" s="1118">
        <f t="shared" si="5"/>
        <v>9236800</v>
      </c>
      <c r="O13" s="1119"/>
      <c r="P13" s="1083">
        <v>9236800</v>
      </c>
      <c r="Q13" s="1083">
        <v>9236800</v>
      </c>
      <c r="R13" s="1083">
        <v>9236800</v>
      </c>
      <c r="S13" s="1083">
        <f t="shared" si="6"/>
        <v>0</v>
      </c>
      <c r="T13" s="1083"/>
      <c r="U13" s="1083"/>
      <c r="V13" s="1083"/>
      <c r="W13" s="1080" t="s">
        <v>210</v>
      </c>
      <c r="X13" s="1080" t="s">
        <v>1309</v>
      </c>
    </row>
    <row r="14" spans="1:24" s="1080" customFormat="1" ht="25.5">
      <c r="A14" s="1055"/>
      <c r="B14" s="1055"/>
      <c r="C14" s="1851" t="s">
        <v>385</v>
      </c>
      <c r="D14" s="1096" t="s">
        <v>395</v>
      </c>
      <c r="E14" s="1096">
        <v>83991</v>
      </c>
      <c r="F14" s="1096" t="s">
        <v>386</v>
      </c>
      <c r="G14" s="1096">
        <v>10</v>
      </c>
      <c r="H14" s="1116">
        <v>5220800</v>
      </c>
      <c r="I14" s="1117">
        <f>52208000/5</f>
        <v>10441600</v>
      </c>
      <c r="J14" s="1118">
        <f t="shared" si="3"/>
        <v>10441600</v>
      </c>
      <c r="K14" s="1118"/>
      <c r="L14" s="1118">
        <f t="shared" si="4"/>
        <v>0</v>
      </c>
      <c r="M14" s="1118"/>
      <c r="N14" s="1118">
        <f t="shared" si="5"/>
        <v>10441600</v>
      </c>
      <c r="O14" s="1119"/>
      <c r="P14" s="1083">
        <v>10441600</v>
      </c>
      <c r="Q14" s="1083">
        <v>10441600</v>
      </c>
      <c r="R14" s="1083">
        <v>10441600</v>
      </c>
      <c r="S14" s="1083">
        <f t="shared" si="6"/>
        <v>0</v>
      </c>
      <c r="T14" s="1083"/>
      <c r="U14" s="1083"/>
      <c r="V14" s="1083"/>
      <c r="W14" s="1080" t="s">
        <v>210</v>
      </c>
      <c r="X14" s="1080" t="s">
        <v>1309</v>
      </c>
    </row>
    <row r="15" spans="1:24" s="1080" customFormat="1" ht="15">
      <c r="A15" s="1055"/>
      <c r="B15" s="1055"/>
      <c r="C15" s="1851" t="s">
        <v>389</v>
      </c>
      <c r="D15" s="1096" t="s">
        <v>782</v>
      </c>
      <c r="E15" s="1096">
        <v>83992</v>
      </c>
      <c r="F15" s="1096" t="s">
        <v>386</v>
      </c>
      <c r="G15" s="1096">
        <v>11</v>
      </c>
      <c r="H15" s="1116">
        <v>4769000</v>
      </c>
      <c r="I15" s="1117">
        <f>(52459000-8503880)/5</f>
        <v>8791024</v>
      </c>
      <c r="J15" s="1118">
        <f t="shared" si="3"/>
        <v>8791024</v>
      </c>
      <c r="K15" s="1118"/>
      <c r="L15" s="1118">
        <f t="shared" si="4"/>
        <v>0</v>
      </c>
      <c r="M15" s="1118"/>
      <c r="N15" s="1118">
        <f t="shared" si="5"/>
        <v>8791024</v>
      </c>
      <c r="O15" s="1119"/>
      <c r="P15" s="1083">
        <v>8791024</v>
      </c>
      <c r="Q15" s="1083">
        <v>8791024</v>
      </c>
      <c r="R15" s="1083">
        <v>8791024</v>
      </c>
      <c r="S15" s="1083">
        <f t="shared" si="6"/>
        <v>0</v>
      </c>
      <c r="T15" s="1083"/>
      <c r="U15" s="1083"/>
      <c r="V15" s="1083"/>
      <c r="W15" s="1080" t="s">
        <v>210</v>
      </c>
      <c r="X15" s="1080" t="s">
        <v>1309</v>
      </c>
    </row>
    <row r="16" spans="1:24" s="1080" customFormat="1" ht="15.6" customHeight="1">
      <c r="A16" s="1055"/>
      <c r="B16" s="1055"/>
      <c r="C16" s="1851" t="s">
        <v>864</v>
      </c>
      <c r="D16" s="1096" t="s">
        <v>865</v>
      </c>
      <c r="E16" s="1096"/>
      <c r="F16" s="1096" t="s">
        <v>198</v>
      </c>
      <c r="G16" s="1096">
        <v>1</v>
      </c>
      <c r="H16" s="1116">
        <f>40800*1.004</f>
        <v>40963.199999999997</v>
      </c>
      <c r="I16" s="1117">
        <v>13654</v>
      </c>
      <c r="J16" s="1118">
        <f t="shared" ref="J16" si="7">+SUM(I16)</f>
        <v>13654</v>
      </c>
      <c r="K16" s="1118"/>
      <c r="L16" s="1118">
        <f t="shared" si="4"/>
        <v>0</v>
      </c>
      <c r="M16" s="1118"/>
      <c r="N16" s="1118">
        <f t="shared" ref="N16" si="8">+J16+K16+M16</f>
        <v>13654</v>
      </c>
      <c r="O16" s="1119"/>
      <c r="P16" s="1083">
        <v>40963.199999999997</v>
      </c>
      <c r="Q16" s="1083">
        <v>40963.199999999997</v>
      </c>
      <c r="R16" s="1083">
        <v>13654</v>
      </c>
      <c r="S16" s="1083">
        <f t="shared" si="6"/>
        <v>27309.199999999997</v>
      </c>
      <c r="T16" s="1083">
        <v>27309.199999999997</v>
      </c>
      <c r="U16" s="1083"/>
      <c r="V16" s="1083"/>
      <c r="W16" s="1080" t="s">
        <v>210</v>
      </c>
      <c r="X16" s="1080" t="s">
        <v>1309</v>
      </c>
    </row>
    <row r="17" spans="1:24" s="1084" customFormat="1" ht="15.6" customHeight="1">
      <c r="A17" s="1055"/>
      <c r="B17" s="1055"/>
      <c r="C17" s="1853" t="s">
        <v>864</v>
      </c>
      <c r="D17" s="1090" t="s">
        <v>865</v>
      </c>
      <c r="E17" s="1090"/>
      <c r="F17" s="1090" t="s">
        <v>198</v>
      </c>
      <c r="G17" s="1090">
        <v>1</v>
      </c>
      <c r="H17" s="1111">
        <f>40800*1.004</f>
        <v>40963.199999999997</v>
      </c>
      <c r="I17" s="1112">
        <f>40963.2-I16</f>
        <v>27309.199999999997</v>
      </c>
      <c r="J17" s="1113">
        <f t="shared" ref="J17" si="9">+SUM(I17)</f>
        <v>27309.199999999997</v>
      </c>
      <c r="K17" s="1113"/>
      <c r="L17" s="1113">
        <f t="shared" ref="L17" si="10">+K17</f>
        <v>0</v>
      </c>
      <c r="M17" s="1113"/>
      <c r="N17" s="1113">
        <f t="shared" ref="N17" si="11">+J17+K17+M17</f>
        <v>27309.199999999997</v>
      </c>
      <c r="O17" s="1114"/>
      <c r="P17" s="1085">
        <v>40963.199999999997</v>
      </c>
      <c r="Q17" s="1085">
        <v>40963.199999999997</v>
      </c>
      <c r="R17" s="1085">
        <v>13654</v>
      </c>
      <c r="S17" s="1085">
        <f t="shared" ref="S17" si="12">+P17-R17</f>
        <v>27309.199999999997</v>
      </c>
      <c r="T17" s="1085">
        <v>27309.199999999997</v>
      </c>
      <c r="U17" s="1085"/>
      <c r="V17" s="1085"/>
      <c r="W17" s="1084" t="s">
        <v>210</v>
      </c>
      <c r="X17" s="1084" t="s">
        <v>1309</v>
      </c>
    </row>
    <row r="18" spans="1:24" s="1080" customFormat="1" ht="16.5" customHeight="1">
      <c r="A18" s="1055"/>
      <c r="B18" s="1055"/>
      <c r="C18" s="1852" t="s">
        <v>390</v>
      </c>
      <c r="D18" s="1096" t="s">
        <v>211</v>
      </c>
      <c r="E18" s="1096">
        <v>83990</v>
      </c>
      <c r="F18" s="1096" t="s">
        <v>386</v>
      </c>
      <c r="G18" s="1096">
        <v>10</v>
      </c>
      <c r="H18" s="1116">
        <f>(2588810.1+(2588810*12%))*1.004</f>
        <v>2911065.1692000004</v>
      </c>
      <c r="I18" s="1117">
        <v>7705584</v>
      </c>
      <c r="J18" s="1122">
        <f>+SUM(I18)</f>
        <v>7705584</v>
      </c>
      <c r="K18" s="1122"/>
      <c r="L18" s="1122">
        <f t="shared" si="4"/>
        <v>0</v>
      </c>
      <c r="M18" s="1122"/>
      <c r="N18" s="1118">
        <f>+J18+K18+M18</f>
        <v>7705584</v>
      </c>
      <c r="O18" s="1119"/>
      <c r="P18" s="1083">
        <v>7705584</v>
      </c>
      <c r="Q18" s="1083">
        <v>7705584</v>
      </c>
      <c r="R18" s="1083"/>
      <c r="S18" s="1083">
        <f>+P18-Q18</f>
        <v>0</v>
      </c>
      <c r="T18" s="1083"/>
      <c r="U18" s="1083"/>
      <c r="V18" s="1083"/>
      <c r="W18" s="1080" t="s">
        <v>210</v>
      </c>
      <c r="X18" s="1080" t="s">
        <v>1311</v>
      </c>
    </row>
    <row r="19" spans="1:24" ht="39" customHeight="1">
      <c r="A19" s="1866"/>
      <c r="B19" s="1872" t="s">
        <v>1463</v>
      </c>
      <c r="C19" s="1854" t="s">
        <v>1058</v>
      </c>
      <c r="D19" s="94"/>
      <c r="E19" s="95"/>
      <c r="F19" s="95" t="s">
        <v>1098</v>
      </c>
      <c r="G19" s="95">
        <v>42</v>
      </c>
      <c r="H19" s="886"/>
      <c r="I19" s="497">
        <f>SUM(I20:I24)</f>
        <v>49951811.200000003</v>
      </c>
      <c r="J19" s="497">
        <f t="shared" ref="J19:N19" si="13">SUM(J20:J24)</f>
        <v>49951811.200000003</v>
      </c>
      <c r="K19" s="497">
        <f t="shared" si="13"/>
        <v>0</v>
      </c>
      <c r="L19" s="497">
        <f t="shared" si="13"/>
        <v>0</v>
      </c>
      <c r="M19" s="497">
        <f t="shared" si="13"/>
        <v>0</v>
      </c>
      <c r="N19" s="497">
        <f t="shared" si="13"/>
        <v>49951811.200000003</v>
      </c>
      <c r="O19" s="122"/>
      <c r="P19" s="1025"/>
      <c r="Q19" s="1025"/>
      <c r="R19" s="1025"/>
      <c r="S19" s="1025"/>
      <c r="T19" s="1025"/>
      <c r="U19" s="1025"/>
      <c r="V19" s="1025"/>
    </row>
    <row r="20" spans="1:24" s="1080" customFormat="1" ht="25.5">
      <c r="A20" s="1055"/>
      <c r="B20" s="1055"/>
      <c r="C20" s="1851" t="s">
        <v>384</v>
      </c>
      <c r="D20" s="1096" t="s">
        <v>211</v>
      </c>
      <c r="E20" s="1096">
        <v>83990</v>
      </c>
      <c r="F20" s="1096" t="s">
        <v>386</v>
      </c>
      <c r="G20" s="1096">
        <v>11</v>
      </c>
      <c r="H20" s="1116">
        <v>5644889.5999999996</v>
      </c>
      <c r="I20" s="1117">
        <f>(62093785.9-865849.899999999)/5</f>
        <v>12245587.199999999</v>
      </c>
      <c r="J20" s="1118">
        <f t="shared" ref="J20:J24" si="14">+SUM(I20)</f>
        <v>12245587.199999999</v>
      </c>
      <c r="K20" s="1118"/>
      <c r="L20" s="1118">
        <f>+K20</f>
        <v>0</v>
      </c>
      <c r="M20" s="1118"/>
      <c r="N20" s="1118">
        <f>+J20+K20+M20</f>
        <v>12245587.199999999</v>
      </c>
      <c r="O20" s="1119"/>
      <c r="P20" s="1083">
        <v>12245587.199999999</v>
      </c>
      <c r="Q20" s="1083">
        <v>12245587.199999999</v>
      </c>
      <c r="R20" s="1083">
        <v>12245587.199999999</v>
      </c>
      <c r="S20" s="1083">
        <f t="shared" ref="S20:S79" si="15">+P20-R20</f>
        <v>0</v>
      </c>
      <c r="T20" s="1083"/>
      <c r="U20" s="1083"/>
      <c r="V20" s="1083"/>
      <c r="W20" s="1080" t="s">
        <v>210</v>
      </c>
      <c r="X20" s="1080" t="s">
        <v>1309</v>
      </c>
    </row>
    <row r="21" spans="1:24" s="1080" customFormat="1" ht="15">
      <c r="A21" s="1055"/>
      <c r="B21" s="1055"/>
      <c r="C21" s="1852" t="s">
        <v>810</v>
      </c>
      <c r="D21" s="1096" t="s">
        <v>211</v>
      </c>
      <c r="E21" s="1096">
        <v>83990</v>
      </c>
      <c r="F21" s="1096" t="s">
        <v>386</v>
      </c>
      <c r="G21" s="1096">
        <v>10</v>
      </c>
      <c r="H21" s="1116">
        <v>4618400</v>
      </c>
      <c r="I21" s="1117">
        <f>46184000/5</f>
        <v>9236800</v>
      </c>
      <c r="J21" s="1118">
        <f t="shared" si="14"/>
        <v>9236800</v>
      </c>
      <c r="K21" s="1118"/>
      <c r="L21" s="1118">
        <f t="shared" ref="L21:L24" si="16">+K21</f>
        <v>0</v>
      </c>
      <c r="M21" s="1118"/>
      <c r="N21" s="1118">
        <f t="shared" ref="N21:N24" si="17">+J21+K21+M21</f>
        <v>9236800</v>
      </c>
      <c r="O21" s="1119"/>
      <c r="P21" s="1083">
        <v>9236800</v>
      </c>
      <c r="Q21" s="1083">
        <v>9236800</v>
      </c>
      <c r="R21" s="1083">
        <v>9236800</v>
      </c>
      <c r="S21" s="1083">
        <f t="shared" si="15"/>
        <v>0</v>
      </c>
      <c r="T21" s="1083"/>
      <c r="U21" s="1083"/>
      <c r="V21" s="1083"/>
      <c r="W21" s="1080" t="s">
        <v>210</v>
      </c>
      <c r="X21" s="1080" t="s">
        <v>1309</v>
      </c>
    </row>
    <row r="22" spans="1:24" s="1080" customFormat="1" ht="15">
      <c r="A22" s="1055"/>
      <c r="B22" s="1055"/>
      <c r="C22" s="1851" t="s">
        <v>811</v>
      </c>
      <c r="D22" s="1096" t="s">
        <v>211</v>
      </c>
      <c r="E22" s="1096">
        <v>83990</v>
      </c>
      <c r="F22" s="1096" t="s">
        <v>386</v>
      </c>
      <c r="G22" s="1096">
        <v>10</v>
      </c>
      <c r="H22" s="1116">
        <v>4618400</v>
      </c>
      <c r="I22" s="1117">
        <f>46184000/5</f>
        <v>9236800</v>
      </c>
      <c r="J22" s="1118">
        <f t="shared" si="14"/>
        <v>9236800</v>
      </c>
      <c r="K22" s="1118"/>
      <c r="L22" s="1118">
        <f t="shared" si="16"/>
        <v>0</v>
      </c>
      <c r="M22" s="1118"/>
      <c r="N22" s="1118">
        <f t="shared" si="17"/>
        <v>9236800</v>
      </c>
      <c r="O22" s="1119"/>
      <c r="P22" s="1083">
        <v>9236800</v>
      </c>
      <c r="Q22" s="1083">
        <v>9236800</v>
      </c>
      <c r="R22" s="1083">
        <v>9236800</v>
      </c>
      <c r="S22" s="1083">
        <f t="shared" si="15"/>
        <v>0</v>
      </c>
      <c r="T22" s="1083"/>
      <c r="U22" s="1083"/>
      <c r="V22" s="1083"/>
      <c r="W22" s="1080" t="s">
        <v>210</v>
      </c>
      <c r="X22" s="1080" t="s">
        <v>1309</v>
      </c>
    </row>
    <row r="23" spans="1:24" s="1080" customFormat="1" ht="25.5">
      <c r="A23" s="1055"/>
      <c r="B23" s="1055"/>
      <c r="C23" s="1851" t="s">
        <v>385</v>
      </c>
      <c r="D23" s="1096" t="s">
        <v>395</v>
      </c>
      <c r="E23" s="1096">
        <v>83991</v>
      </c>
      <c r="F23" s="1096" t="s">
        <v>386</v>
      </c>
      <c r="G23" s="1096">
        <v>10</v>
      </c>
      <c r="H23" s="1116">
        <v>5220800</v>
      </c>
      <c r="I23" s="1117">
        <f>52208000/5</f>
        <v>10441600</v>
      </c>
      <c r="J23" s="1118">
        <f t="shared" si="14"/>
        <v>10441600</v>
      </c>
      <c r="K23" s="1118"/>
      <c r="L23" s="1118">
        <f t="shared" si="16"/>
        <v>0</v>
      </c>
      <c r="M23" s="1118"/>
      <c r="N23" s="1118">
        <f t="shared" si="17"/>
        <v>10441600</v>
      </c>
      <c r="O23" s="1119"/>
      <c r="P23" s="1083">
        <v>10441600</v>
      </c>
      <c r="Q23" s="1083">
        <v>10441600</v>
      </c>
      <c r="R23" s="1083">
        <v>10441600</v>
      </c>
      <c r="S23" s="1083">
        <f t="shared" si="15"/>
        <v>0</v>
      </c>
      <c r="T23" s="1083"/>
      <c r="U23" s="1083"/>
      <c r="V23" s="1083"/>
      <c r="W23" s="1080" t="s">
        <v>210</v>
      </c>
      <c r="X23" s="1080" t="s">
        <v>1309</v>
      </c>
    </row>
    <row r="24" spans="1:24" s="1080" customFormat="1" ht="15">
      <c r="A24" s="1055"/>
      <c r="B24" s="1055"/>
      <c r="C24" s="1851" t="s">
        <v>389</v>
      </c>
      <c r="D24" s="1096" t="s">
        <v>782</v>
      </c>
      <c r="E24" s="1096">
        <v>83992</v>
      </c>
      <c r="F24" s="1096" t="s">
        <v>386</v>
      </c>
      <c r="G24" s="1096">
        <v>11</v>
      </c>
      <c r="H24" s="1116">
        <v>4769000</v>
      </c>
      <c r="I24" s="1117">
        <f>(52459000-8503880)/5</f>
        <v>8791024</v>
      </c>
      <c r="J24" s="1118">
        <f t="shared" si="14"/>
        <v>8791024</v>
      </c>
      <c r="K24" s="1118"/>
      <c r="L24" s="1118">
        <f t="shared" si="16"/>
        <v>0</v>
      </c>
      <c r="M24" s="1118"/>
      <c r="N24" s="1118">
        <f t="shared" si="17"/>
        <v>8791024</v>
      </c>
      <c r="O24" s="1119"/>
      <c r="P24" s="1083">
        <v>8791024</v>
      </c>
      <c r="Q24" s="1083">
        <v>8791024</v>
      </c>
      <c r="R24" s="1083">
        <v>8791024</v>
      </c>
      <c r="S24" s="1083">
        <f t="shared" si="15"/>
        <v>0</v>
      </c>
      <c r="T24" s="1083"/>
      <c r="U24" s="1083"/>
      <c r="V24" s="1083"/>
      <c r="W24" s="1080" t="s">
        <v>210</v>
      </c>
      <c r="X24" s="1080" t="s">
        <v>1309</v>
      </c>
    </row>
    <row r="25" spans="1:24" ht="25.5">
      <c r="A25" s="1866"/>
      <c r="B25" s="1872" t="s">
        <v>1464</v>
      </c>
      <c r="C25" s="1854" t="s">
        <v>994</v>
      </c>
      <c r="D25" s="94"/>
      <c r="E25" s="95"/>
      <c r="F25" s="95" t="s">
        <v>408</v>
      </c>
      <c r="G25" s="95">
        <v>5</v>
      </c>
      <c r="H25" s="95"/>
      <c r="I25" s="1780">
        <f t="shared" ref="I25:M25" si="18">SUM(I26:I31)</f>
        <v>184169101.94513398</v>
      </c>
      <c r="J25" s="1780">
        <f t="shared" si="18"/>
        <v>184169101.94513398</v>
      </c>
      <c r="K25" s="1780">
        <f t="shared" si="18"/>
        <v>90000000</v>
      </c>
      <c r="L25" s="1780">
        <f t="shared" si="18"/>
        <v>90000000</v>
      </c>
      <c r="M25" s="1780">
        <f t="shared" si="18"/>
        <v>0</v>
      </c>
      <c r="N25" s="1780">
        <f>SUM(N26:N31)</f>
        <v>274169101.94513398</v>
      </c>
      <c r="O25" s="888">
        <f>SUM(O26:O27)</f>
        <v>45000000</v>
      </c>
      <c r="P25" s="1025"/>
      <c r="Q25" s="1025"/>
      <c r="R25" s="1025"/>
      <c r="S25" s="1025">
        <f t="shared" si="15"/>
        <v>0</v>
      </c>
      <c r="T25" s="1025"/>
      <c r="U25" s="1025"/>
      <c r="V25" s="1025"/>
    </row>
    <row r="26" spans="1:24" s="405" customFormat="1" ht="32.25" customHeight="1">
      <c r="A26" s="1055"/>
      <c r="B26" s="1055"/>
      <c r="C26" s="1855" t="s">
        <v>388</v>
      </c>
      <c r="D26" s="722" t="s">
        <v>211</v>
      </c>
      <c r="E26" s="722">
        <v>85962</v>
      </c>
      <c r="F26" s="999" t="s">
        <v>198</v>
      </c>
      <c r="G26" s="999">
        <v>1</v>
      </c>
      <c r="H26" s="1000">
        <f>40000000*1.004</f>
        <v>40160000</v>
      </c>
      <c r="I26" s="1001">
        <f>40160000+1418050+8462917-7705584</f>
        <v>42335383</v>
      </c>
      <c r="J26" s="1002">
        <f>+SUM(I26)</f>
        <v>42335383</v>
      </c>
      <c r="K26" s="1002">
        <v>45000000</v>
      </c>
      <c r="L26" s="1002">
        <f t="shared" ref="L26:L31" si="19">+K26</f>
        <v>45000000</v>
      </c>
      <c r="M26" s="1002"/>
      <c r="N26" s="1781">
        <f>+J26+K26+M26</f>
        <v>87335383</v>
      </c>
      <c r="O26" s="1003">
        <v>45000000</v>
      </c>
      <c r="P26" s="1004">
        <v>87335383</v>
      </c>
      <c r="Q26" s="1004"/>
      <c r="R26" s="1004"/>
      <c r="S26" s="1004">
        <f t="shared" si="15"/>
        <v>87335383</v>
      </c>
      <c r="T26" s="1004">
        <v>42335383</v>
      </c>
      <c r="U26" s="1004">
        <v>45000000</v>
      </c>
      <c r="V26" s="1004"/>
      <c r="W26" s="405" t="s">
        <v>210</v>
      </c>
      <c r="X26" s="405" t="s">
        <v>1310</v>
      </c>
    </row>
    <row r="27" spans="1:24" s="1084" customFormat="1" ht="19.5" customHeight="1">
      <c r="A27" s="1055"/>
      <c r="B27" s="1055"/>
      <c r="C27" s="1856" t="s">
        <v>555</v>
      </c>
      <c r="D27" s="1089" t="s">
        <v>524</v>
      </c>
      <c r="E27" s="1089">
        <v>73230</v>
      </c>
      <c r="F27" s="1090" t="s">
        <v>198</v>
      </c>
      <c r="G27" s="1090">
        <v>1</v>
      </c>
      <c r="H27" s="1111">
        <f>40000000*1.004</f>
        <v>40160000</v>
      </c>
      <c r="I27" s="1112"/>
      <c r="J27" s="1123">
        <f>+I27</f>
        <v>0</v>
      </c>
      <c r="K27" s="1123">
        <v>45000000</v>
      </c>
      <c r="L27" s="1123">
        <f t="shared" si="19"/>
        <v>45000000</v>
      </c>
      <c r="M27" s="1123"/>
      <c r="N27" s="1113">
        <f>+J27+K27+M27</f>
        <v>45000000</v>
      </c>
      <c r="O27" s="1114"/>
      <c r="P27" s="1085">
        <v>45000000</v>
      </c>
      <c r="Q27" s="1085"/>
      <c r="R27" s="1085"/>
      <c r="S27" s="1085">
        <f t="shared" si="15"/>
        <v>45000000</v>
      </c>
      <c r="T27" s="1085"/>
      <c r="U27" s="1085">
        <v>45000000</v>
      </c>
      <c r="V27" s="1085"/>
      <c r="W27" s="1084" t="s">
        <v>210</v>
      </c>
      <c r="X27" s="1084" t="s">
        <v>1310</v>
      </c>
    </row>
    <row r="28" spans="1:24" s="1080" customFormat="1" ht="17.25" customHeight="1">
      <c r="A28" s="1055"/>
      <c r="B28" s="1055"/>
      <c r="C28" s="1852" t="s">
        <v>1369</v>
      </c>
      <c r="D28" s="1095" t="s">
        <v>381</v>
      </c>
      <c r="E28" s="1095">
        <v>63391</v>
      </c>
      <c r="F28" s="1096" t="s">
        <v>198</v>
      </c>
      <c r="G28" s="1096">
        <v>1</v>
      </c>
      <c r="H28" s="1116">
        <f>10000000*1.004</f>
        <v>10040000</v>
      </c>
      <c r="I28" s="1117">
        <f>+H28</f>
        <v>10040000</v>
      </c>
      <c r="J28" s="1124">
        <f>+SUM(I28)</f>
        <v>10040000</v>
      </c>
      <c r="K28" s="1124"/>
      <c r="L28" s="1124">
        <f t="shared" si="19"/>
        <v>0</v>
      </c>
      <c r="M28" s="1124"/>
      <c r="N28" s="1118">
        <f>+J28+K28+M28</f>
        <v>10040000</v>
      </c>
      <c r="O28" s="1119"/>
      <c r="P28" s="1083">
        <v>10040000</v>
      </c>
      <c r="Q28" s="1083">
        <v>10040000</v>
      </c>
      <c r="R28" s="1125">
        <v>10040000</v>
      </c>
      <c r="S28" s="1083">
        <f>+P28-R28</f>
        <v>0</v>
      </c>
      <c r="T28" s="1083"/>
      <c r="U28" s="1083"/>
      <c r="V28" s="1083"/>
      <c r="W28" s="1080" t="s">
        <v>212</v>
      </c>
      <c r="X28" s="1080" t="s">
        <v>5</v>
      </c>
    </row>
    <row r="29" spans="1:24" s="1080" customFormat="1" ht="42.75" customHeight="1">
      <c r="A29" s="1055"/>
      <c r="B29" s="1055"/>
      <c r="C29" s="1852" t="s">
        <v>1370</v>
      </c>
      <c r="D29" s="1095" t="s">
        <v>381</v>
      </c>
      <c r="E29" s="1095" t="s">
        <v>392</v>
      </c>
      <c r="F29" s="1096" t="s">
        <v>198</v>
      </c>
      <c r="G29" s="1096">
        <v>1</v>
      </c>
      <c r="H29" s="1116">
        <f>20000000*1.004</f>
        <v>20080000</v>
      </c>
      <c r="I29" s="1117">
        <f>+H29</f>
        <v>20080000</v>
      </c>
      <c r="J29" s="1124">
        <f>+SUM(I29)</f>
        <v>20080000</v>
      </c>
      <c r="K29" s="1124"/>
      <c r="L29" s="1124">
        <f t="shared" si="19"/>
        <v>0</v>
      </c>
      <c r="M29" s="1124"/>
      <c r="N29" s="1118">
        <f t="shared" ref="N29:N31" si="20">+J29+K29+M29</f>
        <v>20080000</v>
      </c>
      <c r="O29" s="1119"/>
      <c r="P29" s="1083">
        <v>20080000</v>
      </c>
      <c r="Q29" s="1083">
        <v>20080000</v>
      </c>
      <c r="R29" s="1125">
        <v>20080000</v>
      </c>
      <c r="S29" s="1083">
        <f>+P29-R29</f>
        <v>0</v>
      </c>
      <c r="T29" s="1083"/>
      <c r="U29" s="1083"/>
      <c r="V29" s="1083"/>
      <c r="W29" s="1080" t="s">
        <v>212</v>
      </c>
      <c r="X29" s="1080" t="s">
        <v>5</v>
      </c>
    </row>
    <row r="30" spans="1:24" s="1080" customFormat="1" ht="15">
      <c r="A30" s="1055"/>
      <c r="B30" s="1055"/>
      <c r="C30" s="1852" t="s">
        <v>204</v>
      </c>
      <c r="D30" s="1108"/>
      <c r="E30" s="1108"/>
      <c r="F30" s="1095" t="s">
        <v>198</v>
      </c>
      <c r="G30" s="1095">
        <v>1</v>
      </c>
      <c r="H30" s="1095"/>
      <c r="I30" s="1139">
        <v>36369940</v>
      </c>
      <c r="J30" s="1124">
        <f>+SUM(I30)</f>
        <v>36369940</v>
      </c>
      <c r="K30" s="1124"/>
      <c r="L30" s="1124">
        <f t="shared" ref="L30" si="21">+K30</f>
        <v>0</v>
      </c>
      <c r="M30" s="1124"/>
      <c r="N30" s="1124">
        <f t="shared" ref="N30" si="22">+J30+K30+M30</f>
        <v>36369940</v>
      </c>
      <c r="O30" s="1785"/>
      <c r="P30" s="1083">
        <v>111713719</v>
      </c>
      <c r="Q30" s="1083">
        <v>29096690</v>
      </c>
      <c r="R30" s="1083">
        <v>29096690</v>
      </c>
      <c r="S30" s="1083">
        <f>+P30-R30</f>
        <v>82617029</v>
      </c>
      <c r="T30" s="1083">
        <v>82617029</v>
      </c>
      <c r="U30" s="1083"/>
      <c r="V30" s="1083"/>
      <c r="W30" s="1080" t="s">
        <v>212</v>
      </c>
      <c r="X30" s="1080" t="s">
        <v>5</v>
      </c>
    </row>
    <row r="31" spans="1:24" s="1084" customFormat="1" ht="15">
      <c r="A31" s="1055"/>
      <c r="B31" s="1055"/>
      <c r="C31" s="1856" t="s">
        <v>204</v>
      </c>
      <c r="D31" s="1106"/>
      <c r="E31" s="1106"/>
      <c r="F31" s="1089" t="s">
        <v>198</v>
      </c>
      <c r="G31" s="1089">
        <v>1</v>
      </c>
      <c r="H31" s="1089"/>
      <c r="I31" s="1231">
        <f>111713718.945134-I30</f>
        <v>75343778.945133999</v>
      </c>
      <c r="J31" s="1782">
        <f>+SUM(I31)</f>
        <v>75343778.945133999</v>
      </c>
      <c r="K31" s="1782"/>
      <c r="L31" s="1782">
        <f t="shared" si="19"/>
        <v>0</v>
      </c>
      <c r="M31" s="1782"/>
      <c r="N31" s="1782">
        <f t="shared" si="20"/>
        <v>75343778.945133999</v>
      </c>
      <c r="O31" s="1786"/>
      <c r="P31" s="1085">
        <v>111713719</v>
      </c>
      <c r="Q31" s="1085">
        <v>29096690</v>
      </c>
      <c r="R31" s="1085">
        <v>29096690</v>
      </c>
      <c r="S31" s="1085">
        <f>+P31-R31</f>
        <v>82617029</v>
      </c>
      <c r="T31" s="1085">
        <v>82617029</v>
      </c>
      <c r="U31" s="1085"/>
      <c r="V31" s="1085"/>
      <c r="W31" s="1084" t="s">
        <v>212</v>
      </c>
      <c r="X31" s="1084" t="s">
        <v>5</v>
      </c>
    </row>
    <row r="32" spans="1:24" ht="39" customHeight="1">
      <c r="A32" s="1866"/>
      <c r="B32" s="1872" t="s">
        <v>1465</v>
      </c>
      <c r="C32" s="1854" t="s">
        <v>1059</v>
      </c>
      <c r="D32" s="94"/>
      <c r="E32" s="95"/>
      <c r="F32" s="95" t="s">
        <v>1098</v>
      </c>
      <c r="G32" s="95">
        <v>80</v>
      </c>
      <c r="H32" s="886"/>
      <c r="I32" s="497">
        <f>SUM(I33:I37)</f>
        <v>49951811.200000003</v>
      </c>
      <c r="J32" s="497">
        <f t="shared" ref="J32:N32" si="23">SUM(J33:J37)</f>
        <v>49951811.200000003</v>
      </c>
      <c r="K32" s="497">
        <f t="shared" si="23"/>
        <v>0</v>
      </c>
      <c r="L32" s="497">
        <f t="shared" si="23"/>
        <v>0</v>
      </c>
      <c r="M32" s="497">
        <f t="shared" si="23"/>
        <v>0</v>
      </c>
      <c r="N32" s="497">
        <f t="shared" si="23"/>
        <v>49951811.200000003</v>
      </c>
      <c r="O32" s="122"/>
      <c r="P32" s="1025"/>
      <c r="Q32" s="1025"/>
      <c r="R32" s="1025"/>
      <c r="S32" s="1025">
        <f t="shared" si="15"/>
        <v>0</v>
      </c>
      <c r="T32" s="1025"/>
      <c r="U32" s="1025"/>
      <c r="V32" s="1025"/>
    </row>
    <row r="33" spans="1:24" s="1080" customFormat="1" ht="25.5">
      <c r="A33" s="1055"/>
      <c r="B33" s="1055"/>
      <c r="C33" s="1851" t="s">
        <v>384</v>
      </c>
      <c r="D33" s="1096" t="s">
        <v>211</v>
      </c>
      <c r="E33" s="1096">
        <v>83990</v>
      </c>
      <c r="F33" s="1096" t="s">
        <v>386</v>
      </c>
      <c r="G33" s="1096">
        <v>11</v>
      </c>
      <c r="H33" s="1116">
        <v>5644889.5999999996</v>
      </c>
      <c r="I33" s="1117">
        <f>(62093785.9-865849.899999999)/5</f>
        <v>12245587.199999999</v>
      </c>
      <c r="J33" s="1118">
        <f t="shared" ref="J33:J37" si="24">+SUM(I33)</f>
        <v>12245587.199999999</v>
      </c>
      <c r="K33" s="1118"/>
      <c r="L33" s="1118">
        <f>+K33</f>
        <v>0</v>
      </c>
      <c r="M33" s="1118"/>
      <c r="N33" s="1118">
        <f>+J33+K33+M33</f>
        <v>12245587.199999999</v>
      </c>
      <c r="O33" s="1119"/>
      <c r="P33" s="1083">
        <v>12245587.199999999</v>
      </c>
      <c r="Q33" s="1083">
        <v>12245587.199999999</v>
      </c>
      <c r="R33" s="1083">
        <v>12245587.199999999</v>
      </c>
      <c r="S33" s="1083">
        <f t="shared" si="15"/>
        <v>0</v>
      </c>
      <c r="T33" s="1083"/>
      <c r="U33" s="1083"/>
      <c r="V33" s="1083"/>
      <c r="W33" s="1080" t="s">
        <v>210</v>
      </c>
      <c r="X33" s="1080" t="s">
        <v>1309</v>
      </c>
    </row>
    <row r="34" spans="1:24" s="1080" customFormat="1" ht="15">
      <c r="A34" s="1055"/>
      <c r="B34" s="1055"/>
      <c r="C34" s="1852" t="s">
        <v>810</v>
      </c>
      <c r="D34" s="1096" t="s">
        <v>211</v>
      </c>
      <c r="E34" s="1096">
        <v>83990</v>
      </c>
      <c r="F34" s="1096" t="s">
        <v>386</v>
      </c>
      <c r="G34" s="1096">
        <v>10</v>
      </c>
      <c r="H34" s="1116">
        <v>4618400</v>
      </c>
      <c r="I34" s="1117">
        <f>46184000/5</f>
        <v>9236800</v>
      </c>
      <c r="J34" s="1118">
        <f t="shared" si="24"/>
        <v>9236800</v>
      </c>
      <c r="K34" s="1118"/>
      <c r="L34" s="1118">
        <f t="shared" ref="L34:L37" si="25">+K34</f>
        <v>0</v>
      </c>
      <c r="M34" s="1118"/>
      <c r="N34" s="1118">
        <f t="shared" ref="N34:N37" si="26">+J34+K34+M34</f>
        <v>9236800</v>
      </c>
      <c r="O34" s="1119"/>
      <c r="P34" s="1083">
        <v>9236800</v>
      </c>
      <c r="Q34" s="1083">
        <v>9236800</v>
      </c>
      <c r="R34" s="1083">
        <v>9236800</v>
      </c>
      <c r="S34" s="1083">
        <f t="shared" si="15"/>
        <v>0</v>
      </c>
      <c r="T34" s="1083"/>
      <c r="U34" s="1083"/>
      <c r="V34" s="1083"/>
      <c r="W34" s="1080" t="s">
        <v>210</v>
      </c>
      <c r="X34" s="1080" t="s">
        <v>1309</v>
      </c>
    </row>
    <row r="35" spans="1:24" s="1080" customFormat="1" ht="15">
      <c r="A35" s="1055"/>
      <c r="B35" s="1055"/>
      <c r="C35" s="1851" t="s">
        <v>811</v>
      </c>
      <c r="D35" s="1096" t="s">
        <v>211</v>
      </c>
      <c r="E35" s="1096">
        <v>83990</v>
      </c>
      <c r="F35" s="1096" t="s">
        <v>386</v>
      </c>
      <c r="G35" s="1096">
        <v>10</v>
      </c>
      <c r="H35" s="1116">
        <v>4618400</v>
      </c>
      <c r="I35" s="1117">
        <f>46184000/5</f>
        <v>9236800</v>
      </c>
      <c r="J35" s="1118">
        <f t="shared" si="24"/>
        <v>9236800</v>
      </c>
      <c r="K35" s="1118"/>
      <c r="L35" s="1118">
        <f t="shared" si="25"/>
        <v>0</v>
      </c>
      <c r="M35" s="1118"/>
      <c r="N35" s="1118">
        <f t="shared" si="26"/>
        <v>9236800</v>
      </c>
      <c r="O35" s="1119"/>
      <c r="P35" s="1083">
        <v>9236800</v>
      </c>
      <c r="Q35" s="1083">
        <v>9236800</v>
      </c>
      <c r="R35" s="1083">
        <v>9236800</v>
      </c>
      <c r="S35" s="1083">
        <f t="shared" si="15"/>
        <v>0</v>
      </c>
      <c r="T35" s="1083"/>
      <c r="U35" s="1083"/>
      <c r="V35" s="1083"/>
      <c r="W35" s="1080" t="s">
        <v>210</v>
      </c>
      <c r="X35" s="1080" t="s">
        <v>1309</v>
      </c>
    </row>
    <row r="36" spans="1:24" s="1080" customFormat="1" ht="25.5">
      <c r="A36" s="1055"/>
      <c r="B36" s="1055"/>
      <c r="C36" s="1851" t="s">
        <v>385</v>
      </c>
      <c r="D36" s="1096" t="s">
        <v>395</v>
      </c>
      <c r="E36" s="1096">
        <v>83991</v>
      </c>
      <c r="F36" s="1096" t="s">
        <v>386</v>
      </c>
      <c r="G36" s="1096">
        <v>10</v>
      </c>
      <c r="H36" s="1116">
        <v>5220800</v>
      </c>
      <c r="I36" s="1117">
        <f>52208000/5</f>
        <v>10441600</v>
      </c>
      <c r="J36" s="1118">
        <f t="shared" si="24"/>
        <v>10441600</v>
      </c>
      <c r="K36" s="1118"/>
      <c r="L36" s="1118">
        <f t="shared" si="25"/>
        <v>0</v>
      </c>
      <c r="M36" s="1118"/>
      <c r="N36" s="1118">
        <f t="shared" si="26"/>
        <v>10441600</v>
      </c>
      <c r="O36" s="1119"/>
      <c r="P36" s="1083">
        <v>10441600</v>
      </c>
      <c r="Q36" s="1083">
        <v>10441600</v>
      </c>
      <c r="R36" s="1083">
        <v>10441600</v>
      </c>
      <c r="S36" s="1083">
        <f t="shared" si="15"/>
        <v>0</v>
      </c>
      <c r="T36" s="1083"/>
      <c r="U36" s="1083"/>
      <c r="V36" s="1083"/>
      <c r="W36" s="1080" t="s">
        <v>210</v>
      </c>
      <c r="X36" s="1080" t="s">
        <v>1309</v>
      </c>
    </row>
    <row r="37" spans="1:24" s="1080" customFormat="1" ht="15">
      <c r="A37" s="1055"/>
      <c r="B37" s="1055"/>
      <c r="C37" s="1851" t="s">
        <v>389</v>
      </c>
      <c r="D37" s="1096" t="s">
        <v>782</v>
      </c>
      <c r="E37" s="1096">
        <v>83992</v>
      </c>
      <c r="F37" s="1096" t="s">
        <v>386</v>
      </c>
      <c r="G37" s="1096">
        <v>11</v>
      </c>
      <c r="H37" s="1116">
        <v>4769000</v>
      </c>
      <c r="I37" s="1117">
        <f>(52459000-8503880)/5</f>
        <v>8791024</v>
      </c>
      <c r="J37" s="1118">
        <f t="shared" si="24"/>
        <v>8791024</v>
      </c>
      <c r="K37" s="1118"/>
      <c r="L37" s="1118">
        <f t="shared" si="25"/>
        <v>0</v>
      </c>
      <c r="M37" s="1118"/>
      <c r="N37" s="1118">
        <f t="shared" si="26"/>
        <v>8791024</v>
      </c>
      <c r="O37" s="1119"/>
      <c r="P37" s="1083">
        <v>8791024</v>
      </c>
      <c r="Q37" s="1083">
        <v>8791024</v>
      </c>
      <c r="R37" s="1083">
        <v>8791024</v>
      </c>
      <c r="S37" s="1083">
        <f t="shared" si="15"/>
        <v>0</v>
      </c>
      <c r="T37" s="1083"/>
      <c r="U37" s="1083"/>
      <c r="V37" s="1083"/>
      <c r="W37" s="1080" t="s">
        <v>210</v>
      </c>
      <c r="X37" s="1080" t="s">
        <v>1309</v>
      </c>
    </row>
    <row r="38" spans="1:24" ht="39" customHeight="1">
      <c r="A38" s="1866"/>
      <c r="B38" s="1872" t="s">
        <v>1466</v>
      </c>
      <c r="C38" s="1854" t="s">
        <v>1060</v>
      </c>
      <c r="D38" s="94"/>
      <c r="E38" s="95"/>
      <c r="F38" s="95" t="s">
        <v>1098</v>
      </c>
      <c r="G38" s="95">
        <v>5</v>
      </c>
      <c r="H38" s="886"/>
      <c r="I38" s="497">
        <f>SUM(I39:I45)</f>
        <v>100754211.2</v>
      </c>
      <c r="J38" s="497">
        <f t="shared" ref="J38:N38" si="27">SUM(J39:J45)</f>
        <v>100754211.2</v>
      </c>
      <c r="K38" s="497">
        <f t="shared" si="27"/>
        <v>0</v>
      </c>
      <c r="L38" s="497">
        <f t="shared" si="27"/>
        <v>0</v>
      </c>
      <c r="M38" s="497">
        <f t="shared" si="27"/>
        <v>0</v>
      </c>
      <c r="N38" s="497">
        <f t="shared" si="27"/>
        <v>100754211.2</v>
      </c>
      <c r="O38" s="122"/>
      <c r="P38" s="1025"/>
      <c r="Q38" s="1025"/>
      <c r="R38" s="1025"/>
      <c r="S38" s="1025">
        <f t="shared" si="15"/>
        <v>0</v>
      </c>
      <c r="T38" s="1025"/>
      <c r="U38" s="1025"/>
      <c r="V38" s="1025"/>
    </row>
    <row r="39" spans="1:24" s="1080" customFormat="1" ht="25.5">
      <c r="A39" s="1055"/>
      <c r="B39" s="1055"/>
      <c r="C39" s="1851" t="s">
        <v>384</v>
      </c>
      <c r="D39" s="1096" t="s">
        <v>211</v>
      </c>
      <c r="E39" s="1096">
        <v>83990</v>
      </c>
      <c r="F39" s="1096" t="s">
        <v>386</v>
      </c>
      <c r="G39" s="1096">
        <v>11</v>
      </c>
      <c r="H39" s="1116">
        <v>5644889.5999999996</v>
      </c>
      <c r="I39" s="1117">
        <f>(62093785.9-865849.899999999)/5</f>
        <v>12245587.199999999</v>
      </c>
      <c r="J39" s="1118">
        <f t="shared" ref="J39:J43" si="28">+SUM(I39)</f>
        <v>12245587.199999999</v>
      </c>
      <c r="K39" s="1118"/>
      <c r="L39" s="1118">
        <f>+K39</f>
        <v>0</v>
      </c>
      <c r="M39" s="1118"/>
      <c r="N39" s="1118">
        <f>+J39+K39+M39</f>
        <v>12245587.199999999</v>
      </c>
      <c r="O39" s="1119"/>
      <c r="P39" s="1083">
        <v>12245587.199999999</v>
      </c>
      <c r="Q39" s="1083">
        <v>12245587.199999999</v>
      </c>
      <c r="R39" s="1083">
        <v>12245587.199999999</v>
      </c>
      <c r="S39" s="1083">
        <f t="shared" si="15"/>
        <v>0</v>
      </c>
      <c r="T39" s="1083"/>
      <c r="U39" s="1083"/>
      <c r="V39" s="1083"/>
      <c r="W39" s="1080" t="s">
        <v>210</v>
      </c>
      <c r="X39" s="1080" t="s">
        <v>1309</v>
      </c>
    </row>
    <row r="40" spans="1:24" s="1080" customFormat="1" ht="15">
      <c r="A40" s="1055"/>
      <c r="B40" s="1055"/>
      <c r="C40" s="1852" t="s">
        <v>810</v>
      </c>
      <c r="D40" s="1096" t="s">
        <v>211</v>
      </c>
      <c r="E40" s="1096">
        <v>83990</v>
      </c>
      <c r="F40" s="1096" t="s">
        <v>386</v>
      </c>
      <c r="G40" s="1096">
        <v>10</v>
      </c>
      <c r="H40" s="1116">
        <v>4618400</v>
      </c>
      <c r="I40" s="1117">
        <f>46184000/5</f>
        <v>9236800</v>
      </c>
      <c r="J40" s="1118">
        <f t="shared" si="28"/>
        <v>9236800</v>
      </c>
      <c r="K40" s="1118"/>
      <c r="L40" s="1118">
        <f t="shared" ref="L40:L43" si="29">+K40</f>
        <v>0</v>
      </c>
      <c r="M40" s="1118"/>
      <c r="N40" s="1118">
        <f t="shared" ref="N40:N43" si="30">+J40+K40+M40</f>
        <v>9236800</v>
      </c>
      <c r="O40" s="1119"/>
      <c r="P40" s="1083">
        <v>9236800</v>
      </c>
      <c r="Q40" s="1083">
        <v>9236800</v>
      </c>
      <c r="R40" s="1083">
        <v>9236800</v>
      </c>
      <c r="S40" s="1083">
        <f t="shared" si="15"/>
        <v>0</v>
      </c>
      <c r="T40" s="1083"/>
      <c r="U40" s="1083"/>
      <c r="V40" s="1083"/>
      <c r="W40" s="1080" t="s">
        <v>210</v>
      </c>
      <c r="X40" s="1080" t="s">
        <v>1309</v>
      </c>
    </row>
    <row r="41" spans="1:24" s="1080" customFormat="1" ht="15">
      <c r="A41" s="1055"/>
      <c r="B41" s="1055"/>
      <c r="C41" s="1851" t="s">
        <v>811</v>
      </c>
      <c r="D41" s="1096" t="s">
        <v>211</v>
      </c>
      <c r="E41" s="1096">
        <v>83990</v>
      </c>
      <c r="F41" s="1096" t="s">
        <v>386</v>
      </c>
      <c r="G41" s="1096">
        <v>10</v>
      </c>
      <c r="H41" s="1116">
        <v>4618400</v>
      </c>
      <c r="I41" s="1117">
        <f>46184000/5</f>
        <v>9236800</v>
      </c>
      <c r="J41" s="1118">
        <f t="shared" si="28"/>
        <v>9236800</v>
      </c>
      <c r="K41" s="1118"/>
      <c r="L41" s="1118">
        <f t="shared" si="29"/>
        <v>0</v>
      </c>
      <c r="M41" s="1118"/>
      <c r="N41" s="1118">
        <f t="shared" si="30"/>
        <v>9236800</v>
      </c>
      <c r="O41" s="1119"/>
      <c r="P41" s="1083">
        <v>9236800</v>
      </c>
      <c r="Q41" s="1083">
        <v>9236800</v>
      </c>
      <c r="R41" s="1083">
        <v>9236800</v>
      </c>
      <c r="S41" s="1083">
        <f t="shared" si="15"/>
        <v>0</v>
      </c>
      <c r="T41" s="1083"/>
      <c r="U41" s="1083"/>
      <c r="V41" s="1083"/>
      <c r="W41" s="1080" t="s">
        <v>210</v>
      </c>
      <c r="X41" s="1080" t="s">
        <v>1309</v>
      </c>
    </row>
    <row r="42" spans="1:24" s="1080" customFormat="1" ht="25.5">
      <c r="A42" s="1055"/>
      <c r="B42" s="1055"/>
      <c r="C42" s="1851" t="s">
        <v>385</v>
      </c>
      <c r="D42" s="1096" t="s">
        <v>395</v>
      </c>
      <c r="E42" s="1096">
        <v>83991</v>
      </c>
      <c r="F42" s="1096" t="s">
        <v>386</v>
      </c>
      <c r="G42" s="1096">
        <v>10</v>
      </c>
      <c r="H42" s="1116">
        <v>5220800</v>
      </c>
      <c r="I42" s="1117">
        <f>52208000/5</f>
        <v>10441600</v>
      </c>
      <c r="J42" s="1118">
        <f t="shared" si="28"/>
        <v>10441600</v>
      </c>
      <c r="K42" s="1118"/>
      <c r="L42" s="1118">
        <f t="shared" si="29"/>
        <v>0</v>
      </c>
      <c r="M42" s="1118"/>
      <c r="N42" s="1118">
        <f t="shared" si="30"/>
        <v>10441600</v>
      </c>
      <c r="O42" s="1119"/>
      <c r="P42" s="1083">
        <v>10441600</v>
      </c>
      <c r="Q42" s="1083">
        <v>10441600</v>
      </c>
      <c r="R42" s="1083">
        <v>10441600</v>
      </c>
      <c r="S42" s="1083">
        <f t="shared" si="15"/>
        <v>0</v>
      </c>
      <c r="T42" s="1083"/>
      <c r="U42" s="1083"/>
      <c r="V42" s="1083"/>
      <c r="W42" s="1080" t="s">
        <v>210</v>
      </c>
      <c r="X42" s="1080" t="s">
        <v>1309</v>
      </c>
    </row>
    <row r="43" spans="1:24" s="1080" customFormat="1" ht="15">
      <c r="A43" s="1055"/>
      <c r="B43" s="1055"/>
      <c r="C43" s="1851" t="s">
        <v>389</v>
      </c>
      <c r="D43" s="1096" t="s">
        <v>782</v>
      </c>
      <c r="E43" s="1096">
        <v>83992</v>
      </c>
      <c r="F43" s="1096" t="s">
        <v>386</v>
      </c>
      <c r="G43" s="1096">
        <v>11</v>
      </c>
      <c r="H43" s="1116">
        <v>4769000</v>
      </c>
      <c r="I43" s="1117">
        <f>(52459000-8503880)/5</f>
        <v>8791024</v>
      </c>
      <c r="J43" s="1118">
        <f t="shared" si="28"/>
        <v>8791024</v>
      </c>
      <c r="K43" s="1118"/>
      <c r="L43" s="1118">
        <f t="shared" si="29"/>
        <v>0</v>
      </c>
      <c r="M43" s="1118"/>
      <c r="N43" s="1118">
        <f t="shared" si="30"/>
        <v>8791024</v>
      </c>
      <c r="O43" s="1119"/>
      <c r="P43" s="1083">
        <v>8791024</v>
      </c>
      <c r="Q43" s="1083">
        <v>8791024</v>
      </c>
      <c r="R43" s="1083">
        <v>8791024</v>
      </c>
      <c r="S43" s="1083">
        <f t="shared" si="15"/>
        <v>0</v>
      </c>
      <c r="T43" s="1083"/>
      <c r="U43" s="1083"/>
      <c r="V43" s="1083"/>
      <c r="W43" s="1080" t="s">
        <v>210</v>
      </c>
      <c r="X43" s="1080" t="s">
        <v>1309</v>
      </c>
    </row>
    <row r="44" spans="1:24" s="1080" customFormat="1" ht="17.100000000000001" customHeight="1">
      <c r="A44" s="1055"/>
      <c r="B44" s="1055"/>
      <c r="C44" s="1852" t="s">
        <v>1124</v>
      </c>
      <c r="D44" s="1096" t="s">
        <v>211</v>
      </c>
      <c r="E44" s="1096">
        <v>83990</v>
      </c>
      <c r="F44" s="1096" t="s">
        <v>386</v>
      </c>
      <c r="G44" s="1096">
        <v>11</v>
      </c>
      <c r="H44" s="1783">
        <f>4618400</f>
        <v>4618400</v>
      </c>
      <c r="I44" s="1118">
        <v>48982349</v>
      </c>
      <c r="J44" s="1122">
        <f>+SUM(I44)</f>
        <v>48982349</v>
      </c>
      <c r="K44" s="1122"/>
      <c r="L44" s="1122">
        <f>+K44</f>
        <v>0</v>
      </c>
      <c r="M44" s="1122"/>
      <c r="N44" s="1118">
        <f>+J44+K44+M44</f>
        <v>48982349</v>
      </c>
      <c r="O44" s="1119"/>
      <c r="P44" s="1083">
        <v>50802400</v>
      </c>
      <c r="Q44" s="1083">
        <v>48982349</v>
      </c>
      <c r="R44" s="1083">
        <v>48982349</v>
      </c>
      <c r="S44" s="1083">
        <f t="shared" si="15"/>
        <v>1820051</v>
      </c>
      <c r="T44" s="1083">
        <v>1820051</v>
      </c>
      <c r="U44" s="1083"/>
      <c r="V44" s="1083"/>
      <c r="W44" s="1080" t="s">
        <v>210</v>
      </c>
      <c r="X44" s="1080" t="s">
        <v>1312</v>
      </c>
    </row>
    <row r="45" spans="1:24" s="1084" customFormat="1" ht="17.100000000000001" customHeight="1">
      <c r="A45" s="1055"/>
      <c r="B45" s="1055"/>
      <c r="C45" s="1856" t="s">
        <v>1124</v>
      </c>
      <c r="D45" s="1090" t="s">
        <v>211</v>
      </c>
      <c r="E45" s="1090">
        <v>83990</v>
      </c>
      <c r="F45" s="1090" t="s">
        <v>386</v>
      </c>
      <c r="G45" s="1090">
        <v>11</v>
      </c>
      <c r="H45" s="1784">
        <f>4618400</f>
        <v>4618400</v>
      </c>
      <c r="I45" s="1113">
        <f>50802400-I44</f>
        <v>1820051</v>
      </c>
      <c r="J45" s="1123">
        <f>+SUM(I45)</f>
        <v>1820051</v>
      </c>
      <c r="K45" s="1123"/>
      <c r="L45" s="1123">
        <f>+K45</f>
        <v>0</v>
      </c>
      <c r="M45" s="1123"/>
      <c r="N45" s="1113">
        <f>+J45+K45+M45</f>
        <v>1820051</v>
      </c>
      <c r="O45" s="1114"/>
      <c r="P45" s="1085">
        <v>50802400</v>
      </c>
      <c r="Q45" s="1085">
        <v>48982349</v>
      </c>
      <c r="R45" s="1085">
        <v>48982349</v>
      </c>
      <c r="S45" s="1085">
        <f t="shared" ref="S45" si="31">+P45-R45</f>
        <v>1820051</v>
      </c>
      <c r="T45" s="1085">
        <v>1820051</v>
      </c>
      <c r="U45" s="1085"/>
      <c r="V45" s="1085"/>
      <c r="W45" s="1084" t="s">
        <v>210</v>
      </c>
      <c r="X45" s="1084" t="s">
        <v>1312</v>
      </c>
    </row>
    <row r="46" spans="1:24" ht="29.25" customHeight="1">
      <c r="A46" s="1869"/>
      <c r="B46" s="1873"/>
      <c r="C46" s="1855" t="s">
        <v>802</v>
      </c>
      <c r="D46" s="94"/>
      <c r="E46" s="887"/>
      <c r="F46" s="95"/>
      <c r="G46" s="887"/>
      <c r="H46" s="887"/>
      <c r="I46" s="875">
        <f t="shared" ref="I46:O46" si="32">+SUM(I47:I72)</f>
        <v>0</v>
      </c>
      <c r="J46" s="875">
        <f t="shared" si="32"/>
        <v>0</v>
      </c>
      <c r="K46" s="875">
        <f t="shared" si="32"/>
        <v>0</v>
      </c>
      <c r="L46" s="875">
        <f t="shared" si="32"/>
        <v>0</v>
      </c>
      <c r="M46" s="875">
        <f t="shared" si="32"/>
        <v>650438916.22000003</v>
      </c>
      <c r="N46" s="875">
        <f t="shared" si="32"/>
        <v>650438916.22000003</v>
      </c>
      <c r="O46" s="876">
        <f t="shared" si="32"/>
        <v>0</v>
      </c>
      <c r="P46" s="1025"/>
      <c r="Q46" s="1025"/>
      <c r="R46" s="1025"/>
      <c r="S46" s="1025">
        <f t="shared" si="15"/>
        <v>0</v>
      </c>
      <c r="T46" s="1025"/>
      <c r="U46" s="1025"/>
      <c r="V46" s="1025"/>
    </row>
    <row r="47" spans="1:24" ht="17.100000000000001" customHeight="1">
      <c r="A47" s="1055"/>
      <c r="B47" s="1055"/>
      <c r="C47" s="214" t="s">
        <v>828</v>
      </c>
      <c r="D47" s="1652" t="s">
        <v>211</v>
      </c>
      <c r="E47" s="1652">
        <v>83990</v>
      </c>
      <c r="F47" s="1652" t="s">
        <v>198</v>
      </c>
      <c r="G47" s="1652">
        <v>1</v>
      </c>
      <c r="H47" s="618"/>
      <c r="I47" s="516"/>
      <c r="J47" s="617"/>
      <c r="K47" s="617"/>
      <c r="L47" s="617">
        <f t="shared" ref="L47:L72" si="33">+K47</f>
        <v>0</v>
      </c>
      <c r="M47" s="617">
        <v>137228824</v>
      </c>
      <c r="N47" s="617">
        <f t="shared" ref="N47:N72" si="34">+J47+K47+M47</f>
        <v>137228824</v>
      </c>
      <c r="O47" s="619"/>
      <c r="P47" s="2157">
        <f>SUM(N47:N72)</f>
        <v>650438916.22000003</v>
      </c>
      <c r="Q47" s="2157">
        <v>642733881</v>
      </c>
      <c r="R47" s="2157">
        <v>642733881</v>
      </c>
      <c r="S47" s="2157">
        <f>+P47-R47</f>
        <v>7705035.2200000286</v>
      </c>
      <c r="T47" s="2157"/>
      <c r="U47" s="2157"/>
      <c r="V47" s="2157">
        <v>7705035</v>
      </c>
      <c r="W47" s="150" t="s">
        <v>210</v>
      </c>
      <c r="X47" s="150" t="s">
        <v>802</v>
      </c>
    </row>
    <row r="48" spans="1:24" ht="17.100000000000001" customHeight="1">
      <c r="A48" s="1055"/>
      <c r="B48" s="1055"/>
      <c r="C48" s="2240" t="s">
        <v>820</v>
      </c>
      <c r="D48" s="2241" t="s">
        <v>829</v>
      </c>
      <c r="E48" s="1652">
        <v>83990</v>
      </c>
      <c r="F48" s="1652" t="s">
        <v>198</v>
      </c>
      <c r="G48" s="1652">
        <v>1</v>
      </c>
      <c r="H48" s="618"/>
      <c r="I48" s="516"/>
      <c r="J48" s="617"/>
      <c r="K48" s="617"/>
      <c r="L48" s="617">
        <f t="shared" si="33"/>
        <v>0</v>
      </c>
      <c r="M48" s="617">
        <v>192607160</v>
      </c>
      <c r="N48" s="617">
        <f t="shared" si="34"/>
        <v>192607160</v>
      </c>
      <c r="O48" s="619"/>
      <c r="P48" s="2157"/>
      <c r="Q48" s="2157"/>
      <c r="R48" s="2157"/>
      <c r="S48" s="2157">
        <f t="shared" si="15"/>
        <v>0</v>
      </c>
      <c r="T48" s="2157"/>
      <c r="U48" s="2157"/>
      <c r="V48" s="2157"/>
      <c r="W48" s="150" t="s">
        <v>210</v>
      </c>
      <c r="X48" s="150" t="s">
        <v>802</v>
      </c>
    </row>
    <row r="49" spans="1:24" ht="17.100000000000001" customHeight="1">
      <c r="A49" s="1055"/>
      <c r="B49" s="1055"/>
      <c r="C49" s="2240"/>
      <c r="D49" s="2241"/>
      <c r="E49" s="1652">
        <v>81136</v>
      </c>
      <c r="F49" s="1652" t="s">
        <v>198</v>
      </c>
      <c r="G49" s="1652">
        <v>1</v>
      </c>
      <c r="H49" s="618"/>
      <c r="I49" s="516"/>
      <c r="J49" s="617"/>
      <c r="K49" s="617"/>
      <c r="L49" s="617">
        <f t="shared" si="33"/>
        <v>0</v>
      </c>
      <c r="M49" s="617">
        <v>8750000</v>
      </c>
      <c r="N49" s="617">
        <f t="shared" si="34"/>
        <v>8750000</v>
      </c>
      <c r="O49" s="619"/>
      <c r="P49" s="2157"/>
      <c r="Q49" s="2157"/>
      <c r="R49" s="2157"/>
      <c r="S49" s="2157">
        <f t="shared" si="15"/>
        <v>0</v>
      </c>
      <c r="T49" s="2157"/>
      <c r="U49" s="2157"/>
      <c r="V49" s="2157"/>
      <c r="W49" s="150" t="s">
        <v>210</v>
      </c>
      <c r="X49" s="150" t="s">
        <v>802</v>
      </c>
    </row>
    <row r="50" spans="1:24" ht="17.100000000000001" customHeight="1">
      <c r="A50" s="1055"/>
      <c r="B50" s="1055"/>
      <c r="C50" s="2240"/>
      <c r="D50" s="2241" t="s">
        <v>830</v>
      </c>
      <c r="E50" s="1652">
        <v>3465401</v>
      </c>
      <c r="F50" s="1652" t="s">
        <v>198</v>
      </c>
      <c r="G50" s="1652">
        <v>1</v>
      </c>
      <c r="H50" s="618"/>
      <c r="I50" s="516"/>
      <c r="J50" s="617"/>
      <c r="K50" s="617"/>
      <c r="L50" s="617">
        <f t="shared" si="33"/>
        <v>0</v>
      </c>
      <c r="M50" s="617">
        <v>0</v>
      </c>
      <c r="N50" s="617">
        <f t="shared" si="34"/>
        <v>0</v>
      </c>
      <c r="O50" s="619"/>
      <c r="P50" s="2157"/>
      <c r="Q50" s="2157"/>
      <c r="R50" s="2157"/>
      <c r="S50" s="2157">
        <f t="shared" si="15"/>
        <v>0</v>
      </c>
      <c r="T50" s="2157"/>
      <c r="U50" s="2157"/>
      <c r="V50" s="2157"/>
      <c r="W50" s="150" t="s">
        <v>210</v>
      </c>
      <c r="X50" s="150" t="s">
        <v>802</v>
      </c>
    </row>
    <row r="51" spans="1:24" ht="17.100000000000001" customHeight="1">
      <c r="A51" s="1055"/>
      <c r="B51" s="1055"/>
      <c r="C51" s="2240"/>
      <c r="D51" s="2241"/>
      <c r="E51" s="1652">
        <v>3745001</v>
      </c>
      <c r="F51" s="1652" t="s">
        <v>198</v>
      </c>
      <c r="G51" s="1652">
        <v>1</v>
      </c>
      <c r="H51" s="618"/>
      <c r="I51" s="516"/>
      <c r="J51" s="617"/>
      <c r="K51" s="617"/>
      <c r="L51" s="617">
        <f t="shared" si="33"/>
        <v>0</v>
      </c>
      <c r="M51" s="617">
        <v>0</v>
      </c>
      <c r="N51" s="617">
        <f t="shared" si="34"/>
        <v>0</v>
      </c>
      <c r="O51" s="619"/>
      <c r="P51" s="2157"/>
      <c r="Q51" s="2157"/>
      <c r="R51" s="2157"/>
      <c r="S51" s="2157">
        <f t="shared" si="15"/>
        <v>0</v>
      </c>
      <c r="T51" s="2157"/>
      <c r="U51" s="2157"/>
      <c r="V51" s="2157"/>
      <c r="W51" s="150" t="s">
        <v>210</v>
      </c>
      <c r="X51" s="150" t="s">
        <v>802</v>
      </c>
    </row>
    <row r="52" spans="1:24" ht="17.100000000000001" customHeight="1">
      <c r="A52" s="1055"/>
      <c r="B52" s="1055"/>
      <c r="C52" s="2240"/>
      <c r="D52" s="2241"/>
      <c r="E52" s="1652">
        <v>3719199</v>
      </c>
      <c r="F52" s="1652" t="s">
        <v>198</v>
      </c>
      <c r="G52" s="1652">
        <v>1</v>
      </c>
      <c r="H52" s="618"/>
      <c r="I52" s="516"/>
      <c r="J52" s="617"/>
      <c r="K52" s="617"/>
      <c r="L52" s="617">
        <f t="shared" si="33"/>
        <v>0</v>
      </c>
      <c r="M52" s="617">
        <v>127400</v>
      </c>
      <c r="N52" s="617">
        <f t="shared" si="34"/>
        <v>127400</v>
      </c>
      <c r="O52" s="619"/>
      <c r="P52" s="2157"/>
      <c r="Q52" s="2157"/>
      <c r="R52" s="2157"/>
      <c r="S52" s="2157">
        <f t="shared" si="15"/>
        <v>0</v>
      </c>
      <c r="T52" s="2157"/>
      <c r="U52" s="2157"/>
      <c r="V52" s="2157"/>
      <c r="W52" s="150" t="s">
        <v>210</v>
      </c>
      <c r="X52" s="150" t="s">
        <v>802</v>
      </c>
    </row>
    <row r="53" spans="1:24" ht="17.100000000000001" customHeight="1">
      <c r="A53" s="1055"/>
      <c r="B53" s="1055"/>
      <c r="C53" s="2240"/>
      <c r="D53" s="2241"/>
      <c r="E53" s="1652">
        <v>3649013</v>
      </c>
      <c r="F53" s="1652" t="s">
        <v>198</v>
      </c>
      <c r="G53" s="1652">
        <v>1</v>
      </c>
      <c r="H53" s="618"/>
      <c r="I53" s="516"/>
      <c r="J53" s="617"/>
      <c r="K53" s="617"/>
      <c r="L53" s="617">
        <f t="shared" si="33"/>
        <v>0</v>
      </c>
      <c r="M53" s="617">
        <v>236249.59999999998</v>
      </c>
      <c r="N53" s="617">
        <f t="shared" si="34"/>
        <v>236249.59999999998</v>
      </c>
      <c r="O53" s="619"/>
      <c r="P53" s="2157"/>
      <c r="Q53" s="2157"/>
      <c r="R53" s="2157"/>
      <c r="S53" s="2157">
        <f t="shared" si="15"/>
        <v>0</v>
      </c>
      <c r="T53" s="2157"/>
      <c r="U53" s="2157"/>
      <c r="V53" s="2157"/>
      <c r="W53" s="150" t="s">
        <v>210</v>
      </c>
      <c r="X53" s="150" t="s">
        <v>802</v>
      </c>
    </row>
    <row r="54" spans="1:24" ht="17.100000000000001" customHeight="1">
      <c r="A54" s="1055"/>
      <c r="B54" s="1055"/>
      <c r="C54" s="2240"/>
      <c r="D54" s="2241" t="s">
        <v>525</v>
      </c>
      <c r="E54" s="1652">
        <v>62199</v>
      </c>
      <c r="F54" s="1652" t="s">
        <v>198</v>
      </c>
      <c r="G54" s="1652">
        <v>1</v>
      </c>
      <c r="H54" s="618"/>
      <c r="I54" s="516"/>
      <c r="J54" s="617"/>
      <c r="K54" s="617"/>
      <c r="L54" s="617">
        <f t="shared" si="33"/>
        <v>0</v>
      </c>
      <c r="M54" s="617">
        <v>930000</v>
      </c>
      <c r="N54" s="617">
        <f t="shared" si="34"/>
        <v>930000</v>
      </c>
      <c r="O54" s="619"/>
      <c r="P54" s="2157"/>
      <c r="Q54" s="2157"/>
      <c r="R54" s="2157"/>
      <c r="S54" s="2157">
        <f t="shared" si="15"/>
        <v>0</v>
      </c>
      <c r="T54" s="2157"/>
      <c r="U54" s="2157"/>
      <c r="V54" s="2157"/>
      <c r="W54" s="150" t="s">
        <v>210</v>
      </c>
      <c r="X54" s="150" t="s">
        <v>802</v>
      </c>
    </row>
    <row r="55" spans="1:24" ht="17.100000000000001" customHeight="1">
      <c r="A55" s="1055"/>
      <c r="B55" s="1055"/>
      <c r="C55" s="2240"/>
      <c r="D55" s="2241"/>
      <c r="E55" s="1652">
        <v>67990</v>
      </c>
      <c r="F55" s="1652" t="s">
        <v>198</v>
      </c>
      <c r="G55" s="1652">
        <v>1</v>
      </c>
      <c r="H55" s="618"/>
      <c r="I55" s="516"/>
      <c r="J55" s="617"/>
      <c r="K55" s="617"/>
      <c r="L55" s="617">
        <f t="shared" si="33"/>
        <v>0</v>
      </c>
      <c r="M55" s="617">
        <v>0</v>
      </c>
      <c r="N55" s="617">
        <f t="shared" si="34"/>
        <v>0</v>
      </c>
      <c r="O55" s="619"/>
      <c r="P55" s="2157"/>
      <c r="Q55" s="2157"/>
      <c r="R55" s="2157"/>
      <c r="S55" s="2157">
        <f t="shared" si="15"/>
        <v>0</v>
      </c>
      <c r="T55" s="2157"/>
      <c r="U55" s="2157"/>
      <c r="V55" s="2157"/>
      <c r="W55" s="150" t="s">
        <v>210</v>
      </c>
      <c r="X55" s="150" t="s">
        <v>802</v>
      </c>
    </row>
    <row r="56" spans="1:24" ht="17.100000000000001" customHeight="1">
      <c r="A56" s="1055"/>
      <c r="B56" s="1055"/>
      <c r="C56" s="2240"/>
      <c r="D56" s="2241"/>
      <c r="E56" s="1652">
        <v>62129</v>
      </c>
      <c r="F56" s="1652" t="s">
        <v>198</v>
      </c>
      <c r="G56" s="1652">
        <v>1</v>
      </c>
      <c r="H56" s="618"/>
      <c r="I56" s="516"/>
      <c r="J56" s="617"/>
      <c r="K56" s="617"/>
      <c r="L56" s="617">
        <f t="shared" si="33"/>
        <v>0</v>
      </c>
      <c r="M56" s="617">
        <v>0</v>
      </c>
      <c r="N56" s="617">
        <f t="shared" si="34"/>
        <v>0</v>
      </c>
      <c r="O56" s="619"/>
      <c r="P56" s="2157"/>
      <c r="Q56" s="2157"/>
      <c r="R56" s="2157"/>
      <c r="S56" s="2157">
        <f t="shared" si="15"/>
        <v>0</v>
      </c>
      <c r="T56" s="2157"/>
      <c r="U56" s="2157"/>
      <c r="V56" s="2157"/>
      <c r="W56" s="150" t="s">
        <v>210</v>
      </c>
      <c r="X56" s="150" t="s">
        <v>802</v>
      </c>
    </row>
    <row r="57" spans="1:24" ht="17.100000000000001" customHeight="1">
      <c r="A57" s="1055"/>
      <c r="B57" s="1055"/>
      <c r="C57" s="2240"/>
      <c r="D57" s="2241"/>
      <c r="E57" s="1652">
        <v>62165</v>
      </c>
      <c r="F57" s="1652" t="s">
        <v>198</v>
      </c>
      <c r="G57" s="1652">
        <v>1</v>
      </c>
      <c r="H57" s="618"/>
      <c r="I57" s="516"/>
      <c r="J57" s="617"/>
      <c r="K57" s="617"/>
      <c r="L57" s="617">
        <f t="shared" si="33"/>
        <v>0</v>
      </c>
      <c r="M57" s="617">
        <v>3660000</v>
      </c>
      <c r="N57" s="617">
        <f t="shared" si="34"/>
        <v>3660000</v>
      </c>
      <c r="O57" s="619"/>
      <c r="P57" s="2157"/>
      <c r="Q57" s="2157"/>
      <c r="R57" s="2157"/>
      <c r="S57" s="2157">
        <f t="shared" si="15"/>
        <v>0</v>
      </c>
      <c r="T57" s="2157"/>
      <c r="U57" s="2157"/>
      <c r="V57" s="2157"/>
      <c r="W57" s="150" t="s">
        <v>210</v>
      </c>
      <c r="X57" s="150" t="s">
        <v>802</v>
      </c>
    </row>
    <row r="58" spans="1:24" ht="17.100000000000001" customHeight="1">
      <c r="A58" s="1055"/>
      <c r="B58" s="1055"/>
      <c r="C58" s="2240"/>
      <c r="D58" s="2241"/>
      <c r="E58" s="1652">
        <v>62133</v>
      </c>
      <c r="F58" s="1652" t="s">
        <v>198</v>
      </c>
      <c r="G58" s="1652">
        <v>1</v>
      </c>
      <c r="H58" s="618"/>
      <c r="I58" s="516"/>
      <c r="J58" s="617"/>
      <c r="K58" s="617"/>
      <c r="L58" s="617">
        <f t="shared" si="33"/>
        <v>0</v>
      </c>
      <c r="M58" s="617">
        <v>711200</v>
      </c>
      <c r="N58" s="617">
        <f t="shared" si="34"/>
        <v>711200</v>
      </c>
      <c r="O58" s="619"/>
      <c r="P58" s="2157"/>
      <c r="Q58" s="2157"/>
      <c r="R58" s="2157"/>
      <c r="S58" s="2157">
        <f t="shared" si="15"/>
        <v>0</v>
      </c>
      <c r="T58" s="2157"/>
      <c r="U58" s="2157"/>
      <c r="V58" s="2157"/>
      <c r="W58" s="150" t="s">
        <v>210</v>
      </c>
      <c r="X58" s="150" t="s">
        <v>802</v>
      </c>
    </row>
    <row r="59" spans="1:24" ht="17.100000000000001" customHeight="1">
      <c r="A59" s="1055"/>
      <c r="B59" s="1055"/>
      <c r="C59" s="2240"/>
      <c r="D59" s="1652" t="s">
        <v>827</v>
      </c>
      <c r="E59" s="1652">
        <v>1611003</v>
      </c>
      <c r="F59" s="1652" t="s">
        <v>198</v>
      </c>
      <c r="G59" s="1652">
        <v>1</v>
      </c>
      <c r="H59" s="618"/>
      <c r="I59" s="516"/>
      <c r="J59" s="617"/>
      <c r="K59" s="617"/>
      <c r="L59" s="617">
        <f t="shared" si="33"/>
        <v>0</v>
      </c>
      <c r="M59" s="617">
        <v>0</v>
      </c>
      <c r="N59" s="617">
        <f t="shared" si="34"/>
        <v>0</v>
      </c>
      <c r="O59" s="619"/>
      <c r="P59" s="2157"/>
      <c r="Q59" s="2157"/>
      <c r="R59" s="2157"/>
      <c r="S59" s="2157">
        <f t="shared" si="15"/>
        <v>0</v>
      </c>
      <c r="T59" s="2157"/>
      <c r="U59" s="2157"/>
      <c r="V59" s="2157"/>
      <c r="W59" s="150" t="s">
        <v>210</v>
      </c>
      <c r="X59" s="150" t="s">
        <v>802</v>
      </c>
    </row>
    <row r="60" spans="1:24" ht="17.100000000000001" customHeight="1">
      <c r="A60" s="1055"/>
      <c r="B60" s="1055"/>
      <c r="C60" s="2240"/>
      <c r="D60" s="1652" t="s">
        <v>831</v>
      </c>
      <c r="E60" s="1652">
        <v>2716004</v>
      </c>
      <c r="F60" s="1652" t="s">
        <v>198</v>
      </c>
      <c r="G60" s="1652">
        <v>1</v>
      </c>
      <c r="H60" s="618"/>
      <c r="I60" s="516"/>
      <c r="J60" s="617"/>
      <c r="K60" s="617"/>
      <c r="L60" s="617">
        <f t="shared" si="33"/>
        <v>0</v>
      </c>
      <c r="M60" s="617">
        <v>432600</v>
      </c>
      <c r="N60" s="617">
        <f t="shared" si="34"/>
        <v>432600</v>
      </c>
      <c r="O60" s="619"/>
      <c r="P60" s="2157"/>
      <c r="Q60" s="2157"/>
      <c r="R60" s="2157"/>
      <c r="S60" s="2157">
        <f t="shared" si="15"/>
        <v>0</v>
      </c>
      <c r="T60" s="2157"/>
      <c r="U60" s="2157"/>
      <c r="V60" s="2157"/>
      <c r="W60" s="150" t="s">
        <v>210</v>
      </c>
      <c r="X60" s="150" t="s">
        <v>802</v>
      </c>
    </row>
    <row r="61" spans="1:24" ht="17.100000000000001" customHeight="1">
      <c r="A61" s="1055"/>
      <c r="B61" s="1055"/>
      <c r="C61" s="2240"/>
      <c r="D61" s="2241" t="s">
        <v>826</v>
      </c>
      <c r="E61" s="1652">
        <v>44198</v>
      </c>
      <c r="F61" s="1652" t="s">
        <v>198</v>
      </c>
      <c r="G61" s="1652">
        <v>1</v>
      </c>
      <c r="H61" s="618"/>
      <c r="I61" s="516"/>
      <c r="J61" s="617"/>
      <c r="K61" s="617"/>
      <c r="L61" s="617">
        <f t="shared" si="33"/>
        <v>0</v>
      </c>
      <c r="M61" s="617">
        <v>11983300</v>
      </c>
      <c r="N61" s="617">
        <f t="shared" si="34"/>
        <v>11983300</v>
      </c>
      <c r="O61" s="619"/>
      <c r="P61" s="2157"/>
      <c r="Q61" s="2157"/>
      <c r="R61" s="2157"/>
      <c r="S61" s="2157">
        <f t="shared" si="15"/>
        <v>0</v>
      </c>
      <c r="T61" s="2157"/>
      <c r="U61" s="2157"/>
      <c r="V61" s="2157"/>
      <c r="W61" s="150" t="s">
        <v>210</v>
      </c>
      <c r="X61" s="150" t="s">
        <v>802</v>
      </c>
    </row>
    <row r="62" spans="1:24" ht="17.100000000000001" customHeight="1">
      <c r="A62" s="1055"/>
      <c r="B62" s="1055"/>
      <c r="C62" s="2240"/>
      <c r="D62" s="2241"/>
      <c r="E62" s="1652">
        <v>44811</v>
      </c>
      <c r="F62" s="1652" t="s">
        <v>198</v>
      </c>
      <c r="G62" s="1652">
        <v>1</v>
      </c>
      <c r="H62" s="618"/>
      <c r="I62" s="516"/>
      <c r="J62" s="617"/>
      <c r="K62" s="617"/>
      <c r="L62" s="617">
        <f t="shared" si="33"/>
        <v>0</v>
      </c>
      <c r="M62" s="617">
        <v>3430000</v>
      </c>
      <c r="N62" s="617">
        <f t="shared" si="34"/>
        <v>3430000</v>
      </c>
      <c r="O62" s="619"/>
      <c r="P62" s="2157"/>
      <c r="Q62" s="2157"/>
      <c r="R62" s="2157"/>
      <c r="S62" s="2157">
        <f t="shared" si="15"/>
        <v>0</v>
      </c>
      <c r="T62" s="2157"/>
      <c r="U62" s="2157"/>
      <c r="V62" s="2157"/>
      <c r="W62" s="150" t="s">
        <v>210</v>
      </c>
      <c r="X62" s="150" t="s">
        <v>802</v>
      </c>
    </row>
    <row r="63" spans="1:24" ht="17.100000000000001" customHeight="1">
      <c r="A63" s="1055"/>
      <c r="B63" s="1055"/>
      <c r="C63" s="2240"/>
      <c r="D63" s="2241"/>
      <c r="E63" s="1652">
        <v>4826609</v>
      </c>
      <c r="F63" s="1652" t="s">
        <v>198</v>
      </c>
      <c r="G63" s="1652">
        <v>1</v>
      </c>
      <c r="H63" s="618"/>
      <c r="I63" s="516"/>
      <c r="J63" s="617"/>
      <c r="K63" s="617"/>
      <c r="L63" s="617">
        <f t="shared" si="33"/>
        <v>0</v>
      </c>
      <c r="M63" s="617">
        <v>33319.599999999999</v>
      </c>
      <c r="N63" s="617">
        <f t="shared" si="34"/>
        <v>33319.599999999999</v>
      </c>
      <c r="O63" s="619"/>
      <c r="P63" s="2157"/>
      <c r="Q63" s="2157"/>
      <c r="R63" s="2157"/>
      <c r="S63" s="2157">
        <f t="shared" si="15"/>
        <v>0</v>
      </c>
      <c r="T63" s="2157"/>
      <c r="U63" s="2157"/>
      <c r="V63" s="2157"/>
      <c r="W63" s="150" t="s">
        <v>210</v>
      </c>
      <c r="X63" s="150" t="s">
        <v>802</v>
      </c>
    </row>
    <row r="64" spans="1:24" ht="17.100000000000001" customHeight="1">
      <c r="A64" s="1055"/>
      <c r="B64" s="1055"/>
      <c r="C64" s="2240"/>
      <c r="D64" s="2241"/>
      <c r="E64" s="1652">
        <v>4292199</v>
      </c>
      <c r="F64" s="1652" t="s">
        <v>198</v>
      </c>
      <c r="G64" s="1652">
        <v>1</v>
      </c>
      <c r="H64" s="618"/>
      <c r="I64" s="516"/>
      <c r="J64" s="617"/>
      <c r="K64" s="617"/>
      <c r="L64" s="617">
        <f t="shared" si="33"/>
        <v>0</v>
      </c>
      <c r="M64" s="617">
        <v>84000</v>
      </c>
      <c r="N64" s="617">
        <f t="shared" si="34"/>
        <v>84000</v>
      </c>
      <c r="O64" s="619"/>
      <c r="P64" s="2157"/>
      <c r="Q64" s="2157"/>
      <c r="R64" s="2157"/>
      <c r="S64" s="2157">
        <f t="shared" si="15"/>
        <v>0</v>
      </c>
      <c r="T64" s="2157"/>
      <c r="U64" s="2157"/>
      <c r="V64" s="2157"/>
      <c r="W64" s="150" t="s">
        <v>210</v>
      </c>
      <c r="X64" s="150" t="s">
        <v>802</v>
      </c>
    </row>
    <row r="65" spans="1:24" ht="17.100000000000001" customHeight="1">
      <c r="A65" s="1055"/>
      <c r="B65" s="1055"/>
      <c r="C65" s="2240"/>
      <c r="D65" s="1652" t="s">
        <v>374</v>
      </c>
      <c r="E65" s="1652" t="s">
        <v>825</v>
      </c>
      <c r="F65" s="1652" t="s">
        <v>198</v>
      </c>
      <c r="G65" s="1652">
        <v>1</v>
      </c>
      <c r="H65" s="618"/>
      <c r="I65" s="516"/>
      <c r="J65" s="617"/>
      <c r="K65" s="617"/>
      <c r="L65" s="617">
        <f t="shared" si="33"/>
        <v>0</v>
      </c>
      <c r="M65" s="617">
        <v>7675200</v>
      </c>
      <c r="N65" s="617">
        <f t="shared" si="34"/>
        <v>7675200</v>
      </c>
      <c r="O65" s="619"/>
      <c r="P65" s="2157"/>
      <c r="Q65" s="2157"/>
      <c r="R65" s="2157"/>
      <c r="S65" s="2157">
        <f t="shared" si="15"/>
        <v>0</v>
      </c>
      <c r="T65" s="2157"/>
      <c r="U65" s="2157"/>
      <c r="V65" s="2157"/>
      <c r="W65" s="150" t="s">
        <v>210</v>
      </c>
      <c r="X65" s="150" t="s">
        <v>802</v>
      </c>
    </row>
    <row r="66" spans="1:24" ht="17.100000000000001" customHeight="1">
      <c r="A66" s="1055"/>
      <c r="B66" s="1055"/>
      <c r="C66" s="214" t="s">
        <v>821</v>
      </c>
      <c r="D66" s="1652" t="s">
        <v>782</v>
      </c>
      <c r="E66" s="1652">
        <v>67990</v>
      </c>
      <c r="F66" s="1652" t="s">
        <v>198</v>
      </c>
      <c r="G66" s="1652">
        <v>1</v>
      </c>
      <c r="H66" s="618"/>
      <c r="I66" s="516"/>
      <c r="J66" s="617"/>
      <c r="K66" s="617"/>
      <c r="L66" s="617">
        <f t="shared" si="33"/>
        <v>0</v>
      </c>
      <c r="M66" s="617">
        <v>36158199</v>
      </c>
      <c r="N66" s="617">
        <f t="shared" si="34"/>
        <v>36158199</v>
      </c>
      <c r="O66" s="619"/>
      <c r="P66" s="2157"/>
      <c r="Q66" s="2157"/>
      <c r="R66" s="2157"/>
      <c r="S66" s="2157">
        <f t="shared" si="15"/>
        <v>0</v>
      </c>
      <c r="T66" s="2157"/>
      <c r="U66" s="2157"/>
      <c r="V66" s="2157"/>
      <c r="W66" s="150" t="s">
        <v>210</v>
      </c>
      <c r="X66" s="150" t="s">
        <v>802</v>
      </c>
    </row>
    <row r="67" spans="1:24" ht="17.100000000000001" customHeight="1">
      <c r="A67" s="1055"/>
      <c r="B67" s="1055"/>
      <c r="C67" s="214" t="s">
        <v>832</v>
      </c>
      <c r="D67" s="1652" t="s">
        <v>782</v>
      </c>
      <c r="E67" s="1652">
        <v>67990</v>
      </c>
      <c r="F67" s="1652" t="s">
        <v>198</v>
      </c>
      <c r="G67" s="1652">
        <v>1</v>
      </c>
      <c r="H67" s="618"/>
      <c r="I67" s="516"/>
      <c r="J67" s="617"/>
      <c r="K67" s="617"/>
      <c r="L67" s="617">
        <f t="shared" si="33"/>
        <v>0</v>
      </c>
      <c r="M67" s="617">
        <v>7705035</v>
      </c>
      <c r="N67" s="617">
        <f t="shared" si="34"/>
        <v>7705035</v>
      </c>
      <c r="O67" s="619"/>
      <c r="P67" s="2157"/>
      <c r="Q67" s="2157"/>
      <c r="R67" s="2157"/>
      <c r="S67" s="2157">
        <f t="shared" si="15"/>
        <v>0</v>
      </c>
      <c r="T67" s="2157"/>
      <c r="U67" s="2157"/>
      <c r="V67" s="2157"/>
      <c r="W67" s="150" t="s">
        <v>210</v>
      </c>
      <c r="X67" s="150" t="s">
        <v>802</v>
      </c>
    </row>
    <row r="68" spans="1:24" ht="17.100000000000001" customHeight="1">
      <c r="A68" s="1055"/>
      <c r="B68" s="1055"/>
      <c r="C68" s="214" t="s">
        <v>822</v>
      </c>
      <c r="D68" s="1652" t="s">
        <v>211</v>
      </c>
      <c r="E68" s="1652">
        <v>81136</v>
      </c>
      <c r="F68" s="1652" t="s">
        <v>198</v>
      </c>
      <c r="G68" s="1652">
        <v>1</v>
      </c>
      <c r="H68" s="618"/>
      <c r="I68" s="516"/>
      <c r="J68" s="617"/>
      <c r="K68" s="617"/>
      <c r="L68" s="617">
        <f t="shared" si="33"/>
        <v>0</v>
      </c>
      <c r="M68" s="617">
        <v>114300000</v>
      </c>
      <c r="N68" s="617">
        <f t="shared" si="34"/>
        <v>114300000</v>
      </c>
      <c r="O68" s="619"/>
      <c r="P68" s="2157"/>
      <c r="Q68" s="2157"/>
      <c r="R68" s="2157"/>
      <c r="S68" s="2157">
        <f t="shared" si="15"/>
        <v>0</v>
      </c>
      <c r="T68" s="2157"/>
      <c r="U68" s="2157"/>
      <c r="V68" s="2157"/>
      <c r="W68" s="150" t="s">
        <v>210</v>
      </c>
      <c r="X68" s="150" t="s">
        <v>802</v>
      </c>
    </row>
    <row r="69" spans="1:24" ht="17.100000000000001" customHeight="1">
      <c r="A69" s="1055"/>
      <c r="B69" s="1055"/>
      <c r="C69" s="214" t="s">
        <v>833</v>
      </c>
      <c r="D69" s="1652" t="s">
        <v>395</v>
      </c>
      <c r="E69" s="1652">
        <v>92913</v>
      </c>
      <c r="F69" s="1652" t="s">
        <v>198</v>
      </c>
      <c r="G69" s="1652">
        <v>1</v>
      </c>
      <c r="H69" s="618"/>
      <c r="I69" s="516"/>
      <c r="J69" s="617"/>
      <c r="K69" s="617"/>
      <c r="L69" s="617">
        <f t="shared" si="33"/>
        <v>0</v>
      </c>
      <c r="M69" s="617">
        <v>10000000</v>
      </c>
      <c r="N69" s="617">
        <f t="shared" si="34"/>
        <v>10000000</v>
      </c>
      <c r="O69" s="619"/>
      <c r="P69" s="2157"/>
      <c r="Q69" s="2157"/>
      <c r="R69" s="2157"/>
      <c r="S69" s="2157">
        <f t="shared" si="15"/>
        <v>0</v>
      </c>
      <c r="T69" s="2157"/>
      <c r="U69" s="2157"/>
      <c r="V69" s="2157"/>
      <c r="W69" s="150" t="s">
        <v>210</v>
      </c>
      <c r="X69" s="150" t="s">
        <v>802</v>
      </c>
    </row>
    <row r="70" spans="1:24" ht="18.75" customHeight="1">
      <c r="A70" s="1055"/>
      <c r="B70" s="1055"/>
      <c r="C70" s="2240" t="s">
        <v>824</v>
      </c>
      <c r="D70" s="1652" t="s">
        <v>447</v>
      </c>
      <c r="E70" s="1652">
        <v>3229101</v>
      </c>
      <c r="F70" s="1652" t="s">
        <v>198</v>
      </c>
      <c r="G70" s="1652">
        <v>1</v>
      </c>
      <c r="H70" s="618"/>
      <c r="I70" s="516"/>
      <c r="J70" s="617"/>
      <c r="K70" s="617"/>
      <c r="L70" s="617">
        <f t="shared" si="33"/>
        <v>0</v>
      </c>
      <c r="M70" s="617">
        <v>20230000.02</v>
      </c>
      <c r="N70" s="617">
        <f t="shared" si="34"/>
        <v>20230000.02</v>
      </c>
      <c r="O70" s="619"/>
      <c r="P70" s="2157"/>
      <c r="Q70" s="2157"/>
      <c r="R70" s="2157"/>
      <c r="S70" s="2157">
        <f t="shared" si="15"/>
        <v>0</v>
      </c>
      <c r="T70" s="2157"/>
      <c r="U70" s="2157"/>
      <c r="V70" s="2157"/>
      <c r="W70" s="150" t="s">
        <v>210</v>
      </c>
      <c r="X70" s="150" t="s">
        <v>802</v>
      </c>
    </row>
    <row r="71" spans="1:24" ht="17.25" customHeight="1">
      <c r="A71" s="1055"/>
      <c r="B71" s="1055"/>
      <c r="C71" s="2240"/>
      <c r="D71" s="1652" t="s">
        <v>525</v>
      </c>
      <c r="E71" s="1652">
        <v>63391</v>
      </c>
      <c r="F71" s="1652" t="s">
        <v>198</v>
      </c>
      <c r="G71" s="1652">
        <v>1</v>
      </c>
      <c r="H71" s="618"/>
      <c r="I71" s="516"/>
      <c r="J71" s="617"/>
      <c r="K71" s="617"/>
      <c r="L71" s="617">
        <f t="shared" si="33"/>
        <v>0</v>
      </c>
      <c r="M71" s="617">
        <v>1506429</v>
      </c>
      <c r="N71" s="617">
        <f t="shared" si="34"/>
        <v>1506429</v>
      </c>
      <c r="O71" s="619"/>
      <c r="P71" s="2157"/>
      <c r="Q71" s="2157"/>
      <c r="R71" s="2157"/>
      <c r="S71" s="2157">
        <f t="shared" si="15"/>
        <v>0</v>
      </c>
      <c r="T71" s="2157"/>
      <c r="U71" s="2157"/>
      <c r="V71" s="2157"/>
      <c r="W71" s="150" t="s">
        <v>210</v>
      </c>
      <c r="X71" s="150" t="s">
        <v>802</v>
      </c>
    </row>
    <row r="72" spans="1:24" ht="17.100000000000001" customHeight="1" thickBot="1">
      <c r="A72" s="1055"/>
      <c r="B72" s="1055"/>
      <c r="C72" s="1857" t="s">
        <v>834</v>
      </c>
      <c r="D72" s="1675" t="s">
        <v>211</v>
      </c>
      <c r="E72" s="1675">
        <v>83990</v>
      </c>
      <c r="F72" s="1675" t="s">
        <v>198</v>
      </c>
      <c r="G72" s="1675">
        <v>1</v>
      </c>
      <c r="H72" s="1790"/>
      <c r="I72" s="1791"/>
      <c r="J72" s="1792"/>
      <c r="K72" s="1792"/>
      <c r="L72" s="1792">
        <f t="shared" si="33"/>
        <v>0</v>
      </c>
      <c r="M72" s="1792">
        <v>92650000</v>
      </c>
      <c r="N72" s="1792">
        <f t="shared" si="34"/>
        <v>92650000</v>
      </c>
      <c r="O72" s="1793"/>
      <c r="P72" s="2157"/>
      <c r="Q72" s="2157"/>
      <c r="R72" s="2157"/>
      <c r="S72" s="2157">
        <f t="shared" si="15"/>
        <v>0</v>
      </c>
      <c r="T72" s="2157"/>
      <c r="U72" s="2157"/>
      <c r="V72" s="2157"/>
      <c r="W72" s="150" t="s">
        <v>210</v>
      </c>
      <c r="X72" s="150" t="s">
        <v>802</v>
      </c>
    </row>
    <row r="73" spans="1:24" ht="38.25" customHeight="1" thickBot="1">
      <c r="A73" s="1866">
        <v>203</v>
      </c>
      <c r="B73" s="1872"/>
      <c r="C73" s="1858" t="s">
        <v>1062</v>
      </c>
      <c r="D73" s="1797"/>
      <c r="E73" s="200"/>
      <c r="F73" s="200"/>
      <c r="G73" s="200"/>
      <c r="H73" s="200">
        <f>+H74</f>
        <v>0</v>
      </c>
      <c r="I73" s="465">
        <f t="shared" ref="I73:O73" si="35">+I74</f>
        <v>49951811.200000003</v>
      </c>
      <c r="J73" s="465">
        <f t="shared" si="35"/>
        <v>49951811.200000003</v>
      </c>
      <c r="K73" s="465">
        <f t="shared" si="35"/>
        <v>0</v>
      </c>
      <c r="L73" s="465">
        <f t="shared" si="35"/>
        <v>0</v>
      </c>
      <c r="M73" s="465">
        <f t="shared" si="35"/>
        <v>0</v>
      </c>
      <c r="N73" s="465">
        <f t="shared" si="35"/>
        <v>49951811.200000003</v>
      </c>
      <c r="O73" s="1798">
        <f t="shared" si="35"/>
        <v>0</v>
      </c>
      <c r="P73" s="1028"/>
      <c r="Q73" s="1025"/>
      <c r="R73" s="1025"/>
      <c r="S73" s="1028">
        <f t="shared" si="15"/>
        <v>0</v>
      </c>
      <c r="T73" s="1025"/>
      <c r="U73" s="1025"/>
      <c r="V73" s="1025"/>
    </row>
    <row r="74" spans="1:24" ht="31.5" customHeight="1">
      <c r="A74" s="1866"/>
      <c r="B74" s="1872" t="s">
        <v>1467</v>
      </c>
      <c r="C74" s="1850" t="s">
        <v>1063</v>
      </c>
      <c r="D74" s="194"/>
      <c r="E74" s="197"/>
      <c r="F74" s="197"/>
      <c r="G74" s="197"/>
      <c r="H74" s="197"/>
      <c r="I74" s="1794">
        <f t="shared" ref="I74:N74" si="36">SUM(I75:I79)</f>
        <v>49951811.200000003</v>
      </c>
      <c r="J74" s="1794">
        <f t="shared" si="36"/>
        <v>49951811.200000003</v>
      </c>
      <c r="K74" s="1794">
        <f t="shared" si="36"/>
        <v>0</v>
      </c>
      <c r="L74" s="1794">
        <f t="shared" si="36"/>
        <v>0</v>
      </c>
      <c r="M74" s="1794">
        <f t="shared" si="36"/>
        <v>0</v>
      </c>
      <c r="N74" s="1794">
        <f t="shared" si="36"/>
        <v>49951811.200000003</v>
      </c>
      <c r="O74" s="1795">
        <f t="shared" ref="O74" si="37">SUM(O75:O79)</f>
        <v>0</v>
      </c>
      <c r="P74" s="1025"/>
      <c r="Q74" s="1025"/>
      <c r="R74" s="1025"/>
      <c r="S74" s="1025">
        <f t="shared" si="15"/>
        <v>0</v>
      </c>
      <c r="T74" s="1025"/>
      <c r="U74" s="1025"/>
      <c r="V74" s="1025"/>
    </row>
    <row r="75" spans="1:24" s="1080" customFormat="1" ht="25.5">
      <c r="A75" s="1055"/>
      <c r="B75" s="1055"/>
      <c r="C75" s="1851" t="s">
        <v>384</v>
      </c>
      <c r="D75" s="1096" t="s">
        <v>211</v>
      </c>
      <c r="E75" s="1096">
        <v>83990</v>
      </c>
      <c r="F75" s="1096" t="s">
        <v>386</v>
      </c>
      <c r="G75" s="1096">
        <v>11</v>
      </c>
      <c r="H75" s="1116">
        <v>5644889.5999999996</v>
      </c>
      <c r="I75" s="1117">
        <f>(62093785.9-865849.899999999)/5</f>
        <v>12245587.199999999</v>
      </c>
      <c r="J75" s="1118">
        <f t="shared" ref="J75:J79" si="38">+SUM(I75)</f>
        <v>12245587.199999999</v>
      </c>
      <c r="K75" s="1118"/>
      <c r="L75" s="1118">
        <f>+K75</f>
        <v>0</v>
      </c>
      <c r="M75" s="1118"/>
      <c r="N75" s="1118">
        <f>+J75+K75+M75</f>
        <v>12245587.199999999</v>
      </c>
      <c r="O75" s="1119"/>
      <c r="P75" s="1083">
        <v>12245587.199999999</v>
      </c>
      <c r="Q75" s="1083">
        <v>12245587.199999999</v>
      </c>
      <c r="R75" s="1083">
        <v>12245587.199999999</v>
      </c>
      <c r="S75" s="1083">
        <f t="shared" si="15"/>
        <v>0</v>
      </c>
      <c r="T75" s="1083"/>
      <c r="U75" s="1083"/>
      <c r="V75" s="1083"/>
      <c r="W75" s="1080" t="s">
        <v>210</v>
      </c>
      <c r="X75" s="1080" t="s">
        <v>1309</v>
      </c>
    </row>
    <row r="76" spans="1:24" s="1080" customFormat="1" ht="15">
      <c r="A76" s="1055"/>
      <c r="B76" s="1055"/>
      <c r="C76" s="1852" t="s">
        <v>810</v>
      </c>
      <c r="D76" s="1096" t="s">
        <v>211</v>
      </c>
      <c r="E76" s="1096">
        <v>83990</v>
      </c>
      <c r="F76" s="1096" t="s">
        <v>386</v>
      </c>
      <c r="G76" s="1096">
        <v>10</v>
      </c>
      <c r="H76" s="1116">
        <v>4618400</v>
      </c>
      <c r="I76" s="1117">
        <f>46184000/5</f>
        <v>9236800</v>
      </c>
      <c r="J76" s="1118">
        <f t="shared" si="38"/>
        <v>9236800</v>
      </c>
      <c r="K76" s="1118"/>
      <c r="L76" s="1118">
        <f t="shared" ref="L76:L79" si="39">+K76</f>
        <v>0</v>
      </c>
      <c r="M76" s="1118"/>
      <c r="N76" s="1118">
        <f t="shared" ref="N76:N79" si="40">+J76+K76+M76</f>
        <v>9236800</v>
      </c>
      <c r="O76" s="1119"/>
      <c r="P76" s="1083">
        <v>9236800</v>
      </c>
      <c r="Q76" s="1083">
        <v>9236800</v>
      </c>
      <c r="R76" s="1083">
        <v>9236800</v>
      </c>
      <c r="S76" s="1083">
        <f t="shared" si="15"/>
        <v>0</v>
      </c>
      <c r="T76" s="1083"/>
      <c r="U76" s="1083"/>
      <c r="V76" s="1083"/>
      <c r="W76" s="1080" t="s">
        <v>210</v>
      </c>
      <c r="X76" s="1080" t="s">
        <v>1309</v>
      </c>
    </row>
    <row r="77" spans="1:24" s="1080" customFormat="1" ht="15.75" customHeight="1">
      <c r="A77" s="1055"/>
      <c r="B77" s="1055"/>
      <c r="C77" s="1851" t="s">
        <v>811</v>
      </c>
      <c r="D77" s="1096" t="s">
        <v>211</v>
      </c>
      <c r="E77" s="1096">
        <v>83990</v>
      </c>
      <c r="F77" s="1096" t="s">
        <v>386</v>
      </c>
      <c r="G77" s="1096">
        <v>10</v>
      </c>
      <c r="H77" s="1116">
        <v>4618400</v>
      </c>
      <c r="I77" s="1117">
        <f>46184000/5</f>
        <v>9236800</v>
      </c>
      <c r="J77" s="1118">
        <f t="shared" si="38"/>
        <v>9236800</v>
      </c>
      <c r="K77" s="1118"/>
      <c r="L77" s="1118">
        <f t="shared" si="39"/>
        <v>0</v>
      </c>
      <c r="M77" s="1118"/>
      <c r="N77" s="1118">
        <f t="shared" si="40"/>
        <v>9236800</v>
      </c>
      <c r="O77" s="1119"/>
      <c r="P77" s="1083">
        <v>9236800</v>
      </c>
      <c r="Q77" s="1083">
        <v>9236800</v>
      </c>
      <c r="R77" s="1083">
        <v>9236800</v>
      </c>
      <c r="S77" s="1083">
        <f t="shared" si="15"/>
        <v>0</v>
      </c>
      <c r="T77" s="1083"/>
      <c r="U77" s="1083"/>
      <c r="V77" s="1083"/>
      <c r="W77" s="1080" t="s">
        <v>210</v>
      </c>
      <c r="X77" s="1080" t="s">
        <v>1309</v>
      </c>
    </row>
    <row r="78" spans="1:24" s="1080" customFormat="1" ht="25.5">
      <c r="A78" s="1055"/>
      <c r="B78" s="1055"/>
      <c r="C78" s="1851" t="s">
        <v>385</v>
      </c>
      <c r="D78" s="1096" t="s">
        <v>395</v>
      </c>
      <c r="E78" s="1096">
        <v>83991</v>
      </c>
      <c r="F78" s="1096" t="s">
        <v>386</v>
      </c>
      <c r="G78" s="1096">
        <v>10</v>
      </c>
      <c r="H78" s="1116">
        <v>5220800</v>
      </c>
      <c r="I78" s="1117">
        <f>52208000/5</f>
        <v>10441600</v>
      </c>
      <c r="J78" s="1118">
        <f t="shared" si="38"/>
        <v>10441600</v>
      </c>
      <c r="K78" s="1118"/>
      <c r="L78" s="1118">
        <f t="shared" si="39"/>
        <v>0</v>
      </c>
      <c r="M78" s="1118"/>
      <c r="N78" s="1118">
        <f t="shared" si="40"/>
        <v>10441600</v>
      </c>
      <c r="O78" s="1119"/>
      <c r="P78" s="1083">
        <v>10441600</v>
      </c>
      <c r="Q78" s="1083">
        <v>10441600</v>
      </c>
      <c r="R78" s="1083">
        <v>10441600</v>
      </c>
      <c r="S78" s="1083">
        <f t="shared" si="15"/>
        <v>0</v>
      </c>
      <c r="T78" s="1083"/>
      <c r="U78" s="1083"/>
      <c r="V78" s="1083"/>
      <c r="W78" s="1080" t="s">
        <v>210</v>
      </c>
      <c r="X78" s="1080" t="s">
        <v>1309</v>
      </c>
    </row>
    <row r="79" spans="1:24" s="1080" customFormat="1" ht="15.75" thickBot="1">
      <c r="A79" s="1055"/>
      <c r="B79" s="1055"/>
      <c r="C79" s="1859" t="s">
        <v>389</v>
      </c>
      <c r="D79" s="1316" t="s">
        <v>782</v>
      </c>
      <c r="E79" s="1316">
        <v>83992</v>
      </c>
      <c r="F79" s="1316" t="s">
        <v>386</v>
      </c>
      <c r="G79" s="1316">
        <v>11</v>
      </c>
      <c r="H79" s="1787">
        <v>4769000</v>
      </c>
      <c r="I79" s="1383">
        <f>(52459000-8503880)/5</f>
        <v>8791024</v>
      </c>
      <c r="J79" s="1788">
        <f t="shared" si="38"/>
        <v>8791024</v>
      </c>
      <c r="K79" s="1788"/>
      <c r="L79" s="1788">
        <f t="shared" si="39"/>
        <v>0</v>
      </c>
      <c r="M79" s="1788"/>
      <c r="N79" s="1788">
        <f t="shared" si="40"/>
        <v>8791024</v>
      </c>
      <c r="O79" s="1789"/>
      <c r="P79" s="1083">
        <v>8791024</v>
      </c>
      <c r="Q79" s="1083">
        <v>8791024</v>
      </c>
      <c r="R79" s="1083">
        <v>8791024</v>
      </c>
      <c r="S79" s="1083">
        <f t="shared" si="15"/>
        <v>0</v>
      </c>
      <c r="T79" s="1083"/>
      <c r="U79" s="1083"/>
      <c r="V79" s="1083"/>
      <c r="W79" s="1080" t="s">
        <v>210</v>
      </c>
      <c r="X79" s="1080" t="s">
        <v>1309</v>
      </c>
    </row>
    <row r="80" spans="1:24" ht="18" customHeight="1" thickBot="1">
      <c r="A80" s="1055"/>
      <c r="B80" s="1055"/>
      <c r="C80" s="2238" t="s">
        <v>10</v>
      </c>
      <c r="D80" s="2239"/>
      <c r="E80" s="2239"/>
      <c r="F80" s="2239"/>
      <c r="G80" s="2239"/>
      <c r="H80" s="2239"/>
      <c r="I80" s="626">
        <f t="shared" ref="I80:O80" si="41">+I9+I73</f>
        <v>492477105.14513397</v>
      </c>
      <c r="J80" s="626">
        <f t="shared" si="41"/>
        <v>492477105.14513397</v>
      </c>
      <c r="K80" s="626">
        <f t="shared" si="41"/>
        <v>90000000</v>
      </c>
      <c r="L80" s="626">
        <f t="shared" si="41"/>
        <v>90000000</v>
      </c>
      <c r="M80" s="626">
        <f t="shared" si="41"/>
        <v>650438916.22000003</v>
      </c>
      <c r="N80" s="626">
        <f t="shared" si="41"/>
        <v>1232916021.365134</v>
      </c>
      <c r="O80" s="626">
        <f t="shared" si="41"/>
        <v>45000000</v>
      </c>
      <c r="P80" s="1025"/>
      <c r="Q80" s="1025"/>
      <c r="R80" s="1025"/>
      <c r="S80" s="1025"/>
      <c r="T80" s="1025"/>
      <c r="U80" s="1025"/>
      <c r="V80" s="1025"/>
    </row>
    <row r="81" spans="7:22">
      <c r="G81" s="150"/>
      <c r="H81" s="150"/>
      <c r="I81" s="150"/>
      <c r="J81" s="151"/>
      <c r="K81" s="151"/>
      <c r="L81" s="151"/>
      <c r="P81" s="1061">
        <f>+N9/N80</f>
        <v>0.95948482270131308</v>
      </c>
      <c r="Q81" s="1025"/>
      <c r="R81" s="1025"/>
      <c r="S81" s="1027">
        <f>SUM(S10:S79)</f>
        <v>308969196.62</v>
      </c>
      <c r="T81" s="1027">
        <f>SUM(T10:T79)</f>
        <v>211264161.40000001</v>
      </c>
      <c r="U81" s="1027">
        <f>SUM(U10:U79)</f>
        <v>90000000</v>
      </c>
      <c r="V81" s="1027">
        <f>SUM(V10:V79)</f>
        <v>7705035</v>
      </c>
    </row>
    <row r="82" spans="7:22" ht="12.75" customHeight="1" thickBot="1">
      <c r="G82" s="150"/>
      <c r="H82" s="150"/>
      <c r="I82" s="150"/>
      <c r="J82" s="627"/>
      <c r="K82" s="627"/>
      <c r="L82" s="627"/>
      <c r="P82" s="1061">
        <f>+N73/N80</f>
        <v>4.0515177298686859E-2</v>
      </c>
    </row>
    <row r="83" spans="7:22" ht="18" customHeight="1" thickBot="1">
      <c r="G83" s="150"/>
      <c r="H83" s="150"/>
      <c r="I83" s="1018">
        <v>492477104.54513365</v>
      </c>
      <c r="J83" s="1018">
        <v>492477104.54513365</v>
      </c>
      <c r="K83" s="1018">
        <v>90000000</v>
      </c>
      <c r="L83" s="1018">
        <v>90000000</v>
      </c>
      <c r="M83" s="1018">
        <v>650438916.22000003</v>
      </c>
      <c r="N83" s="1018">
        <v>1232916020.7651336</v>
      </c>
      <c r="O83" s="1018">
        <v>45000000</v>
      </c>
    </row>
    <row r="84" spans="7:22">
      <c r="I84" s="150"/>
    </row>
    <row r="85" spans="7:22">
      <c r="I85" s="484">
        <f>+I83-I80</f>
        <v>-0.60000032186508179</v>
      </c>
      <c r="J85" s="484">
        <f>+J83-J80</f>
        <v>-0.60000032186508179</v>
      </c>
      <c r="K85" s="484">
        <f>+K83-K80</f>
        <v>0</v>
      </c>
      <c r="L85" s="484"/>
      <c r="M85" s="484">
        <f>+M83-M80</f>
        <v>0</v>
      </c>
      <c r="N85" s="484">
        <f>+N83-N80</f>
        <v>-0.60000038146972656</v>
      </c>
      <c r="O85" s="484"/>
    </row>
    <row r="86" spans="7:22">
      <c r="I86" s="150"/>
      <c r="K86" s="400"/>
      <c r="L86" s="400"/>
      <c r="M86" s="400"/>
      <c r="N86" s="628">
        <f>+J80+K80</f>
        <v>582477105.14513397</v>
      </c>
      <c r="O86" s="628" t="s">
        <v>974</v>
      </c>
      <c r="S86" s="1025"/>
    </row>
    <row r="87" spans="7:22">
      <c r="I87" s="150"/>
    </row>
    <row r="88" spans="7:22">
      <c r="G88" s="150"/>
      <c r="I88" s="1036"/>
      <c r="J88" s="484"/>
      <c r="K88" s="484"/>
      <c r="L88" s="484"/>
      <c r="M88" s="484"/>
      <c r="N88" s="484"/>
      <c r="O88" s="484"/>
    </row>
    <row r="89" spans="7:22">
      <c r="G89" s="150"/>
      <c r="I89" s="1025">
        <f t="shared" ref="I89:N89" si="42">+I11+I12+I13+I14+I15+I16+I18+I20+I21+I22+I23+I24+I28+I29+I30+I33+I34+I35+I36+I37+I39+I40+I41+I42+I43+I44+I75+I76+I77+I78+I79</f>
        <v>372950582.99999994</v>
      </c>
      <c r="J89" s="1025">
        <f t="shared" si="42"/>
        <v>372950582.99999994</v>
      </c>
      <c r="K89" s="1025">
        <f t="shared" si="42"/>
        <v>0</v>
      </c>
      <c r="L89" s="1025">
        <f t="shared" si="42"/>
        <v>0</v>
      </c>
      <c r="M89" s="1025">
        <f t="shared" si="42"/>
        <v>0</v>
      </c>
      <c r="N89" s="1083">
        <f t="shared" si="42"/>
        <v>372950582.99999994</v>
      </c>
      <c r="P89" s="150" t="s">
        <v>1384</v>
      </c>
    </row>
    <row r="90" spans="7:22">
      <c r="G90" s="150"/>
    </row>
  </sheetData>
  <mergeCells count="39">
    <mergeCell ref="C80:H80"/>
    <mergeCell ref="C48:C65"/>
    <mergeCell ref="D48:D49"/>
    <mergeCell ref="D50:D53"/>
    <mergeCell ref="D54:D58"/>
    <mergeCell ref="D61:D64"/>
    <mergeCell ref="C70:C71"/>
    <mergeCell ref="C1:C3"/>
    <mergeCell ref="F6:F8"/>
    <mergeCell ref="C6:C8"/>
    <mergeCell ref="K6:K7"/>
    <mergeCell ref="L6:L8"/>
    <mergeCell ref="C4:O4"/>
    <mergeCell ref="C5:O5"/>
    <mergeCell ref="E6:E8"/>
    <mergeCell ref="G6:G8"/>
    <mergeCell ref="N6:N8"/>
    <mergeCell ref="D1:M3"/>
    <mergeCell ref="O6:O8"/>
    <mergeCell ref="N1:O1"/>
    <mergeCell ref="N2:O2"/>
    <mergeCell ref="N3:O3"/>
    <mergeCell ref="A6:A8"/>
    <mergeCell ref="B6:B8"/>
    <mergeCell ref="H6:H8"/>
    <mergeCell ref="D6:D8"/>
    <mergeCell ref="M6:M8"/>
    <mergeCell ref="I7:I8"/>
    <mergeCell ref="J6:J8"/>
    <mergeCell ref="S7:S8"/>
    <mergeCell ref="P47:P72"/>
    <mergeCell ref="Q47:Q72"/>
    <mergeCell ref="R47:R72"/>
    <mergeCell ref="S47:S72"/>
    <mergeCell ref="W7:X7"/>
    <mergeCell ref="T7:U7"/>
    <mergeCell ref="T47:T72"/>
    <mergeCell ref="U47:U72"/>
    <mergeCell ref="V47:V72"/>
  </mergeCells>
  <pageMargins left="0.7" right="0.7" top="0.75" bottom="0.75" header="0.3" footer="0.3"/>
  <pageSetup paperSize="9" orientation="portrait" verticalDpi="597"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AF136"/>
  <sheetViews>
    <sheetView zoomScale="80" zoomScaleNormal="80" workbookViewId="0">
      <pane xSplit="4" ySplit="8" topLeftCell="E9" activePane="bottomRight" state="frozen"/>
      <selection activeCell="F55" sqref="F55"/>
      <selection pane="topRight" activeCell="F55" sqref="F55"/>
      <selection pane="bottomLeft" activeCell="F55" sqref="F55"/>
      <selection pane="bottomRight" activeCell="D15" sqref="D15"/>
    </sheetView>
  </sheetViews>
  <sheetFormatPr baseColWidth="10" defaultColWidth="11.42578125" defaultRowHeight="12.75"/>
  <cols>
    <col min="1" max="1" width="10.5703125" style="150" customWidth="1"/>
    <col min="2" max="2" width="41" style="150" customWidth="1"/>
    <col min="3" max="3" width="13.5703125" style="159" customWidth="1"/>
    <col min="4" max="4" width="11.140625" style="159" customWidth="1"/>
    <col min="5" max="5" width="15.42578125" style="159" bestFit="1" customWidth="1"/>
    <col min="6" max="6" width="13.5703125" style="159" customWidth="1"/>
    <col min="7" max="7" width="12.85546875" style="159" bestFit="1" customWidth="1"/>
    <col min="8" max="8" width="13.85546875" style="159" bestFit="1" customWidth="1"/>
    <col min="9" max="9" width="16.7109375" style="400" customWidth="1"/>
    <col min="10" max="10" width="15.140625" style="400" customWidth="1"/>
    <col min="11" max="11" width="15.85546875" style="150" customWidth="1"/>
    <col min="12" max="12" width="15.5703125" style="150" customWidth="1"/>
    <col min="13" max="15" width="19.5703125" style="150" customWidth="1"/>
    <col min="16" max="16" width="14" style="150" bestFit="1" customWidth="1"/>
    <col min="17" max="17" width="13.85546875" style="150" customWidth="1"/>
    <col min="18" max="18" width="16.85546875" style="150" bestFit="1" customWidth="1"/>
    <col min="19" max="19" width="16.42578125" style="150" bestFit="1" customWidth="1"/>
    <col min="20" max="20" width="21.7109375" style="150" bestFit="1" customWidth="1"/>
    <col min="21" max="23" width="11.42578125" style="150"/>
    <col min="24" max="24" width="14.42578125" style="150" customWidth="1"/>
    <col min="25" max="16384" width="11.42578125" style="150"/>
  </cols>
  <sheetData>
    <row r="1" spans="1:15" ht="15.75" customHeight="1">
      <c r="B1" s="2223"/>
      <c r="C1" s="2236" t="s">
        <v>434</v>
      </c>
      <c r="D1" s="2237"/>
      <c r="E1" s="2237"/>
      <c r="F1" s="2237"/>
      <c r="G1" s="2237"/>
      <c r="H1" s="2237"/>
      <c r="I1" s="2237"/>
      <c r="J1" s="2237"/>
      <c r="K1" s="2237"/>
      <c r="L1" s="2237"/>
      <c r="M1" s="2254"/>
      <c r="N1" s="2248" t="s">
        <v>980</v>
      </c>
      <c r="O1" s="2249"/>
    </row>
    <row r="2" spans="1:15" ht="15" customHeight="1">
      <c r="B2" s="2224"/>
      <c r="C2" s="2236"/>
      <c r="D2" s="2237"/>
      <c r="E2" s="2237"/>
      <c r="F2" s="2237"/>
      <c r="G2" s="2237"/>
      <c r="H2" s="2237"/>
      <c r="I2" s="2237"/>
      <c r="J2" s="2237"/>
      <c r="K2" s="2237"/>
      <c r="L2" s="2237"/>
      <c r="M2" s="2254"/>
      <c r="N2" s="2250" t="s">
        <v>365</v>
      </c>
      <c r="O2" s="2251"/>
    </row>
    <row r="3" spans="1:15" ht="15.75" customHeight="1" thickBot="1">
      <c r="B3" s="2225"/>
      <c r="C3" s="2236"/>
      <c r="D3" s="2237"/>
      <c r="E3" s="2237"/>
      <c r="F3" s="2237"/>
      <c r="G3" s="2237"/>
      <c r="H3" s="2237"/>
      <c r="I3" s="2237"/>
      <c r="J3" s="2237"/>
      <c r="K3" s="2237"/>
      <c r="L3" s="2237"/>
      <c r="M3" s="2254"/>
      <c r="N3" s="2252" t="s">
        <v>366</v>
      </c>
      <c r="O3" s="2253"/>
    </row>
    <row r="4" spans="1:15" ht="15" customHeight="1" thickBot="1">
      <c r="B4" s="2175" t="s">
        <v>177</v>
      </c>
      <c r="C4" s="2176"/>
      <c r="D4" s="2176"/>
      <c r="E4" s="2176"/>
      <c r="F4" s="2176"/>
      <c r="G4" s="2176"/>
      <c r="H4" s="2176"/>
      <c r="I4" s="2176"/>
      <c r="J4" s="2176"/>
      <c r="K4" s="2176"/>
      <c r="L4" s="2176"/>
      <c r="M4" s="2176"/>
      <c r="N4" s="2176"/>
      <c r="O4" s="2230"/>
    </row>
    <row r="5" spans="1:15" ht="19.5" customHeight="1" thickBot="1">
      <c r="B5" s="2175" t="s">
        <v>1391</v>
      </c>
      <c r="C5" s="2176"/>
      <c r="D5" s="2176"/>
      <c r="E5" s="2176"/>
      <c r="F5" s="2176"/>
      <c r="G5" s="2176"/>
      <c r="H5" s="2176"/>
      <c r="I5" s="2176"/>
      <c r="J5" s="2176"/>
      <c r="K5" s="2176"/>
      <c r="L5" s="2176"/>
      <c r="M5" s="2176"/>
      <c r="N5" s="2176"/>
      <c r="O5" s="2230"/>
    </row>
    <row r="6" spans="1:15" ht="23.25" customHeight="1" thickBot="1">
      <c r="A6" s="2159" t="s">
        <v>278</v>
      </c>
      <c r="B6" s="2247" t="s">
        <v>311</v>
      </c>
      <c r="C6" s="2247" t="s">
        <v>313</v>
      </c>
      <c r="D6" s="2247" t="s">
        <v>191</v>
      </c>
      <c r="E6" s="2247" t="s">
        <v>189</v>
      </c>
      <c r="F6" s="2247"/>
      <c r="G6" s="2247"/>
      <c r="H6" s="2247"/>
      <c r="I6" s="2174" t="s">
        <v>965</v>
      </c>
      <c r="J6" s="1359"/>
      <c r="K6" s="2172" t="s">
        <v>995</v>
      </c>
      <c r="L6" s="2174" t="s">
        <v>526</v>
      </c>
      <c r="M6" s="2174" t="s">
        <v>996</v>
      </c>
      <c r="N6" s="2174" t="s">
        <v>1267</v>
      </c>
      <c r="O6" s="2174" t="s">
        <v>1271</v>
      </c>
    </row>
    <row r="7" spans="1:15" ht="23.25" customHeight="1" thickBot="1">
      <c r="A7" s="2159"/>
      <c r="B7" s="2159"/>
      <c r="C7" s="2159"/>
      <c r="D7" s="2159"/>
      <c r="E7" s="2159" t="s">
        <v>192</v>
      </c>
      <c r="F7" s="2159" t="s">
        <v>193</v>
      </c>
      <c r="G7" s="2200" t="s">
        <v>277</v>
      </c>
      <c r="H7" s="2159" t="s">
        <v>208</v>
      </c>
      <c r="I7" s="2245"/>
      <c r="J7" s="2148" t="s">
        <v>192</v>
      </c>
      <c r="K7" s="2172"/>
      <c r="L7" s="2245"/>
      <c r="M7" s="2245"/>
      <c r="N7" s="2245"/>
      <c r="O7" s="2245"/>
    </row>
    <row r="8" spans="1:15" ht="23.25" customHeight="1" thickBot="1">
      <c r="A8" s="2159"/>
      <c r="B8" s="2200"/>
      <c r="C8" s="2200"/>
      <c r="D8" s="2200"/>
      <c r="E8" s="2200"/>
      <c r="F8" s="2200"/>
      <c r="G8" s="2172"/>
      <c r="H8" s="2200"/>
      <c r="I8" s="2173"/>
      <c r="J8" s="2246"/>
      <c r="K8" s="2172"/>
      <c r="L8" s="2173"/>
      <c r="M8" s="2173"/>
      <c r="N8" s="2245"/>
      <c r="O8" s="2245"/>
    </row>
    <row r="9" spans="1:15" ht="33" customHeight="1" thickBot="1">
      <c r="A9" s="487" t="s">
        <v>1447</v>
      </c>
      <c r="B9" s="1809" t="s">
        <v>1427</v>
      </c>
      <c r="C9" s="1753" t="s">
        <v>1098</v>
      </c>
      <c r="D9" s="1753">
        <v>100</v>
      </c>
      <c r="E9" s="1810">
        <f>+'ACCIONES 320201'!J9</f>
        <v>1543407383.1359999</v>
      </c>
      <c r="F9" s="1810">
        <f>+'ACCIONES 320201'!K9</f>
        <v>0</v>
      </c>
      <c r="G9" s="1810">
        <f>+'ACCIONES 320201'!L9</f>
        <v>0</v>
      </c>
      <c r="H9" s="1810">
        <f>+'ACCIONES 320201'!M9</f>
        <v>178013718.94513398</v>
      </c>
      <c r="I9" s="1810">
        <f>+'ACCIONES 320201'!N9</f>
        <v>1721421102.0811338</v>
      </c>
      <c r="J9" s="1810">
        <f>+'ACCIONES 320201'!O9</f>
        <v>116759503</v>
      </c>
      <c r="K9" s="1810">
        <f>+'ACCIONES 320201'!P9</f>
        <v>116759503</v>
      </c>
      <c r="L9" s="1810">
        <f>+'ACCIONES 320201'!Q9</f>
        <v>0</v>
      </c>
      <c r="M9" s="1810">
        <f>+'ACCIONES 320201'!R9</f>
        <v>1838180605.0811338</v>
      </c>
      <c r="N9" s="1810">
        <f>+'ACCIONES 320201'!S9</f>
        <v>0</v>
      </c>
      <c r="O9" s="1811">
        <f>+'ACCIONES 320201'!T9</f>
        <v>143000000</v>
      </c>
    </row>
    <row r="10" spans="1:15" ht="41.25" customHeight="1" thickBot="1">
      <c r="A10" s="884"/>
      <c r="B10" s="1812" t="s">
        <v>998</v>
      </c>
      <c r="C10" s="1813" t="s">
        <v>408</v>
      </c>
      <c r="D10" s="1813">
        <v>10</v>
      </c>
      <c r="E10" s="1814">
        <f>+'ACCIONES 320201'!J10</f>
        <v>1543407383.1359999</v>
      </c>
      <c r="F10" s="1814">
        <f>+'ACCIONES 320201'!K10</f>
        <v>0</v>
      </c>
      <c r="G10" s="1814">
        <f>+'ACCIONES 320201'!L10</f>
        <v>0</v>
      </c>
      <c r="H10" s="1814">
        <f>+'ACCIONES 320201'!M10</f>
        <v>178013718.94513398</v>
      </c>
      <c r="I10" s="1814">
        <f>+'ACCIONES 320201'!N10</f>
        <v>1721421102.0811338</v>
      </c>
      <c r="J10" s="1814">
        <f>+'ACCIONES 320201'!O10</f>
        <v>116759503</v>
      </c>
      <c r="K10" s="1814">
        <f>+'ACCIONES 320201'!P10</f>
        <v>116759503</v>
      </c>
      <c r="L10" s="1814">
        <f>+'ACCIONES 320201'!Q10</f>
        <v>0</v>
      </c>
      <c r="M10" s="1814">
        <f>+'ACCIONES 320201'!R10</f>
        <v>1838180605.0811338</v>
      </c>
      <c r="N10" s="1814">
        <f>+'ACCIONES 320201'!S10</f>
        <v>0</v>
      </c>
      <c r="O10" s="1815">
        <f>+'ACCIONES 320201'!T10</f>
        <v>143000000</v>
      </c>
    </row>
    <row r="11" spans="1:15" ht="42.75" customHeight="1" thickBot="1">
      <c r="A11" s="487" t="s">
        <v>1447</v>
      </c>
      <c r="B11" s="1816" t="s">
        <v>1065</v>
      </c>
      <c r="C11" s="878" t="s">
        <v>1098</v>
      </c>
      <c r="D11" s="878">
        <v>100</v>
      </c>
      <c r="E11" s="1817">
        <f>+'ACCIONES 320201'!J85</f>
        <v>231594818.63999999</v>
      </c>
      <c r="F11" s="1817">
        <f>+'ACCIONES 320201'!K85</f>
        <v>50080000</v>
      </c>
      <c r="G11" s="1817">
        <f>+'ACCIONES 320201'!L85</f>
        <v>56971612.535999991</v>
      </c>
      <c r="H11" s="1817">
        <f>+'ACCIONES 320201'!M85</f>
        <v>8705161</v>
      </c>
      <c r="I11" s="1817">
        <f>+'ACCIONES 320201'!N85</f>
        <v>347351592.176</v>
      </c>
      <c r="J11" s="1817">
        <f>+'ACCIONES 320201'!O85</f>
        <v>0</v>
      </c>
      <c r="K11" s="1817">
        <f>+'ACCIONES 320201'!P85</f>
        <v>0</v>
      </c>
      <c r="L11" s="1817">
        <f>+'ACCIONES 320201'!Q85</f>
        <v>0</v>
      </c>
      <c r="M11" s="1817">
        <f>+'ACCIONES 320201'!R85</f>
        <v>347351592.176</v>
      </c>
      <c r="N11" s="1817">
        <f>+'ACCIONES 320201'!S85</f>
        <v>25000000</v>
      </c>
      <c r="O11" s="1818">
        <f>+'ACCIONES 320201'!T85</f>
        <v>0</v>
      </c>
    </row>
    <row r="12" spans="1:15" ht="25.5">
      <c r="A12"/>
      <c r="B12" s="1801" t="s">
        <v>1075</v>
      </c>
      <c r="C12" s="1819" t="s">
        <v>408</v>
      </c>
      <c r="D12" s="1754">
        <v>21</v>
      </c>
      <c r="E12" s="1803">
        <f>+'ACCIONES 320201'!J86</f>
        <v>79417977.140000001</v>
      </c>
      <c r="F12" s="1803">
        <f>+'ACCIONES 320201'!K86</f>
        <v>30080000</v>
      </c>
      <c r="G12" s="1803">
        <f>+'ACCIONES 320201'!L86</f>
        <v>56971612.535999991</v>
      </c>
      <c r="H12" s="1803">
        <f>+'ACCIONES 320201'!M86</f>
        <v>8705161</v>
      </c>
      <c r="I12" s="1803">
        <f>+'ACCIONES 320201'!N86</f>
        <v>175174750.676</v>
      </c>
      <c r="J12" s="1803">
        <f>+'ACCIONES 320201'!O86</f>
        <v>0</v>
      </c>
      <c r="K12" s="1803">
        <f>+'ACCIONES 320201'!P86</f>
        <v>0</v>
      </c>
      <c r="L12" s="1803">
        <f>+'ACCIONES 320201'!Q86</f>
        <v>0</v>
      </c>
      <c r="M12" s="1803">
        <f>+'ACCIONES 320201'!R86</f>
        <v>175174750.676</v>
      </c>
      <c r="N12" s="1803">
        <f>+'ACCIONES 320201'!S86</f>
        <v>25000000</v>
      </c>
      <c r="O12" s="1804">
        <f>+'ACCIONES 320201'!T86</f>
        <v>0</v>
      </c>
    </row>
    <row r="13" spans="1:15" ht="25.5">
      <c r="A13"/>
      <c r="B13" s="35" t="s">
        <v>1076</v>
      </c>
      <c r="C13" s="379" t="s">
        <v>408</v>
      </c>
      <c r="D13" s="1652">
        <v>27</v>
      </c>
      <c r="E13" s="482">
        <f>+'ACCIONES 320201'!J95</f>
        <v>70615049</v>
      </c>
      <c r="F13" s="482">
        <f>+'ACCIONES 320201'!K95</f>
        <v>0</v>
      </c>
      <c r="G13" s="482">
        <f>+'ACCIONES 320201'!L95</f>
        <v>0</v>
      </c>
      <c r="H13" s="482">
        <f>+'ACCIONES 320201'!M95</f>
        <v>0</v>
      </c>
      <c r="I13" s="482">
        <f>+'ACCIONES 320201'!N95</f>
        <v>70615049</v>
      </c>
      <c r="J13" s="482">
        <f>+'ACCIONES 320201'!O95</f>
        <v>0</v>
      </c>
      <c r="K13" s="482">
        <f>+'ACCIONES 320201'!P95</f>
        <v>0</v>
      </c>
      <c r="L13" s="482">
        <f>+'ACCIONES 320201'!Q95</f>
        <v>0</v>
      </c>
      <c r="M13" s="482">
        <f>+'ACCIONES 320201'!R95</f>
        <v>70615049</v>
      </c>
      <c r="N13" s="482">
        <f>+'ACCIONES 320201'!S95</f>
        <v>0</v>
      </c>
      <c r="O13" s="761">
        <f>+'ACCIONES 320201'!T95</f>
        <v>0</v>
      </c>
    </row>
    <row r="14" spans="1:15" ht="26.25" thickBot="1">
      <c r="A14"/>
      <c r="B14" s="386" t="s">
        <v>1077</v>
      </c>
      <c r="C14" s="382" t="s">
        <v>1100</v>
      </c>
      <c r="D14" s="1773">
        <v>1</v>
      </c>
      <c r="E14" s="1805">
        <f>+'ACCIONES 320201'!J99</f>
        <v>81561792.5</v>
      </c>
      <c r="F14" s="1805">
        <f>+'ACCIONES 320201'!K99</f>
        <v>20000000</v>
      </c>
      <c r="G14" s="1805">
        <f>+'ACCIONES 320201'!L99</f>
        <v>0</v>
      </c>
      <c r="H14" s="1805">
        <f>+'ACCIONES 320201'!M99</f>
        <v>0</v>
      </c>
      <c r="I14" s="1805">
        <f>+'ACCIONES 320201'!N99</f>
        <v>101561792.5</v>
      </c>
      <c r="J14" s="1805">
        <f>+'ACCIONES 320201'!O99</f>
        <v>0</v>
      </c>
      <c r="K14" s="1805">
        <f>+'ACCIONES 320201'!P99</f>
        <v>0</v>
      </c>
      <c r="L14" s="1805">
        <f>+'ACCIONES 320201'!Q99</f>
        <v>0</v>
      </c>
      <c r="M14" s="1805">
        <f>+'ACCIONES 320201'!R99</f>
        <v>101561792.5</v>
      </c>
      <c r="N14" s="1805">
        <f>+'ACCIONES 320201'!S99</f>
        <v>0</v>
      </c>
      <c r="O14" s="1806">
        <f>+'ACCIONES 320201'!T99</f>
        <v>0</v>
      </c>
    </row>
    <row r="15" spans="1:15" ht="42.75" customHeight="1" thickBot="1">
      <c r="A15" s="487" t="s">
        <v>1448</v>
      </c>
      <c r="B15" s="1816" t="s">
        <v>1001</v>
      </c>
      <c r="C15" s="878" t="s">
        <v>1098</v>
      </c>
      <c r="D15" s="878">
        <v>100</v>
      </c>
      <c r="E15" s="1817">
        <f>+'ACCIONES 320201'!J104</f>
        <v>380267111.72000003</v>
      </c>
      <c r="F15" s="1817">
        <f>+'ACCIONES 320201'!K104</f>
        <v>0</v>
      </c>
      <c r="G15" s="1817">
        <f>+'ACCIONES 320201'!L104</f>
        <v>0</v>
      </c>
      <c r="H15" s="1817">
        <f>+'ACCIONES 320201'!M104</f>
        <v>30033600</v>
      </c>
      <c r="I15" s="1817">
        <f>+'ACCIONES 320201'!N104</f>
        <v>410300711.72000003</v>
      </c>
      <c r="J15" s="1817">
        <f>+'ACCIONES 320201'!O104</f>
        <v>0</v>
      </c>
      <c r="K15" s="1817">
        <f>+'ACCIONES 320201'!P104</f>
        <v>0</v>
      </c>
      <c r="L15" s="1817">
        <f>+'ACCIONES 320201'!Q104</f>
        <v>0</v>
      </c>
      <c r="M15" s="1817">
        <f>+'ACCIONES 320201'!R104</f>
        <v>410300711.72000003</v>
      </c>
      <c r="N15" s="1817">
        <f>+'ACCIONES 320201'!S104</f>
        <v>25000000</v>
      </c>
      <c r="O15" s="1818">
        <f>+'ACCIONES 320201'!T104</f>
        <v>0</v>
      </c>
    </row>
    <row r="16" spans="1:15" ht="41.25" customHeight="1">
      <c r="A16"/>
      <c r="B16" s="1801" t="s">
        <v>1002</v>
      </c>
      <c r="C16" s="1802" t="s">
        <v>1098</v>
      </c>
      <c r="D16" s="1802">
        <v>100</v>
      </c>
      <c r="E16" s="1803">
        <f>+'ACCIONES 320201'!J105</f>
        <v>57674778.860000007</v>
      </c>
      <c r="F16" s="1803">
        <f>+'ACCIONES 320201'!K105</f>
        <v>0</v>
      </c>
      <c r="G16" s="1803">
        <f>+'ACCIONES 320201'!L105</f>
        <v>0</v>
      </c>
      <c r="H16" s="1803">
        <f>+'ACCIONES 320201'!M105</f>
        <v>0</v>
      </c>
      <c r="I16" s="1803">
        <f>+'ACCIONES 320201'!N105</f>
        <v>57674778.860000007</v>
      </c>
      <c r="J16" s="1803">
        <f>+'ACCIONES 320201'!O105</f>
        <v>0</v>
      </c>
      <c r="K16" s="1803">
        <f>+'ACCIONES 320201'!P105</f>
        <v>0</v>
      </c>
      <c r="L16" s="1803">
        <f>+'ACCIONES 320201'!Q105</f>
        <v>0</v>
      </c>
      <c r="M16" s="1803">
        <f>+'ACCIONES 320201'!R105</f>
        <v>57674778.860000007</v>
      </c>
      <c r="N16" s="1803">
        <f>+'ACCIONES 320201'!S105</f>
        <v>0</v>
      </c>
      <c r="O16" s="1804">
        <f>+'ACCIONES 320201'!T105</f>
        <v>0</v>
      </c>
    </row>
    <row r="17" spans="1:15" ht="41.25" customHeight="1" thickBot="1">
      <c r="A17"/>
      <c r="B17" s="386" t="s">
        <v>1003</v>
      </c>
      <c r="C17" s="382" t="s">
        <v>1098</v>
      </c>
      <c r="D17" s="382">
        <v>100</v>
      </c>
      <c r="E17" s="1805">
        <f>+'ACCIONES 320201'!J109</f>
        <v>322592332.86000001</v>
      </c>
      <c r="F17" s="1805">
        <f>+'ACCIONES 320201'!K109</f>
        <v>0</v>
      </c>
      <c r="G17" s="1805">
        <f>+'ACCIONES 320201'!L109</f>
        <v>0</v>
      </c>
      <c r="H17" s="1805">
        <f>+'ACCIONES 320201'!M109</f>
        <v>30033600</v>
      </c>
      <c r="I17" s="1805">
        <f>+'ACCIONES 320201'!N109</f>
        <v>352625932.86000001</v>
      </c>
      <c r="J17" s="1805">
        <f>+'ACCIONES 320201'!O109</f>
        <v>0</v>
      </c>
      <c r="K17" s="1805">
        <f>+'ACCIONES 320201'!P109</f>
        <v>0</v>
      </c>
      <c r="L17" s="1805">
        <f>+'ACCIONES 320201'!Q109</f>
        <v>0</v>
      </c>
      <c r="M17" s="1805">
        <f>+'ACCIONES 320201'!R109</f>
        <v>352625932.86000001</v>
      </c>
      <c r="N17" s="1805">
        <f>+'ACCIONES 320201'!S109</f>
        <v>25000000</v>
      </c>
      <c r="O17" s="1806">
        <f>+'ACCIONES 320201'!T109</f>
        <v>0</v>
      </c>
    </row>
    <row r="18" spans="1:15" ht="42.75" customHeight="1" thickBot="1">
      <c r="A18" s="487" t="s">
        <v>1447</v>
      </c>
      <c r="B18" s="1796" t="s">
        <v>999</v>
      </c>
      <c r="C18" s="200" t="s">
        <v>1098</v>
      </c>
      <c r="D18" s="200">
        <v>100</v>
      </c>
      <c r="E18" s="1807">
        <f>+'ACCIONES 320201'!J115</f>
        <v>173658035</v>
      </c>
      <c r="F18" s="1807">
        <f>+'ACCIONES 320201'!K115</f>
        <v>195400000</v>
      </c>
      <c r="G18" s="1807">
        <f>+'ACCIONES 320201'!L115</f>
        <v>0</v>
      </c>
      <c r="H18" s="1807">
        <f>+'ACCIONES 320201'!M115</f>
        <v>86400</v>
      </c>
      <c r="I18" s="1807">
        <f>+'ACCIONES 320201'!N115</f>
        <v>369144435</v>
      </c>
      <c r="J18" s="1807">
        <f>+'ACCIONES 320201'!O115</f>
        <v>130200000</v>
      </c>
      <c r="K18" s="1807">
        <f>+'ACCIONES 320201'!P115</f>
        <v>130200000</v>
      </c>
      <c r="L18" s="1807">
        <f>+'ACCIONES 320201'!Q115</f>
        <v>21600000</v>
      </c>
      <c r="M18" s="1807">
        <f>+'ACCIONES 320201'!R115</f>
        <v>520944435</v>
      </c>
      <c r="N18" s="1807">
        <f>+'ACCIONES 320201'!S115</f>
        <v>0</v>
      </c>
      <c r="O18" s="1808">
        <f>+'ACCIONES 320201'!T115</f>
        <v>202062233</v>
      </c>
    </row>
    <row r="19" spans="1:15" ht="41.25" customHeight="1" thickBot="1">
      <c r="A19"/>
      <c r="B19" s="883" t="s">
        <v>1000</v>
      </c>
      <c r="C19" s="1678" t="s">
        <v>408</v>
      </c>
      <c r="D19" s="1678">
        <v>2</v>
      </c>
      <c r="E19" s="430">
        <f>+'ACCIONES 320201'!J116</f>
        <v>173658035</v>
      </c>
      <c r="F19" s="430">
        <f>+'ACCIONES 320201'!K116</f>
        <v>195400000</v>
      </c>
      <c r="G19" s="430">
        <f>+'ACCIONES 320201'!L116</f>
        <v>0</v>
      </c>
      <c r="H19" s="430">
        <f>+'ACCIONES 320201'!M116</f>
        <v>86400</v>
      </c>
      <c r="I19" s="430">
        <f>+'ACCIONES 320201'!N116</f>
        <v>369144435</v>
      </c>
      <c r="J19" s="430">
        <f>+'ACCIONES 320201'!O116</f>
        <v>130200000</v>
      </c>
      <c r="K19" s="430">
        <f>+'ACCIONES 320201'!P116</f>
        <v>130200000</v>
      </c>
      <c r="L19" s="430">
        <f>+'ACCIONES 320201'!Q116</f>
        <v>21600000</v>
      </c>
      <c r="M19" s="430">
        <f>+'ACCIONES 320201'!R116</f>
        <v>520944435</v>
      </c>
      <c r="N19" s="430">
        <f>+'ACCIONES 320201'!S116</f>
        <v>0</v>
      </c>
      <c r="O19" s="885">
        <f>+'ACCIONES 320201'!T116</f>
        <v>202062233</v>
      </c>
    </row>
    <row r="20" spans="1:15" ht="13.5" thickBot="1">
      <c r="A20" s="285"/>
      <c r="B20" s="2242" t="s">
        <v>10</v>
      </c>
      <c r="C20" s="2243"/>
      <c r="D20" s="2244"/>
      <c r="E20" s="740">
        <f t="shared" ref="E20:M20" si="0">+E9+E11+E15+E18</f>
        <v>2328927348.4960003</v>
      </c>
      <c r="F20" s="740">
        <f t="shared" si="0"/>
        <v>245480000</v>
      </c>
      <c r="G20" s="740">
        <f t="shared" si="0"/>
        <v>56971612.535999991</v>
      </c>
      <c r="H20" s="740">
        <f t="shared" si="0"/>
        <v>216838879.94513398</v>
      </c>
      <c r="I20" s="740">
        <f t="shared" si="0"/>
        <v>2848217840.9771338</v>
      </c>
      <c r="J20" s="740">
        <f t="shared" si="0"/>
        <v>246959503</v>
      </c>
      <c r="K20" s="740">
        <f t="shared" si="0"/>
        <v>246959503</v>
      </c>
      <c r="L20" s="740">
        <f t="shared" si="0"/>
        <v>21600000</v>
      </c>
      <c r="M20" s="740">
        <f t="shared" si="0"/>
        <v>3116777343.9771338</v>
      </c>
      <c r="N20" s="740">
        <f t="shared" ref="N20:O20" si="1">+N9+N11+N15+N18</f>
        <v>50000000</v>
      </c>
      <c r="O20" s="740">
        <f t="shared" si="1"/>
        <v>345062233</v>
      </c>
    </row>
    <row r="21" spans="1:15" ht="13.5" thickBot="1">
      <c r="A21" s="285"/>
      <c r="B21" s="162"/>
      <c r="I21" s="160"/>
      <c r="L21" s="160"/>
      <c r="M21" s="160"/>
      <c r="N21" s="160"/>
      <c r="O21" s="160"/>
    </row>
    <row r="22" spans="1:15" ht="13.5" thickBot="1">
      <c r="B22" s="162"/>
      <c r="E22" s="1017">
        <v>2328927344.9505453</v>
      </c>
      <c r="F22" s="1017">
        <v>245480000</v>
      </c>
      <c r="G22" s="1017">
        <v>56971612.535999991</v>
      </c>
      <c r="H22" s="1017">
        <v>216838879.94513363</v>
      </c>
      <c r="I22" s="1018">
        <v>2848217837.4316788</v>
      </c>
      <c r="J22" s="1018">
        <v>246959503</v>
      </c>
      <c r="K22" s="1018">
        <v>246959503</v>
      </c>
      <c r="L22" s="1018">
        <v>21600000</v>
      </c>
      <c r="M22" s="1018">
        <v>3116777340.4316788</v>
      </c>
      <c r="N22" s="1018">
        <v>50000000</v>
      </c>
      <c r="O22" s="1018">
        <v>345062233</v>
      </c>
    </row>
    <row r="23" spans="1:15">
      <c r="L23" s="151"/>
      <c r="M23" s="151"/>
      <c r="N23" s="151"/>
      <c r="O23" s="151"/>
    </row>
    <row r="24" spans="1:15">
      <c r="E24" s="729">
        <f>+E20-E22</f>
        <v>3.5454549789428711</v>
      </c>
      <c r="F24" s="729">
        <f t="shared" ref="F24:O24" si="2">+F20-F22</f>
        <v>0</v>
      </c>
      <c r="G24" s="729">
        <f t="shared" si="2"/>
        <v>0</v>
      </c>
      <c r="H24" s="729">
        <f t="shared" si="2"/>
        <v>3.5762786865234375E-7</v>
      </c>
      <c r="I24" s="729">
        <f t="shared" si="2"/>
        <v>3.5454549789428711</v>
      </c>
      <c r="J24" s="729">
        <f t="shared" si="2"/>
        <v>0</v>
      </c>
      <c r="K24" s="729">
        <f t="shared" si="2"/>
        <v>0</v>
      </c>
      <c r="L24" s="729">
        <f t="shared" si="2"/>
        <v>0</v>
      </c>
      <c r="M24" s="729">
        <f t="shared" si="2"/>
        <v>3.5454549789428711</v>
      </c>
      <c r="N24" s="729">
        <f t="shared" si="2"/>
        <v>0</v>
      </c>
      <c r="O24" s="729">
        <f t="shared" si="2"/>
        <v>0</v>
      </c>
    </row>
    <row r="25" spans="1:15">
      <c r="B25" s="295"/>
      <c r="H25" s="729"/>
      <c r="L25" s="297"/>
    </row>
    <row r="26" spans="1:15">
      <c r="E26" s="731"/>
    </row>
    <row r="27" spans="1:15">
      <c r="E27" s="729"/>
      <c r="I27" s="730"/>
    </row>
    <row r="34" spans="1:32" s="1084" customFormat="1">
      <c r="C34" s="1433"/>
      <c r="D34" s="1433"/>
      <c r="E34" s="1433"/>
      <c r="F34" s="1433"/>
      <c r="G34" s="1433"/>
      <c r="H34" s="1433"/>
      <c r="I34" s="1447"/>
      <c r="J34" s="1447"/>
    </row>
    <row r="35" spans="1:32" s="1084" customFormat="1">
      <c r="C35" s="1433"/>
      <c r="D35" s="1433"/>
      <c r="E35" s="1433"/>
      <c r="F35" s="1433"/>
      <c r="G35" s="1433"/>
      <c r="H35" s="1433"/>
      <c r="I35" s="1447"/>
      <c r="J35" s="1447"/>
    </row>
    <row r="45" spans="1:32">
      <c r="K45" s="1025">
        <f>+K11+K13+K14+K21+K22+K23+K26+K27+K28+K30+K33</f>
        <v>246959503</v>
      </c>
    </row>
    <row r="47" spans="1:32" s="400" customFormat="1">
      <c r="A47" s="150"/>
      <c r="B47" s="150"/>
      <c r="C47" s="150"/>
      <c r="D47" s="150"/>
      <c r="K47" s="150"/>
      <c r="L47" s="150"/>
      <c r="M47" s="150"/>
      <c r="N47" s="150"/>
      <c r="O47" s="150"/>
      <c r="P47" s="150"/>
      <c r="Q47" s="150"/>
      <c r="R47" s="150"/>
      <c r="S47" s="150"/>
      <c r="T47" s="150"/>
      <c r="U47" s="150"/>
      <c r="V47" s="150"/>
      <c r="W47" s="150"/>
      <c r="X47" s="150"/>
      <c r="Y47" s="150"/>
      <c r="Z47" s="150"/>
      <c r="AA47" s="150"/>
      <c r="AB47" s="150"/>
      <c r="AC47" s="150"/>
      <c r="AD47" s="150"/>
      <c r="AE47" s="150"/>
      <c r="AF47" s="150"/>
    </row>
    <row r="48" spans="1:32" s="400" customFormat="1">
      <c r="A48" s="150"/>
      <c r="B48" s="158"/>
      <c r="C48" s="158"/>
      <c r="D48" s="158"/>
      <c r="E48" s="744"/>
      <c r="F48" s="744"/>
      <c r="G48" s="744"/>
      <c r="H48" s="745"/>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2" s="400" customFormat="1">
      <c r="A49" s="150"/>
      <c r="B49" s="746"/>
      <c r="C49" s="746"/>
      <c r="D49" s="746"/>
      <c r="E49" s="747"/>
      <c r="F49" s="747"/>
      <c r="G49" s="747"/>
      <c r="H49" s="748"/>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135" spans="18:18">
      <c r="R135" s="150">
        <f>+R12+R13+R23+R24+R28+R29+R30+R31+R32+R36+R40+R41+R42+R43+R44+R45+R46+R47+R48+R50+R51+R52+R53+R55+R58+R59+R61+R62+R63+R70+R80+R81+R82+R90+R91+R95+R97+R102+R107+R108+R109+R111+R112+R123+R124+R125</f>
        <v>0</v>
      </c>
    </row>
    <row r="136" spans="18:18">
      <c r="R136" s="150">
        <f>+R135+'ACCIONES 320202'!K47</f>
        <v>2093388006.0947554</v>
      </c>
    </row>
  </sheetData>
  <mergeCells count="24">
    <mergeCell ref="B4:O4"/>
    <mergeCell ref="B1:B3"/>
    <mergeCell ref="N1:O1"/>
    <mergeCell ref="N2:O2"/>
    <mergeCell ref="N3:O3"/>
    <mergeCell ref="C1:M3"/>
    <mergeCell ref="B5:O5"/>
    <mergeCell ref="A6:A8"/>
    <mergeCell ref="B6:B8"/>
    <mergeCell ref="C6:C8"/>
    <mergeCell ref="D6:D8"/>
    <mergeCell ref="E6:H6"/>
    <mergeCell ref="E7:E8"/>
    <mergeCell ref="F7:F8"/>
    <mergeCell ref="G7:G8"/>
    <mergeCell ref="H7:H8"/>
    <mergeCell ref="N6:N8"/>
    <mergeCell ref="O6:O8"/>
    <mergeCell ref="B20:D20"/>
    <mergeCell ref="I6:I8"/>
    <mergeCell ref="K6:K8"/>
    <mergeCell ref="L6:L8"/>
    <mergeCell ref="M6:M8"/>
    <mergeCell ref="J7:J8"/>
  </mergeCells>
  <pageMargins left="0.7" right="0.7" top="0.75" bottom="0.75" header="0.3" footer="0.3"/>
  <pageSetup orientation="portrait" verticalDpi="597"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AF135"/>
  <sheetViews>
    <sheetView zoomScale="68" zoomScaleNormal="68" workbookViewId="0">
      <pane xSplit="9" ySplit="8" topLeftCell="Q81" activePane="bottomRight" state="frozen"/>
      <selection activeCell="F55" sqref="F55"/>
      <selection pane="topRight" activeCell="F55" sqref="F55"/>
      <selection pane="bottomLeft" activeCell="F55" sqref="F55"/>
      <selection pane="bottomRight" activeCell="R122" activeCellId="18" sqref="R12:R13 R16:R17 R20:R21 R24:R25 R29:R33 R35:R37 R41:R49 R51:R54 R56 R59:R60 R62:R64 R71 R91:R92 R96 R98 R103 R106:R108 R110:R111 R122:R124"/>
    </sheetView>
  </sheetViews>
  <sheetFormatPr baseColWidth="10" defaultColWidth="11.42578125" defaultRowHeight="12.75"/>
  <cols>
    <col min="1" max="1" width="9.85546875" style="150" customWidth="1"/>
    <col min="2" max="2" width="10.85546875" style="150" customWidth="1"/>
    <col min="3" max="3" width="41" style="150" customWidth="1"/>
    <col min="4" max="4" width="22" style="150" customWidth="1"/>
    <col min="5" max="5" width="18.140625" style="150" customWidth="1"/>
    <col min="6" max="6" width="10.140625" style="159" customWidth="1"/>
    <col min="7" max="7" width="6" style="159" customWidth="1"/>
    <col min="8" max="8" width="10" style="159" customWidth="1"/>
    <col min="9" max="9" width="22" style="159" customWidth="1"/>
    <col min="10" max="10" width="17.85546875" style="159" customWidth="1"/>
    <col min="11" max="11" width="13.5703125" style="159" customWidth="1"/>
    <col min="12" max="12" width="13.85546875" style="159" customWidth="1"/>
    <col min="13" max="13" width="15.85546875" style="159" customWidth="1"/>
    <col min="14" max="14" width="16.7109375" style="400" customWidth="1"/>
    <col min="15" max="15" width="17" style="400" customWidth="1"/>
    <col min="16" max="16" width="17" style="150" customWidth="1"/>
    <col min="17" max="17" width="15.5703125" style="150" customWidth="1"/>
    <col min="18" max="18" width="19.5703125" style="150" customWidth="1"/>
    <col min="19" max="20" width="19.28515625" style="150" bestFit="1" customWidth="1"/>
    <col min="21" max="21" width="14.28515625" style="150" bestFit="1" customWidth="1"/>
    <col min="22" max="22" width="13.85546875" style="150" customWidth="1"/>
    <col min="23" max="23" width="16.85546875" style="150" bestFit="1" customWidth="1"/>
    <col min="24" max="24" width="16.42578125" style="150" bestFit="1" customWidth="1"/>
    <col min="25" max="25" width="21.7109375" style="150" bestFit="1" customWidth="1"/>
    <col min="26" max="28" width="11.42578125" style="150"/>
    <col min="29" max="29" width="14.85546875" style="150" customWidth="1"/>
    <col min="30" max="30" width="11.42578125" style="150"/>
    <col min="31" max="31" width="21.28515625" style="150" bestFit="1" customWidth="1"/>
    <col min="32" max="16384" width="11.42578125" style="150"/>
  </cols>
  <sheetData>
    <row r="1" spans="1:32" ht="15.75" customHeight="1" thickBot="1">
      <c r="A1" s="728"/>
      <c r="C1" s="2223"/>
      <c r="D1" s="2236" t="s">
        <v>434</v>
      </c>
      <c r="E1" s="2237"/>
      <c r="F1" s="2237"/>
      <c r="G1" s="2237"/>
      <c r="H1" s="2237"/>
      <c r="I1" s="2237"/>
      <c r="J1" s="2237"/>
      <c r="K1" s="2237"/>
      <c r="L1" s="2237"/>
      <c r="M1" s="2237"/>
      <c r="N1" s="2237"/>
      <c r="O1" s="2237"/>
      <c r="P1" s="2237"/>
      <c r="Q1" s="2237"/>
      <c r="R1" s="2254"/>
      <c r="S1" s="2248" t="s">
        <v>980</v>
      </c>
      <c r="T1" s="2249"/>
    </row>
    <row r="2" spans="1:32" ht="15" customHeight="1">
      <c r="C2" s="2224"/>
      <c r="D2" s="2236"/>
      <c r="E2" s="2237"/>
      <c r="F2" s="2237"/>
      <c r="G2" s="2237"/>
      <c r="H2" s="2237"/>
      <c r="I2" s="2237"/>
      <c r="J2" s="2237"/>
      <c r="K2" s="2237"/>
      <c r="L2" s="2237"/>
      <c r="M2" s="2237"/>
      <c r="N2" s="2237"/>
      <c r="O2" s="2237"/>
      <c r="P2" s="2237"/>
      <c r="Q2" s="2237"/>
      <c r="R2" s="2254"/>
      <c r="S2" s="2250" t="s">
        <v>365</v>
      </c>
      <c r="T2" s="2251"/>
    </row>
    <row r="3" spans="1:32" ht="15.75" customHeight="1" thickBot="1">
      <c r="C3" s="2225"/>
      <c r="D3" s="2206"/>
      <c r="E3" s="2207"/>
      <c r="F3" s="2207"/>
      <c r="G3" s="2207"/>
      <c r="H3" s="2207"/>
      <c r="I3" s="2207"/>
      <c r="J3" s="2207"/>
      <c r="K3" s="2207"/>
      <c r="L3" s="2207"/>
      <c r="M3" s="2207"/>
      <c r="N3" s="2207"/>
      <c r="O3" s="2207"/>
      <c r="P3" s="2207"/>
      <c r="Q3" s="2207"/>
      <c r="R3" s="2208"/>
      <c r="S3" s="2252" t="s">
        <v>366</v>
      </c>
      <c r="T3" s="2253"/>
    </row>
    <row r="4" spans="1:32" ht="15" customHeight="1" thickBot="1">
      <c r="C4" s="2175" t="s">
        <v>177</v>
      </c>
      <c r="D4" s="2176"/>
      <c r="E4" s="2176"/>
      <c r="F4" s="2176"/>
      <c r="G4" s="2176"/>
      <c r="H4" s="2176"/>
      <c r="I4" s="2176"/>
      <c r="J4" s="2176"/>
      <c r="K4" s="2176"/>
      <c r="L4" s="2176"/>
      <c r="M4" s="2176"/>
      <c r="N4" s="2176"/>
      <c r="O4" s="2176"/>
      <c r="P4" s="2176"/>
      <c r="Q4" s="2176"/>
      <c r="R4" s="2176"/>
      <c r="S4" s="2176"/>
      <c r="T4" s="2230"/>
    </row>
    <row r="5" spans="1:32" ht="19.5" customHeight="1" thickBot="1">
      <c r="C5" s="2175" t="s">
        <v>1391</v>
      </c>
      <c r="D5" s="2176"/>
      <c r="E5" s="2176"/>
      <c r="F5" s="2176"/>
      <c r="G5" s="2176"/>
      <c r="H5" s="2176"/>
      <c r="I5" s="2176"/>
      <c r="J5" s="2176"/>
      <c r="K5" s="2176"/>
      <c r="L5" s="2176"/>
      <c r="M5" s="2176"/>
      <c r="N5" s="2176"/>
      <c r="O5" s="2176"/>
      <c r="P5" s="2176"/>
      <c r="Q5" s="2176"/>
      <c r="R5" s="2176"/>
      <c r="S5" s="2176"/>
      <c r="T5" s="2230"/>
    </row>
    <row r="6" spans="1:32" ht="33.75" customHeight="1" thickBot="1">
      <c r="A6" s="2211" t="s">
        <v>368</v>
      </c>
      <c r="B6" s="2213" t="s">
        <v>369</v>
      </c>
      <c r="C6" s="2247" t="s">
        <v>311</v>
      </c>
      <c r="D6" s="2247" t="s">
        <v>312</v>
      </c>
      <c r="E6" s="2247" t="s">
        <v>350</v>
      </c>
      <c r="F6" s="2247" t="s">
        <v>313</v>
      </c>
      <c r="G6" s="2247" t="s">
        <v>191</v>
      </c>
      <c r="H6" s="2172" t="s">
        <v>387</v>
      </c>
      <c r="I6" s="780"/>
      <c r="J6" s="2247" t="s">
        <v>189</v>
      </c>
      <c r="K6" s="2247"/>
      <c r="L6" s="2247"/>
      <c r="M6" s="2247"/>
      <c r="N6" s="2174" t="s">
        <v>965</v>
      </c>
      <c r="O6" s="1359" t="s">
        <v>530</v>
      </c>
      <c r="P6" s="2172" t="s">
        <v>995</v>
      </c>
      <c r="Q6" s="2174" t="s">
        <v>526</v>
      </c>
      <c r="R6" s="2174" t="s">
        <v>996</v>
      </c>
      <c r="S6" s="2174" t="s">
        <v>1267</v>
      </c>
      <c r="T6" s="2174" t="s">
        <v>1271</v>
      </c>
      <c r="Y6" s="2255" t="s">
        <v>1279</v>
      </c>
      <c r="Z6" s="2255"/>
      <c r="AA6" s="2255"/>
      <c r="AB6" s="2255"/>
      <c r="AC6" s="2255"/>
      <c r="AD6" s="2255"/>
    </row>
    <row r="7" spans="1:32" ht="25.5" customHeight="1" thickBot="1">
      <c r="A7" s="2211"/>
      <c r="B7" s="2213"/>
      <c r="C7" s="2159"/>
      <c r="D7" s="2159"/>
      <c r="E7" s="2159"/>
      <c r="F7" s="2159"/>
      <c r="G7" s="2159"/>
      <c r="H7" s="2172"/>
      <c r="I7" s="780"/>
      <c r="J7" s="2159" t="s">
        <v>192</v>
      </c>
      <c r="K7" s="2159" t="s">
        <v>193</v>
      </c>
      <c r="L7" s="2200" t="s">
        <v>277</v>
      </c>
      <c r="M7" s="2159" t="s">
        <v>208</v>
      </c>
      <c r="N7" s="2245"/>
      <c r="O7" s="2148" t="s">
        <v>192</v>
      </c>
      <c r="P7" s="2172"/>
      <c r="Q7" s="2245"/>
      <c r="R7" s="2245"/>
      <c r="S7" s="2245"/>
      <c r="T7" s="2245"/>
      <c r="U7" s="745" t="s">
        <v>1280</v>
      </c>
      <c r="V7" s="1024" t="s">
        <v>1276</v>
      </c>
      <c r="W7" s="1024" t="s">
        <v>1277</v>
      </c>
      <c r="X7" s="1024" t="s">
        <v>1278</v>
      </c>
      <c r="Y7" s="2255" t="s">
        <v>1283</v>
      </c>
      <c r="Z7" s="2255"/>
      <c r="AA7" s="2255"/>
      <c r="AB7" s="2255"/>
      <c r="AC7" s="745" t="s">
        <v>1284</v>
      </c>
      <c r="AD7" s="2256" t="s">
        <v>526</v>
      </c>
      <c r="AE7" s="2255" t="s">
        <v>1302</v>
      </c>
      <c r="AF7" s="2255"/>
    </row>
    <row r="8" spans="1:32" ht="15" customHeight="1" thickBot="1">
      <c r="A8" s="2211"/>
      <c r="B8" s="2213"/>
      <c r="C8" s="2200"/>
      <c r="D8" s="2200"/>
      <c r="E8" s="2200"/>
      <c r="F8" s="2200"/>
      <c r="G8" s="2200"/>
      <c r="H8" s="2172"/>
      <c r="I8" s="780"/>
      <c r="J8" s="2200"/>
      <c r="K8" s="2200"/>
      <c r="L8" s="2172"/>
      <c r="M8" s="2200"/>
      <c r="N8" s="2173"/>
      <c r="O8" s="2246"/>
      <c r="P8" s="2172"/>
      <c r="Q8" s="2173"/>
      <c r="R8" s="2173"/>
      <c r="S8" s="2173"/>
      <c r="T8" s="2173"/>
      <c r="U8" s="295"/>
      <c r="V8" s="295"/>
      <c r="W8" s="295"/>
      <c r="X8" s="295"/>
      <c r="Y8" s="745" t="s">
        <v>192</v>
      </c>
      <c r="Z8" s="745" t="s">
        <v>193</v>
      </c>
      <c r="AA8" s="745" t="s">
        <v>277</v>
      </c>
      <c r="AB8" s="745" t="s">
        <v>208</v>
      </c>
      <c r="AC8" s="745" t="s">
        <v>192</v>
      </c>
      <c r="AD8" s="2256"/>
      <c r="AE8" s="1606" t="s">
        <v>1288</v>
      </c>
      <c r="AF8" s="1606" t="s">
        <v>1289</v>
      </c>
    </row>
    <row r="9" spans="1:32" ht="26.25" thickBot="1">
      <c r="A9" s="152">
        <v>204</v>
      </c>
      <c r="B9" s="487"/>
      <c r="C9" s="201" t="s">
        <v>1427</v>
      </c>
      <c r="D9" s="198"/>
      <c r="E9" s="198"/>
      <c r="F9" s="169" t="s">
        <v>1098</v>
      </c>
      <c r="G9" s="170">
        <v>100</v>
      </c>
      <c r="H9" s="170"/>
      <c r="I9" s="170"/>
      <c r="J9" s="743">
        <f t="shared" ref="J9:Q9" si="0">+J10</f>
        <v>1543407383.1359999</v>
      </c>
      <c r="K9" s="743">
        <f t="shared" si="0"/>
        <v>0</v>
      </c>
      <c r="L9" s="743">
        <f t="shared" si="0"/>
        <v>0</v>
      </c>
      <c r="M9" s="743">
        <f t="shared" si="0"/>
        <v>178013718.94513398</v>
      </c>
      <c r="N9" s="743">
        <f t="shared" si="0"/>
        <v>1721421102.0811338</v>
      </c>
      <c r="O9" s="743">
        <f t="shared" si="0"/>
        <v>116759503</v>
      </c>
      <c r="P9" s="743">
        <f t="shared" si="0"/>
        <v>116759503</v>
      </c>
      <c r="Q9" s="743">
        <f t="shared" si="0"/>
        <v>0</v>
      </c>
      <c r="R9" s="743">
        <f>+R10</f>
        <v>1838180605.0811338</v>
      </c>
      <c r="S9" s="743">
        <f>+S10</f>
        <v>0</v>
      </c>
      <c r="T9" s="739">
        <f>+T10</f>
        <v>143000000</v>
      </c>
      <c r="U9" s="1025"/>
      <c r="V9" s="1025"/>
      <c r="W9" s="1025"/>
      <c r="X9" s="1025"/>
      <c r="Y9" s="1025"/>
      <c r="Z9" s="1025"/>
      <c r="AA9" s="1025"/>
      <c r="AB9" s="1025"/>
      <c r="AC9" s="1025"/>
      <c r="AD9" s="1025"/>
    </row>
    <row r="10" spans="1:32" ht="41.25" customHeight="1">
      <c r="A10" s="152"/>
      <c r="B10" s="487" t="s">
        <v>1468</v>
      </c>
      <c r="C10" s="1824" t="s">
        <v>998</v>
      </c>
      <c r="D10" s="197"/>
      <c r="E10" s="197"/>
      <c r="F10" s="197" t="s">
        <v>408</v>
      </c>
      <c r="G10" s="197">
        <v>10</v>
      </c>
      <c r="H10" s="197"/>
      <c r="I10" s="197"/>
      <c r="J10" s="1825">
        <f t="shared" ref="J10:R10" si="1">SUM(J11:J84)</f>
        <v>1543407383.1359999</v>
      </c>
      <c r="K10" s="1825">
        <f t="shared" si="1"/>
        <v>0</v>
      </c>
      <c r="L10" s="1825">
        <f t="shared" si="1"/>
        <v>0</v>
      </c>
      <c r="M10" s="1825">
        <f t="shared" si="1"/>
        <v>178013718.94513398</v>
      </c>
      <c r="N10" s="1825">
        <f t="shared" si="1"/>
        <v>1721421102.0811338</v>
      </c>
      <c r="O10" s="1825">
        <f t="shared" si="1"/>
        <v>116759503</v>
      </c>
      <c r="P10" s="1825">
        <f t="shared" si="1"/>
        <v>116759503</v>
      </c>
      <c r="Q10" s="1825">
        <f t="shared" si="1"/>
        <v>0</v>
      </c>
      <c r="R10" s="1825">
        <f t="shared" si="1"/>
        <v>1838180605.0811338</v>
      </c>
      <c r="S10" s="1825">
        <f>SUM(S11:S80)</f>
        <v>0</v>
      </c>
      <c r="T10" s="1826">
        <f>SUM(T11:T80)</f>
        <v>143000000</v>
      </c>
      <c r="U10" s="1025"/>
      <c r="V10" s="1025"/>
      <c r="W10" s="1025"/>
      <c r="X10" s="1025"/>
      <c r="Y10" s="1025"/>
      <c r="Z10" s="1025"/>
      <c r="AA10" s="1025"/>
      <c r="AB10" s="1025"/>
      <c r="AC10" s="1025"/>
      <c r="AD10" s="1025"/>
    </row>
    <row r="11" spans="1:32" s="1084" customFormat="1" ht="19.5" customHeight="1">
      <c r="A11"/>
      <c r="B11"/>
      <c r="C11" s="1212" t="s">
        <v>915</v>
      </c>
      <c r="D11" s="1213" t="s">
        <v>211</v>
      </c>
      <c r="E11" s="1305">
        <v>83990</v>
      </c>
      <c r="F11" s="1214" t="s">
        <v>197</v>
      </c>
      <c r="G11" s="1305">
        <v>11</v>
      </c>
      <c r="H11" s="1089"/>
      <c r="I11" s="1089"/>
      <c r="J11" s="1215">
        <f>71786000-71786000</f>
        <v>0</v>
      </c>
      <c r="K11" s="1215"/>
      <c r="L11" s="1215"/>
      <c r="M11" s="1215"/>
      <c r="N11" s="1387">
        <f>SUM(J11:M11)</f>
        <v>0</v>
      </c>
      <c r="O11" s="1173">
        <f>116759503-116759503</f>
        <v>0</v>
      </c>
      <c r="P11" s="1387">
        <f t="shared" ref="P11:P43" si="2">SUM(O11:O11)</f>
        <v>0</v>
      </c>
      <c r="Q11" s="1387"/>
      <c r="R11" s="1387">
        <f t="shared" ref="R11:R43" si="3">+Q11+P11+N11</f>
        <v>0</v>
      </c>
      <c r="S11" s="1387"/>
      <c r="T11" s="1586"/>
      <c r="U11" s="1085"/>
      <c r="V11" s="1085"/>
      <c r="W11" s="1085"/>
      <c r="X11" s="1085"/>
      <c r="Y11" s="1085"/>
      <c r="Z11" s="1085"/>
      <c r="AA11" s="1085"/>
      <c r="AB11" s="1085"/>
      <c r="AC11" s="1085"/>
      <c r="AD11" s="1085"/>
      <c r="AE11" s="1084" t="s">
        <v>203</v>
      </c>
      <c r="AF11" s="1084" t="s">
        <v>1322</v>
      </c>
    </row>
    <row r="12" spans="1:32" s="1080" customFormat="1" ht="21.75" customHeight="1">
      <c r="A12"/>
      <c r="B12"/>
      <c r="C12" s="1138" t="s">
        <v>417</v>
      </c>
      <c r="D12" s="1205" t="s">
        <v>211</v>
      </c>
      <c r="E12" s="1312">
        <v>83990</v>
      </c>
      <c r="F12" s="1132" t="s">
        <v>197</v>
      </c>
      <c r="G12" s="1312">
        <v>11</v>
      </c>
      <c r="H12" s="1095"/>
      <c r="I12" s="1095"/>
      <c r="J12" s="1139">
        <f>63577491.78-2349556-7915731.78+2349556</f>
        <v>55661760</v>
      </c>
      <c r="K12" s="1110"/>
      <c r="L12" s="1110"/>
      <c r="M12" s="1110"/>
      <c r="N12" s="1109">
        <f t="shared" ref="N12:N80" si="4">SUM(J12:M12)</f>
        <v>55661760</v>
      </c>
      <c r="O12" s="1139"/>
      <c r="P12" s="1109">
        <f t="shared" si="2"/>
        <v>0</v>
      </c>
      <c r="Q12" s="1109"/>
      <c r="R12" s="1109">
        <f t="shared" si="3"/>
        <v>55661760</v>
      </c>
      <c r="S12" s="1109"/>
      <c r="T12" s="1554"/>
      <c r="U12" s="1083">
        <v>55661760</v>
      </c>
      <c r="V12" s="1083">
        <v>55661760</v>
      </c>
      <c r="W12" s="1083">
        <v>55661760</v>
      </c>
      <c r="X12" s="1083">
        <f>+U12-W12</f>
        <v>0</v>
      </c>
      <c r="Y12" s="1083"/>
      <c r="Z12" s="1083"/>
      <c r="AA12" s="1083"/>
      <c r="AB12" s="1083"/>
      <c r="AC12" s="1083"/>
      <c r="AD12" s="1083"/>
      <c r="AE12" s="1080" t="s">
        <v>203</v>
      </c>
      <c r="AF12" s="1080" t="s">
        <v>1322</v>
      </c>
    </row>
    <row r="13" spans="1:32" s="1080" customFormat="1" ht="21.75" customHeight="1">
      <c r="A13"/>
      <c r="B13"/>
      <c r="C13" s="1138" t="s">
        <v>866</v>
      </c>
      <c r="D13" s="1205" t="s">
        <v>211</v>
      </c>
      <c r="E13" s="1312">
        <v>83990</v>
      </c>
      <c r="F13" s="1132" t="s">
        <v>197</v>
      </c>
      <c r="G13" s="1312">
        <v>9</v>
      </c>
      <c r="H13" s="1095"/>
      <c r="I13" s="1095"/>
      <c r="J13" s="1139">
        <f>39297320.028-10636356.028</f>
        <v>28660963.999999996</v>
      </c>
      <c r="K13" s="1110"/>
      <c r="L13" s="1110"/>
      <c r="M13" s="1110"/>
      <c r="N13" s="1109">
        <f t="shared" si="4"/>
        <v>28660963.999999996</v>
      </c>
      <c r="O13" s="1139"/>
      <c r="P13" s="1109">
        <f t="shared" si="2"/>
        <v>0</v>
      </c>
      <c r="Q13" s="1109"/>
      <c r="R13" s="1109">
        <f t="shared" si="3"/>
        <v>28660963.999999996</v>
      </c>
      <c r="S13" s="1109"/>
      <c r="T13" s="1554"/>
      <c r="U13" s="1083">
        <v>28660963.999999996</v>
      </c>
      <c r="V13" s="1083">
        <v>28660963.999999996</v>
      </c>
      <c r="W13" s="1083">
        <v>28660963.999999996</v>
      </c>
      <c r="X13" s="1083">
        <f>+U13-W13</f>
        <v>0</v>
      </c>
      <c r="Y13" s="1083"/>
      <c r="Z13" s="1083"/>
      <c r="AA13" s="1083"/>
      <c r="AB13" s="1083"/>
      <c r="AC13" s="1083"/>
      <c r="AD13" s="1083"/>
      <c r="AE13" s="1080" t="s">
        <v>203</v>
      </c>
      <c r="AF13" s="1080" t="s">
        <v>1322</v>
      </c>
    </row>
    <row r="14" spans="1:32" s="1084" customFormat="1" ht="34.5" customHeight="1">
      <c r="A14"/>
      <c r="B14"/>
      <c r="C14" s="1212" t="s">
        <v>541</v>
      </c>
      <c r="D14" s="1213" t="s">
        <v>211</v>
      </c>
      <c r="E14" s="1305">
        <v>83990</v>
      </c>
      <c r="F14" s="1214" t="s">
        <v>197</v>
      </c>
      <c r="G14" s="1305">
        <v>10</v>
      </c>
      <c r="H14" s="1089"/>
      <c r="I14" s="1089"/>
      <c r="J14" s="1231">
        <f>21672655.24-2803707.24-4193099</f>
        <v>14675849</v>
      </c>
      <c r="K14" s="1215"/>
      <c r="L14" s="1215"/>
      <c r="M14" s="1215"/>
      <c r="N14" s="1387">
        <f t="shared" si="4"/>
        <v>14675849</v>
      </c>
      <c r="O14" s="1172"/>
      <c r="P14" s="1387">
        <f t="shared" si="2"/>
        <v>0</v>
      </c>
      <c r="Q14" s="1387"/>
      <c r="R14" s="1387">
        <f t="shared" si="3"/>
        <v>14675849</v>
      </c>
      <c r="S14" s="1387"/>
      <c r="T14" s="1586"/>
      <c r="U14" s="1085">
        <v>14675849</v>
      </c>
      <c r="V14" s="1085"/>
      <c r="W14" s="1085"/>
      <c r="X14" s="1085">
        <f>+U14-V14</f>
        <v>14675849</v>
      </c>
      <c r="Y14" s="1085"/>
      <c r="Z14" s="1085"/>
      <c r="AA14" s="1085"/>
      <c r="AB14" s="1085"/>
      <c r="AC14" s="1085"/>
      <c r="AD14" s="1085"/>
      <c r="AE14" s="1084" t="s">
        <v>203</v>
      </c>
      <c r="AF14" s="1084" t="s">
        <v>1322</v>
      </c>
    </row>
    <row r="15" spans="1:32" s="1084" customFormat="1" ht="25.5">
      <c r="A15"/>
      <c r="B15"/>
      <c r="C15" s="1212" t="s">
        <v>542</v>
      </c>
      <c r="D15" s="1213" t="s">
        <v>211</v>
      </c>
      <c r="E15" s="1305">
        <v>83990</v>
      </c>
      <c r="F15" s="1214" t="s">
        <v>197</v>
      </c>
      <c r="G15" s="1305">
        <v>10</v>
      </c>
      <c r="H15" s="1089"/>
      <c r="I15" s="1089"/>
      <c r="J15" s="1231">
        <v>0</v>
      </c>
      <c r="K15" s="1215"/>
      <c r="L15" s="1215"/>
      <c r="M15" s="1215"/>
      <c r="N15" s="1387">
        <f t="shared" si="4"/>
        <v>0</v>
      </c>
      <c r="O15" s="1172">
        <v>14675849</v>
      </c>
      <c r="P15" s="1387">
        <f t="shared" si="2"/>
        <v>14675849</v>
      </c>
      <c r="Q15" s="1387"/>
      <c r="R15" s="1387">
        <f t="shared" si="3"/>
        <v>14675849</v>
      </c>
      <c r="S15" s="1387"/>
      <c r="T15" s="1586"/>
      <c r="U15" s="1085">
        <v>14675849</v>
      </c>
      <c r="V15" s="1085"/>
      <c r="W15" s="1085"/>
      <c r="X15" s="1085">
        <f>+U15-V15</f>
        <v>14675849</v>
      </c>
      <c r="Y15" s="1085"/>
      <c r="Z15" s="1085"/>
      <c r="AA15" s="1085"/>
      <c r="AB15" s="1085"/>
      <c r="AC15" s="1085"/>
      <c r="AD15" s="1085"/>
      <c r="AE15" s="1084" t="s">
        <v>203</v>
      </c>
      <c r="AF15" s="1084" t="s">
        <v>1322</v>
      </c>
    </row>
    <row r="16" spans="1:32" s="1080" customFormat="1" ht="25.5">
      <c r="A16"/>
      <c r="B16"/>
      <c r="C16" s="1138" t="s">
        <v>418</v>
      </c>
      <c r="D16" s="1205" t="s">
        <v>211</v>
      </c>
      <c r="E16" s="1312">
        <v>83990</v>
      </c>
      <c r="F16" s="1132" t="s">
        <v>197</v>
      </c>
      <c r="G16" s="1312">
        <v>11</v>
      </c>
      <c r="H16" s="1095"/>
      <c r="I16" s="1095"/>
      <c r="J16" s="1139">
        <f>63577491.78-2349556-2783087.78</f>
        <v>58444848</v>
      </c>
      <c r="K16" s="1110"/>
      <c r="L16" s="1110"/>
      <c r="M16" s="1110"/>
      <c r="N16" s="1109">
        <f t="shared" si="4"/>
        <v>58444848</v>
      </c>
      <c r="O16" s="1110"/>
      <c r="P16" s="1109">
        <f t="shared" si="2"/>
        <v>0</v>
      </c>
      <c r="Q16" s="1109"/>
      <c r="R16" s="1109">
        <f t="shared" si="3"/>
        <v>58444848</v>
      </c>
      <c r="S16" s="1109"/>
      <c r="T16" s="1554"/>
      <c r="U16" s="1083">
        <v>58444848</v>
      </c>
      <c r="V16" s="1083">
        <v>58444848</v>
      </c>
      <c r="W16" s="1083">
        <v>58444848</v>
      </c>
      <c r="X16" s="1083">
        <f t="shared" ref="X16:X17" si="5">+U16-W16</f>
        <v>0</v>
      </c>
      <c r="Y16" s="1083"/>
      <c r="Z16" s="1083"/>
      <c r="AA16" s="1083"/>
      <c r="AB16" s="1083"/>
      <c r="AC16" s="1083"/>
      <c r="AD16" s="1083"/>
      <c r="AE16" s="1080" t="s">
        <v>203</v>
      </c>
      <c r="AF16" s="1080" t="s">
        <v>1322</v>
      </c>
    </row>
    <row r="17" spans="1:32" s="1080" customFormat="1" ht="25.5">
      <c r="A17"/>
      <c r="B17"/>
      <c r="C17" s="1138" t="s">
        <v>867</v>
      </c>
      <c r="D17" s="1205" t="s">
        <v>211</v>
      </c>
      <c r="E17" s="1312">
        <v>83990</v>
      </c>
      <c r="F17" s="1132" t="s">
        <v>197</v>
      </c>
      <c r="G17" s="1312">
        <v>10</v>
      </c>
      <c r="H17" s="1095"/>
      <c r="I17" s="1095"/>
      <c r="J17" s="1139">
        <f>43663689-8861086</f>
        <v>34802603</v>
      </c>
      <c r="K17" s="1110"/>
      <c r="L17" s="1110"/>
      <c r="M17" s="1110"/>
      <c r="N17" s="1109">
        <f t="shared" si="4"/>
        <v>34802603</v>
      </c>
      <c r="O17" s="1110"/>
      <c r="P17" s="1109">
        <f t="shared" si="2"/>
        <v>0</v>
      </c>
      <c r="Q17" s="1109"/>
      <c r="R17" s="1109">
        <f t="shared" si="3"/>
        <v>34802603</v>
      </c>
      <c r="S17" s="1109"/>
      <c r="T17" s="1554"/>
      <c r="U17" s="1083">
        <v>34802603</v>
      </c>
      <c r="V17" s="1083">
        <v>34802603</v>
      </c>
      <c r="W17" s="1083">
        <v>34802603</v>
      </c>
      <c r="X17" s="1083">
        <f t="shared" si="5"/>
        <v>0</v>
      </c>
      <c r="Y17" s="1083"/>
      <c r="Z17" s="1083"/>
      <c r="AA17" s="1083"/>
      <c r="AB17" s="1083"/>
      <c r="AC17" s="1083"/>
      <c r="AD17" s="1083"/>
      <c r="AE17" s="1080" t="s">
        <v>203</v>
      </c>
      <c r="AF17" s="1080" t="s">
        <v>1322</v>
      </c>
    </row>
    <row r="18" spans="1:32" s="1084" customFormat="1" ht="25.5">
      <c r="A18"/>
      <c r="B18"/>
      <c r="C18" s="1212" t="s">
        <v>545</v>
      </c>
      <c r="D18" s="1213" t="s">
        <v>211</v>
      </c>
      <c r="E18" s="1305">
        <v>83990</v>
      </c>
      <c r="F18" s="1214" t="s">
        <v>197</v>
      </c>
      <c r="G18" s="1305">
        <v>11</v>
      </c>
      <c r="H18" s="1089"/>
      <c r="I18" s="1089"/>
      <c r="J18" s="1231">
        <f>45493593.376-45493593.376</f>
        <v>0</v>
      </c>
      <c r="K18" s="1215"/>
      <c r="L18" s="1215"/>
      <c r="M18" s="1215"/>
      <c r="N18" s="1387">
        <f t="shared" si="4"/>
        <v>0</v>
      </c>
      <c r="O18" s="1215"/>
      <c r="P18" s="1387">
        <f t="shared" si="2"/>
        <v>0</v>
      </c>
      <c r="Q18" s="1387"/>
      <c r="R18" s="1387">
        <f t="shared" si="3"/>
        <v>0</v>
      </c>
      <c r="S18" s="1387"/>
      <c r="T18" s="1586"/>
      <c r="U18" s="1085">
        <v>0</v>
      </c>
      <c r="V18" s="1085"/>
      <c r="W18" s="1085"/>
      <c r="X18" s="1085">
        <f>+U18-V18</f>
        <v>0</v>
      </c>
      <c r="Y18" s="1085"/>
      <c r="Z18" s="1085"/>
      <c r="AA18" s="1085"/>
      <c r="AB18" s="1085"/>
      <c r="AC18" s="1085"/>
      <c r="AD18" s="1085"/>
      <c r="AE18" s="1084" t="s">
        <v>203</v>
      </c>
      <c r="AF18" s="1084" t="s">
        <v>1322</v>
      </c>
    </row>
    <row r="19" spans="1:32" s="1084" customFormat="1" ht="25.5">
      <c r="A19"/>
      <c r="B19"/>
      <c r="C19" s="1212" t="s">
        <v>615</v>
      </c>
      <c r="D19" s="1213" t="s">
        <v>211</v>
      </c>
      <c r="E19" s="1305">
        <v>83990</v>
      </c>
      <c r="F19" s="1214" t="s">
        <v>197</v>
      </c>
      <c r="G19" s="1305">
        <v>11</v>
      </c>
      <c r="H19" s="1089"/>
      <c r="I19" s="1089"/>
      <c r="J19" s="1231">
        <f>40695118.948-40695118.948</f>
        <v>0</v>
      </c>
      <c r="K19" s="1215"/>
      <c r="L19" s="1215"/>
      <c r="M19" s="1215"/>
      <c r="N19" s="1387">
        <f t="shared" si="4"/>
        <v>0</v>
      </c>
      <c r="O19" s="1215"/>
      <c r="P19" s="1387">
        <f t="shared" si="2"/>
        <v>0</v>
      </c>
      <c r="Q19" s="1387"/>
      <c r="R19" s="1387">
        <f t="shared" si="3"/>
        <v>0</v>
      </c>
      <c r="S19" s="1387"/>
      <c r="T19" s="1586"/>
      <c r="U19" s="1085">
        <v>0</v>
      </c>
      <c r="V19" s="1085"/>
      <c r="W19" s="1085"/>
      <c r="X19" s="1085">
        <f t="shared" ref="X19" si="6">+U19-V19</f>
        <v>0</v>
      </c>
      <c r="Y19" s="1085"/>
      <c r="Z19" s="1085"/>
      <c r="AA19" s="1085"/>
      <c r="AB19" s="1085"/>
      <c r="AC19" s="1085"/>
      <c r="AD19" s="1085"/>
      <c r="AE19" s="1084" t="s">
        <v>203</v>
      </c>
      <c r="AF19" s="1084" t="s">
        <v>1322</v>
      </c>
    </row>
    <row r="20" spans="1:32" s="1080" customFormat="1" ht="25.5">
      <c r="A20"/>
      <c r="B20"/>
      <c r="C20" s="1138" t="s">
        <v>546</v>
      </c>
      <c r="D20" s="1205" t="s">
        <v>211</v>
      </c>
      <c r="E20" s="1312">
        <v>83990</v>
      </c>
      <c r="F20" s="1132" t="s">
        <v>197</v>
      </c>
      <c r="G20" s="1312">
        <v>11</v>
      </c>
      <c r="H20" s="1095"/>
      <c r="I20" s="1095"/>
      <c r="J20" s="1139">
        <f>23839920.764-4970972.764-1048275</f>
        <v>17820673</v>
      </c>
      <c r="K20" s="1110"/>
      <c r="L20" s="1110"/>
      <c r="M20" s="1110"/>
      <c r="N20" s="1109">
        <f t="shared" si="4"/>
        <v>17820673</v>
      </c>
      <c r="O20" s="1110"/>
      <c r="P20" s="1109">
        <f t="shared" si="2"/>
        <v>0</v>
      </c>
      <c r="Q20" s="1109"/>
      <c r="R20" s="1109">
        <f t="shared" si="3"/>
        <v>17820673</v>
      </c>
      <c r="S20" s="1109"/>
      <c r="T20" s="1554"/>
      <c r="U20" s="1083">
        <v>17820673</v>
      </c>
      <c r="V20" s="1083">
        <v>17820673</v>
      </c>
      <c r="W20" s="1083">
        <v>17820673</v>
      </c>
      <c r="X20" s="1083">
        <f t="shared" ref="X20:X25" si="7">+U20-W20</f>
        <v>0</v>
      </c>
      <c r="Y20" s="1083"/>
      <c r="Z20" s="1083"/>
      <c r="AA20" s="1083"/>
      <c r="AB20" s="1083"/>
      <c r="AC20" s="1083"/>
      <c r="AD20" s="1083"/>
      <c r="AE20" s="1080" t="s">
        <v>203</v>
      </c>
      <c r="AF20" s="1080" t="s">
        <v>1322</v>
      </c>
    </row>
    <row r="21" spans="1:32" s="1080" customFormat="1" ht="25.5">
      <c r="A21"/>
      <c r="B21"/>
      <c r="C21" s="1138" t="s">
        <v>547</v>
      </c>
      <c r="D21" s="1205" t="s">
        <v>211</v>
      </c>
      <c r="E21" s="1312">
        <v>83990</v>
      </c>
      <c r="F21" s="1132" t="s">
        <v>197</v>
      </c>
      <c r="G21" s="1312">
        <v>10</v>
      </c>
      <c r="H21" s="1095"/>
      <c r="I21" s="1095"/>
      <c r="J21" s="1139">
        <v>16772398</v>
      </c>
      <c r="K21" s="1110"/>
      <c r="L21" s="1110"/>
      <c r="M21" s="1110"/>
      <c r="N21" s="1109">
        <f t="shared" ref="N21" si="8">SUM(J21:M21)</f>
        <v>16772398</v>
      </c>
      <c r="O21" s="1110"/>
      <c r="P21" s="1109">
        <f t="shared" ref="P21" si="9">SUM(O21:O21)</f>
        <v>0</v>
      </c>
      <c r="Q21" s="1109"/>
      <c r="R21" s="1109">
        <f t="shared" ref="R21" si="10">+Q21+P21+N21</f>
        <v>16772398</v>
      </c>
      <c r="S21" s="1109"/>
      <c r="T21" s="1554"/>
      <c r="U21" s="1083">
        <v>18868948</v>
      </c>
      <c r="V21" s="1083">
        <v>16772398</v>
      </c>
      <c r="W21" s="1083">
        <v>16772398</v>
      </c>
      <c r="X21" s="1083">
        <f>+U21-W21</f>
        <v>2096550</v>
      </c>
      <c r="Y21" s="1083"/>
      <c r="Z21" s="1083"/>
      <c r="AA21" s="1083"/>
      <c r="AB21" s="1083"/>
      <c r="AC21" s="1083"/>
      <c r="AD21" s="1083"/>
      <c r="AE21" s="1080" t="s">
        <v>203</v>
      </c>
      <c r="AF21" s="1080" t="s">
        <v>1322</v>
      </c>
    </row>
    <row r="22" spans="1:32" s="1084" customFormat="1" ht="25.5">
      <c r="A22"/>
      <c r="B22"/>
      <c r="C22" s="1212" t="s">
        <v>547</v>
      </c>
      <c r="D22" s="1213" t="s">
        <v>211</v>
      </c>
      <c r="E22" s="1305">
        <v>83990</v>
      </c>
      <c r="F22" s="1214" t="s">
        <v>197</v>
      </c>
      <c r="G22" s="1305">
        <v>10</v>
      </c>
      <c r="H22" s="1089"/>
      <c r="I22" s="1089"/>
      <c r="J22" s="1231">
        <f>18868948-J21</f>
        <v>2096550</v>
      </c>
      <c r="K22" s="1215"/>
      <c r="L22" s="1215"/>
      <c r="M22" s="1215"/>
      <c r="N22" s="1387">
        <f t="shared" si="4"/>
        <v>2096550</v>
      </c>
      <c r="O22" s="1215"/>
      <c r="P22" s="1387">
        <f t="shared" si="2"/>
        <v>0</v>
      </c>
      <c r="Q22" s="1387"/>
      <c r="R22" s="1387">
        <f t="shared" si="3"/>
        <v>2096550</v>
      </c>
      <c r="S22" s="1387"/>
      <c r="T22" s="1586"/>
      <c r="U22" s="1085">
        <v>18868948</v>
      </c>
      <c r="V22" s="1085">
        <v>16772398</v>
      </c>
      <c r="W22" s="1085">
        <v>16772398</v>
      </c>
      <c r="X22" s="1085">
        <f>+U22-W22</f>
        <v>2096550</v>
      </c>
      <c r="Y22" s="1085"/>
      <c r="Z22" s="1085"/>
      <c r="AA22" s="1085"/>
      <c r="AB22" s="1085"/>
      <c r="AC22" s="1085"/>
      <c r="AD22" s="1085"/>
      <c r="AE22" s="1084" t="s">
        <v>203</v>
      </c>
      <c r="AF22" s="1084" t="s">
        <v>1322</v>
      </c>
    </row>
    <row r="23" spans="1:32" s="1084" customFormat="1" ht="25.5">
      <c r="A23"/>
      <c r="B23"/>
      <c r="C23" s="1212" t="s">
        <v>556</v>
      </c>
      <c r="D23" s="1213" t="s">
        <v>211</v>
      </c>
      <c r="E23" s="1305">
        <v>83990</v>
      </c>
      <c r="F23" s="1214" t="s">
        <v>197</v>
      </c>
      <c r="G23" s="1305">
        <v>10</v>
      </c>
      <c r="H23" s="1089"/>
      <c r="I23" s="1089"/>
      <c r="J23" s="1231">
        <f>21672655.24-707157.239999998</f>
        <v>20965498</v>
      </c>
      <c r="K23" s="1215"/>
      <c r="L23" s="1215"/>
      <c r="M23" s="1215"/>
      <c r="N23" s="1387">
        <f t="shared" si="4"/>
        <v>20965498</v>
      </c>
      <c r="O23" s="1215"/>
      <c r="P23" s="1387">
        <f t="shared" si="2"/>
        <v>0</v>
      </c>
      <c r="Q23" s="1387"/>
      <c r="R23" s="1387">
        <f t="shared" si="3"/>
        <v>20965498</v>
      </c>
      <c r="S23" s="1387"/>
      <c r="T23" s="1586"/>
      <c r="Y23" s="1085"/>
      <c r="Z23" s="1085"/>
      <c r="AA23" s="1085"/>
      <c r="AB23" s="1085"/>
      <c r="AC23" s="1085"/>
      <c r="AD23" s="1085"/>
      <c r="AE23" s="1084" t="s">
        <v>203</v>
      </c>
      <c r="AF23" s="1084" t="s">
        <v>1322</v>
      </c>
    </row>
    <row r="24" spans="1:32" s="1080" customFormat="1" ht="29.25" customHeight="1">
      <c r="A24"/>
      <c r="B24"/>
      <c r="C24" s="1138" t="s">
        <v>882</v>
      </c>
      <c r="D24" s="1205" t="s">
        <v>211</v>
      </c>
      <c r="E24" s="1312">
        <v>83990</v>
      </c>
      <c r="F24" s="1132" t="s">
        <v>197</v>
      </c>
      <c r="G24" s="1312">
        <v>9</v>
      </c>
      <c r="H24" s="1095"/>
      <c r="I24" s="1095"/>
      <c r="J24" s="1139">
        <v>17820674</v>
      </c>
      <c r="K24" s="1110"/>
      <c r="L24" s="1110"/>
      <c r="M24" s="1110"/>
      <c r="N24" s="1109">
        <f t="shared" si="4"/>
        <v>17820674</v>
      </c>
      <c r="O24" s="1110"/>
      <c r="P24" s="1109">
        <f t="shared" si="2"/>
        <v>0</v>
      </c>
      <c r="Q24" s="1109"/>
      <c r="R24" s="1109">
        <f t="shared" si="3"/>
        <v>17820674</v>
      </c>
      <c r="S24" s="1109"/>
      <c r="T24" s="1554"/>
      <c r="U24" s="1083">
        <v>17820678</v>
      </c>
      <c r="V24" s="1083">
        <v>17820674</v>
      </c>
      <c r="W24" s="1083">
        <v>17820674</v>
      </c>
      <c r="X24" s="1083">
        <f t="shared" si="7"/>
        <v>4</v>
      </c>
      <c r="Y24" s="1083"/>
      <c r="Z24" s="1083"/>
      <c r="AA24" s="1083"/>
      <c r="AB24" s="1083"/>
      <c r="AC24" s="1083"/>
      <c r="AD24" s="1083"/>
      <c r="AE24" s="1080" t="s">
        <v>203</v>
      </c>
      <c r="AF24" s="1080" t="s">
        <v>1322</v>
      </c>
    </row>
    <row r="25" spans="1:32" s="1080" customFormat="1" ht="25.5">
      <c r="A25"/>
      <c r="B25"/>
      <c r="C25" s="1138" t="s">
        <v>419</v>
      </c>
      <c r="D25" s="1205" t="s">
        <v>211</v>
      </c>
      <c r="E25" s="1312">
        <v>83990</v>
      </c>
      <c r="F25" s="1132" t="s">
        <v>197</v>
      </c>
      <c r="G25" s="1312">
        <v>11</v>
      </c>
      <c r="H25" s="1095"/>
      <c r="I25" s="1095"/>
      <c r="J25" s="1139">
        <f>63577491.78-2349556-5566175.78</f>
        <v>55661760</v>
      </c>
      <c r="K25" s="1110"/>
      <c r="L25" s="1110"/>
      <c r="M25" s="1110"/>
      <c r="N25" s="1109">
        <f t="shared" si="4"/>
        <v>55661760</v>
      </c>
      <c r="O25" s="1110"/>
      <c r="P25" s="1109">
        <f t="shared" si="2"/>
        <v>0</v>
      </c>
      <c r="Q25" s="1109"/>
      <c r="R25" s="1109">
        <f t="shared" si="3"/>
        <v>55661760</v>
      </c>
      <c r="S25" s="1109"/>
      <c r="T25" s="1554"/>
      <c r="U25" s="1083">
        <v>55661760</v>
      </c>
      <c r="V25" s="1083">
        <v>55661760</v>
      </c>
      <c r="W25" s="1083">
        <v>55661760</v>
      </c>
      <c r="X25" s="1083">
        <f t="shared" si="7"/>
        <v>0</v>
      </c>
      <c r="Y25" s="1083"/>
      <c r="Z25" s="1083"/>
      <c r="AA25" s="1083"/>
      <c r="AB25" s="1083"/>
      <c r="AC25" s="1083"/>
      <c r="AD25" s="1083"/>
      <c r="AE25" s="1080" t="s">
        <v>203</v>
      </c>
      <c r="AF25" s="1080" t="s">
        <v>1322</v>
      </c>
    </row>
    <row r="26" spans="1:32" s="1084" customFormat="1" ht="25.5">
      <c r="A26"/>
      <c r="B26"/>
      <c r="C26" s="1212" t="s">
        <v>868</v>
      </c>
      <c r="D26" s="1213" t="s">
        <v>211</v>
      </c>
      <c r="E26" s="1305">
        <v>83990</v>
      </c>
      <c r="F26" s="1214" t="s">
        <v>197</v>
      </c>
      <c r="G26" s="1305">
        <v>9</v>
      </c>
      <c r="H26" s="1089"/>
      <c r="I26" s="1089"/>
      <c r="J26" s="1231">
        <f>39297320.028-8589143.892</f>
        <v>30708176.135999996</v>
      </c>
      <c r="K26" s="1215"/>
      <c r="L26" s="1215"/>
      <c r="M26" s="1215"/>
      <c r="N26" s="1387">
        <f t="shared" si="4"/>
        <v>30708176.135999996</v>
      </c>
      <c r="O26" s="1215"/>
      <c r="P26" s="1387">
        <f t="shared" si="2"/>
        <v>0</v>
      </c>
      <c r="Q26" s="1387"/>
      <c r="R26" s="1387">
        <f t="shared" si="3"/>
        <v>30708176.135999996</v>
      </c>
      <c r="S26" s="1387"/>
      <c r="T26" s="1586"/>
      <c r="U26" s="1085">
        <v>30708176.135999996</v>
      </c>
      <c r="V26" s="1085"/>
      <c r="W26" s="1085"/>
      <c r="X26" s="1085">
        <f t="shared" ref="X26:X28" si="11">+U26-V26</f>
        <v>30708176.135999996</v>
      </c>
      <c r="Y26" s="1085"/>
      <c r="Z26" s="1085"/>
      <c r="AA26" s="1085"/>
      <c r="AB26" s="1085"/>
      <c r="AC26" s="1085"/>
      <c r="AD26" s="1085"/>
      <c r="AE26" s="1084" t="s">
        <v>203</v>
      </c>
      <c r="AF26" s="1084" t="s">
        <v>1322</v>
      </c>
    </row>
    <row r="27" spans="1:32" s="1084" customFormat="1" ht="25.5">
      <c r="A27"/>
      <c r="B27"/>
      <c r="C27" s="1212" t="s">
        <v>550</v>
      </c>
      <c r="D27" s="1213" t="s">
        <v>211</v>
      </c>
      <c r="E27" s="1305">
        <v>83990</v>
      </c>
      <c r="F27" s="1214" t="s">
        <v>197</v>
      </c>
      <c r="G27" s="1305">
        <v>10</v>
      </c>
      <c r="H27" s="1089"/>
      <c r="I27" s="1089"/>
      <c r="J27" s="1231">
        <f>21672655.24-2803707.24-4193099</f>
        <v>14675849</v>
      </c>
      <c r="K27" s="1215"/>
      <c r="L27" s="1215"/>
      <c r="M27" s="1215"/>
      <c r="N27" s="1387">
        <f t="shared" si="4"/>
        <v>14675849</v>
      </c>
      <c r="O27" s="1215"/>
      <c r="P27" s="1387">
        <f t="shared" si="2"/>
        <v>0</v>
      </c>
      <c r="Q27" s="1387"/>
      <c r="R27" s="1387">
        <f t="shared" si="3"/>
        <v>14675849</v>
      </c>
      <c r="S27" s="1387"/>
      <c r="T27" s="1586"/>
      <c r="U27" s="1085">
        <v>14675849</v>
      </c>
      <c r="V27" s="1085"/>
      <c r="W27" s="1085"/>
      <c r="X27" s="1085">
        <f t="shared" si="11"/>
        <v>14675849</v>
      </c>
      <c r="Y27" s="1085"/>
      <c r="Z27" s="1085"/>
      <c r="AA27" s="1085"/>
      <c r="AB27" s="1085"/>
      <c r="AC27" s="1085"/>
      <c r="AD27" s="1085"/>
      <c r="AE27" s="1084" t="s">
        <v>203</v>
      </c>
      <c r="AF27" s="1084" t="s">
        <v>1322</v>
      </c>
    </row>
    <row r="28" spans="1:32" s="1084" customFormat="1" ht="25.5">
      <c r="A28"/>
      <c r="B28"/>
      <c r="C28" s="1212" t="s">
        <v>551</v>
      </c>
      <c r="D28" s="1213" t="s">
        <v>211</v>
      </c>
      <c r="E28" s="1305">
        <v>83991</v>
      </c>
      <c r="F28" s="1214" t="s">
        <v>197</v>
      </c>
      <c r="G28" s="1305">
        <v>10</v>
      </c>
      <c r="H28" s="1089"/>
      <c r="I28" s="1089"/>
      <c r="J28" s="1231">
        <f>21672655.24-2803707.24-4193099</f>
        <v>14675849</v>
      </c>
      <c r="K28" s="1215"/>
      <c r="L28" s="1215"/>
      <c r="M28" s="1215"/>
      <c r="N28" s="1387">
        <f t="shared" si="4"/>
        <v>14675849</v>
      </c>
      <c r="O28" s="1215"/>
      <c r="P28" s="1387">
        <f t="shared" si="2"/>
        <v>0</v>
      </c>
      <c r="Q28" s="1387"/>
      <c r="R28" s="1387">
        <f t="shared" si="3"/>
        <v>14675849</v>
      </c>
      <c r="S28" s="1387"/>
      <c r="T28" s="1586"/>
      <c r="U28" s="1085">
        <v>14675849</v>
      </c>
      <c r="V28" s="1085"/>
      <c r="W28" s="1085"/>
      <c r="X28" s="1085">
        <f t="shared" si="11"/>
        <v>14675849</v>
      </c>
      <c r="Y28" s="1085"/>
      <c r="Z28" s="1085"/>
      <c r="AA28" s="1085"/>
      <c r="AB28" s="1085"/>
      <c r="AC28" s="1085"/>
      <c r="AD28" s="1085"/>
      <c r="AE28" s="1084" t="s">
        <v>203</v>
      </c>
      <c r="AF28" s="1084" t="s">
        <v>1322</v>
      </c>
    </row>
    <row r="29" spans="1:32" s="1080" customFormat="1" ht="25.5">
      <c r="A29"/>
      <c r="B29"/>
      <c r="C29" s="1380" t="s">
        <v>420</v>
      </c>
      <c r="D29" s="1095" t="s">
        <v>211</v>
      </c>
      <c r="E29" s="1095">
        <v>83931</v>
      </c>
      <c r="F29" s="1095" t="s">
        <v>197</v>
      </c>
      <c r="G29" s="1095">
        <v>11</v>
      </c>
      <c r="H29" s="1095"/>
      <c r="I29" s="1095"/>
      <c r="J29" s="1110">
        <f>63577491.78-2349556-2783087.78</f>
        <v>58444848</v>
      </c>
      <c r="K29" s="1110"/>
      <c r="L29" s="1110"/>
      <c r="M29" s="1110"/>
      <c r="N29" s="1109">
        <f t="shared" si="4"/>
        <v>58444848</v>
      </c>
      <c r="O29" s="1110"/>
      <c r="P29" s="1109">
        <f t="shared" si="2"/>
        <v>0</v>
      </c>
      <c r="Q29" s="1109"/>
      <c r="R29" s="1109">
        <f t="shared" si="3"/>
        <v>58444848</v>
      </c>
      <c r="S29" s="1109"/>
      <c r="T29" s="1554"/>
      <c r="U29" s="1083">
        <v>58444848</v>
      </c>
      <c r="V29" s="1083">
        <v>58444848</v>
      </c>
      <c r="W29" s="1083">
        <v>58444848</v>
      </c>
      <c r="X29" s="1083">
        <f t="shared" ref="X29:X37" si="12">+U29-W29</f>
        <v>0</v>
      </c>
      <c r="Y29" s="1083"/>
      <c r="Z29" s="1083"/>
      <c r="AA29" s="1083"/>
      <c r="AB29" s="1083"/>
      <c r="AC29" s="1083"/>
      <c r="AD29" s="1083"/>
      <c r="AE29" s="1080" t="s">
        <v>203</v>
      </c>
      <c r="AF29" s="1080" t="s">
        <v>1323</v>
      </c>
    </row>
    <row r="30" spans="1:32" s="1080" customFormat="1" ht="25.5">
      <c r="A30"/>
      <c r="B30"/>
      <c r="C30" s="1380" t="s">
        <v>531</v>
      </c>
      <c r="D30" s="1095" t="s">
        <v>211</v>
      </c>
      <c r="E30" s="1095">
        <v>83990</v>
      </c>
      <c r="F30" s="1095" t="s">
        <v>197</v>
      </c>
      <c r="G30" s="1095">
        <v>9</v>
      </c>
      <c r="H30" s="1095"/>
      <c r="I30" s="1095"/>
      <c r="J30" s="1110">
        <f>19505389.716-19505389.716</f>
        <v>0</v>
      </c>
      <c r="K30" s="1110"/>
      <c r="L30" s="1110"/>
      <c r="M30" s="1110"/>
      <c r="N30" s="1109">
        <f t="shared" si="4"/>
        <v>0</v>
      </c>
      <c r="O30" s="1110">
        <v>16772398</v>
      </c>
      <c r="P30" s="1109">
        <f t="shared" si="2"/>
        <v>16772398</v>
      </c>
      <c r="Q30" s="1109"/>
      <c r="R30" s="1109">
        <f t="shared" si="3"/>
        <v>16772398</v>
      </c>
      <c r="S30" s="1109"/>
      <c r="T30" s="1554"/>
      <c r="U30" s="1083">
        <v>16772398</v>
      </c>
      <c r="V30" s="1083">
        <v>16772398</v>
      </c>
      <c r="W30" s="1083">
        <v>16772398</v>
      </c>
      <c r="X30" s="1083">
        <f t="shared" si="12"/>
        <v>0</v>
      </c>
      <c r="Y30" s="1083"/>
      <c r="Z30" s="1083"/>
      <c r="AA30" s="1083"/>
      <c r="AB30" s="1083"/>
      <c r="AC30" s="1083"/>
      <c r="AD30" s="1083"/>
      <c r="AE30" s="1080" t="s">
        <v>203</v>
      </c>
      <c r="AF30" s="1080" t="s">
        <v>1323</v>
      </c>
    </row>
    <row r="31" spans="1:32" s="1080" customFormat="1" ht="25.5">
      <c r="A31"/>
      <c r="B31"/>
      <c r="C31" s="1380" t="s">
        <v>532</v>
      </c>
      <c r="D31" s="1095" t="s">
        <v>211</v>
      </c>
      <c r="E31" s="1095">
        <v>83990</v>
      </c>
      <c r="F31" s="1095" t="s">
        <v>197</v>
      </c>
      <c r="G31" s="1095">
        <v>9</v>
      </c>
      <c r="H31" s="1095"/>
      <c r="I31" s="1095"/>
      <c r="J31" s="1607">
        <f>19505389.916-636441.715999998-2096550.2</f>
        <v>16772398.000000004</v>
      </c>
      <c r="K31" s="1110"/>
      <c r="L31" s="1110"/>
      <c r="M31" s="1110"/>
      <c r="N31" s="1109">
        <f t="shared" si="4"/>
        <v>16772398.000000004</v>
      </c>
      <c r="O31" s="1110"/>
      <c r="P31" s="1109">
        <f t="shared" si="2"/>
        <v>0</v>
      </c>
      <c r="Q31" s="1109"/>
      <c r="R31" s="1109">
        <f t="shared" si="3"/>
        <v>16772398.000000004</v>
      </c>
      <c r="S31" s="1109"/>
      <c r="T31" s="1554"/>
      <c r="U31" s="1083">
        <v>16772398.000000004</v>
      </c>
      <c r="V31" s="1083">
        <v>16772398</v>
      </c>
      <c r="W31" s="1083">
        <v>16772398</v>
      </c>
      <c r="X31" s="1083">
        <f t="shared" si="12"/>
        <v>0</v>
      </c>
      <c r="Y31" s="1083"/>
      <c r="Z31" s="1083"/>
      <c r="AA31" s="1083"/>
      <c r="AB31" s="1083"/>
      <c r="AC31" s="1083"/>
      <c r="AD31" s="1083"/>
      <c r="AE31" s="1080" t="s">
        <v>203</v>
      </c>
      <c r="AF31" s="1080" t="s">
        <v>1323</v>
      </c>
    </row>
    <row r="32" spans="1:32" s="1080" customFormat="1" ht="25.5">
      <c r="A32"/>
      <c r="B32"/>
      <c r="C32" s="1380" t="s">
        <v>533</v>
      </c>
      <c r="D32" s="1095" t="s">
        <v>211</v>
      </c>
      <c r="E32" s="1095">
        <v>83990</v>
      </c>
      <c r="F32" s="1095" t="s">
        <v>197</v>
      </c>
      <c r="G32" s="1095">
        <v>9</v>
      </c>
      <c r="H32" s="1095"/>
      <c r="I32" s="1095"/>
      <c r="J32" s="1607">
        <f>19505389.716-636441.715999998-1048275</f>
        <v>17820673</v>
      </c>
      <c r="K32" s="1110"/>
      <c r="L32" s="1110"/>
      <c r="M32" s="1110"/>
      <c r="N32" s="1109">
        <f t="shared" si="4"/>
        <v>17820673</v>
      </c>
      <c r="O32" s="1110"/>
      <c r="P32" s="1109">
        <f t="shared" si="2"/>
        <v>0</v>
      </c>
      <c r="Q32" s="1109"/>
      <c r="R32" s="1109">
        <f t="shared" si="3"/>
        <v>17820673</v>
      </c>
      <c r="S32" s="1109"/>
      <c r="T32" s="1554"/>
      <c r="U32" s="1083">
        <v>17820673</v>
      </c>
      <c r="V32" s="1083">
        <v>17820673</v>
      </c>
      <c r="W32" s="1083">
        <v>17820673</v>
      </c>
      <c r="X32" s="1083">
        <f t="shared" si="12"/>
        <v>0</v>
      </c>
      <c r="Y32" s="1083"/>
      <c r="Z32" s="1083"/>
      <c r="AA32" s="1083"/>
      <c r="AB32" s="1083"/>
      <c r="AC32" s="1083"/>
      <c r="AD32" s="1083"/>
      <c r="AE32" s="1080" t="s">
        <v>203</v>
      </c>
      <c r="AF32" s="1080" t="s">
        <v>1323</v>
      </c>
    </row>
    <row r="33" spans="1:32" s="1080" customFormat="1" ht="25.5">
      <c r="A33"/>
      <c r="B33"/>
      <c r="C33" s="1380" t="s">
        <v>421</v>
      </c>
      <c r="D33" s="1095" t="s">
        <v>211</v>
      </c>
      <c r="E33" s="1095">
        <v>83931</v>
      </c>
      <c r="F33" s="1095" t="s">
        <v>197</v>
      </c>
      <c r="G33" s="1095">
        <v>11</v>
      </c>
      <c r="H33" s="1095"/>
      <c r="I33" s="1095"/>
      <c r="J33" s="1607">
        <f>63577491.78-2349556-2783087.78-2783088</f>
        <v>55661760</v>
      </c>
      <c r="K33" s="1110"/>
      <c r="L33" s="1110"/>
      <c r="M33" s="1110"/>
      <c r="N33" s="1109">
        <f t="shared" si="4"/>
        <v>55661760</v>
      </c>
      <c r="O33" s="1110"/>
      <c r="P33" s="1109">
        <f t="shared" si="2"/>
        <v>0</v>
      </c>
      <c r="Q33" s="1109"/>
      <c r="R33" s="1109">
        <f t="shared" si="3"/>
        <v>55661760</v>
      </c>
      <c r="S33" s="1109"/>
      <c r="T33" s="1554"/>
      <c r="U33" s="1083">
        <v>55661760</v>
      </c>
      <c r="V33" s="1083">
        <v>55661760</v>
      </c>
      <c r="W33" s="1083">
        <v>55661760</v>
      </c>
      <c r="X33" s="1083">
        <f t="shared" si="12"/>
        <v>0</v>
      </c>
      <c r="Y33" s="1083"/>
      <c r="Z33" s="1083"/>
      <c r="AA33" s="1083"/>
      <c r="AB33" s="1083"/>
      <c r="AC33" s="1083"/>
      <c r="AD33" s="1083"/>
      <c r="AE33" s="1080" t="s">
        <v>203</v>
      </c>
      <c r="AF33" s="1080" t="s">
        <v>1323</v>
      </c>
    </row>
    <row r="34" spans="1:32" s="1084" customFormat="1" ht="25.5">
      <c r="A34"/>
      <c r="B34"/>
      <c r="C34" s="1357" t="s">
        <v>534</v>
      </c>
      <c r="D34" s="1089" t="s">
        <v>211</v>
      </c>
      <c r="E34" s="1089">
        <v>83990</v>
      </c>
      <c r="F34" s="1089" t="s">
        <v>197</v>
      </c>
      <c r="G34" s="1089">
        <v>9</v>
      </c>
      <c r="H34" s="1089"/>
      <c r="I34" s="1089"/>
      <c r="J34" s="1588">
        <f>37222030.944-37222030.944</f>
        <v>0</v>
      </c>
      <c r="K34" s="1215"/>
      <c r="L34" s="1215"/>
      <c r="M34" s="1215"/>
      <c r="N34" s="1387">
        <f t="shared" si="4"/>
        <v>0</v>
      </c>
      <c r="O34" s="1215">
        <f>4190936-4190936</f>
        <v>0</v>
      </c>
      <c r="P34" s="1387">
        <f t="shared" si="2"/>
        <v>0</v>
      </c>
      <c r="Q34" s="1387"/>
      <c r="R34" s="1387">
        <f t="shared" si="3"/>
        <v>0</v>
      </c>
      <c r="S34" s="1387"/>
      <c r="T34" s="1586"/>
      <c r="U34" s="1085">
        <v>0</v>
      </c>
      <c r="V34" s="1085"/>
      <c r="W34" s="1085"/>
      <c r="X34" s="1085">
        <f>+U34-V34</f>
        <v>0</v>
      </c>
      <c r="Y34" s="1085"/>
      <c r="Z34" s="1085"/>
      <c r="AA34" s="1085"/>
      <c r="AB34" s="1085"/>
      <c r="AC34" s="1085"/>
      <c r="AD34" s="1085"/>
      <c r="AE34" s="1084" t="s">
        <v>203</v>
      </c>
      <c r="AF34" s="1084" t="s">
        <v>1323</v>
      </c>
    </row>
    <row r="35" spans="1:32" s="1080" customFormat="1" ht="27.75" customHeight="1">
      <c r="A35"/>
      <c r="B35"/>
      <c r="C35" s="1380" t="s">
        <v>869</v>
      </c>
      <c r="D35" s="1095" t="s">
        <v>211</v>
      </c>
      <c r="E35" s="1095">
        <v>83990</v>
      </c>
      <c r="F35" s="1095" t="s">
        <v>197</v>
      </c>
      <c r="G35" s="1095">
        <v>9</v>
      </c>
      <c r="H35" s="1095"/>
      <c r="I35" s="1095"/>
      <c r="J35" s="1607">
        <f>43663689-8861086</f>
        <v>34802603</v>
      </c>
      <c r="K35" s="1110"/>
      <c r="L35" s="1110"/>
      <c r="M35" s="1110"/>
      <c r="N35" s="1109">
        <f t="shared" si="4"/>
        <v>34802603</v>
      </c>
      <c r="O35" s="1110"/>
      <c r="P35" s="1109">
        <f t="shared" si="2"/>
        <v>0</v>
      </c>
      <c r="Q35" s="1109"/>
      <c r="R35" s="1109">
        <f t="shared" si="3"/>
        <v>34802603</v>
      </c>
      <c r="S35" s="1109"/>
      <c r="T35" s="1554"/>
      <c r="U35" s="1083">
        <v>34802603</v>
      </c>
      <c r="V35" s="1083">
        <v>34802603</v>
      </c>
      <c r="W35" s="1083">
        <v>34802603</v>
      </c>
      <c r="X35" s="1083">
        <f t="shared" si="12"/>
        <v>0</v>
      </c>
      <c r="Y35" s="1083"/>
      <c r="Z35" s="1083"/>
      <c r="AA35" s="1083"/>
      <c r="AB35" s="1083"/>
      <c r="AC35" s="1083"/>
      <c r="AD35" s="1083"/>
      <c r="AE35" s="1080" t="s">
        <v>203</v>
      </c>
      <c r="AF35" s="1080" t="s">
        <v>1323</v>
      </c>
    </row>
    <row r="36" spans="1:32" s="1080" customFormat="1" ht="28.5" customHeight="1">
      <c r="A36"/>
      <c r="B36"/>
      <c r="C36" s="1380" t="s">
        <v>870</v>
      </c>
      <c r="D36" s="1095" t="s">
        <v>211</v>
      </c>
      <c r="E36" s="1095">
        <v>83990</v>
      </c>
      <c r="F36" s="1095" t="s">
        <v>197</v>
      </c>
      <c r="G36" s="1095">
        <v>9</v>
      </c>
      <c r="H36" s="1095"/>
      <c r="I36" s="1095"/>
      <c r="J36" s="1607">
        <f>43663689-8861086</f>
        <v>34802603</v>
      </c>
      <c r="K36" s="1110"/>
      <c r="L36" s="1110"/>
      <c r="M36" s="1110"/>
      <c r="N36" s="1109">
        <f t="shared" si="4"/>
        <v>34802603</v>
      </c>
      <c r="O36" s="1110"/>
      <c r="P36" s="1109">
        <f t="shared" si="2"/>
        <v>0</v>
      </c>
      <c r="Q36" s="1109"/>
      <c r="R36" s="1109">
        <f t="shared" si="3"/>
        <v>34802603</v>
      </c>
      <c r="S36" s="1109"/>
      <c r="T36" s="1554"/>
      <c r="U36" s="1083">
        <v>34802603</v>
      </c>
      <c r="V36" s="1083">
        <v>34802603</v>
      </c>
      <c r="W36" s="1083">
        <v>34802603</v>
      </c>
      <c r="X36" s="1083">
        <f t="shared" si="12"/>
        <v>0</v>
      </c>
      <c r="Y36" s="1083"/>
      <c r="Z36" s="1083"/>
      <c r="AA36" s="1083"/>
      <c r="AB36" s="1083"/>
      <c r="AC36" s="1083"/>
      <c r="AD36" s="1083"/>
      <c r="AE36" s="1080" t="s">
        <v>203</v>
      </c>
      <c r="AF36" s="1080" t="s">
        <v>1323</v>
      </c>
    </row>
    <row r="37" spans="1:32" s="1080" customFormat="1" ht="25.5">
      <c r="A37"/>
      <c r="B37"/>
      <c r="C37" s="1380" t="s">
        <v>871</v>
      </c>
      <c r="D37" s="1095" t="s">
        <v>211</v>
      </c>
      <c r="E37" s="1095">
        <v>83990</v>
      </c>
      <c r="F37" s="1095" t="s">
        <v>197</v>
      </c>
      <c r="G37" s="1095">
        <v>9</v>
      </c>
      <c r="H37" s="1095"/>
      <c r="I37" s="1095"/>
      <c r="J37" s="1607">
        <f>18868948-2096550</f>
        <v>16772398</v>
      </c>
      <c r="K37" s="1110"/>
      <c r="L37" s="1110"/>
      <c r="M37" s="1110"/>
      <c r="N37" s="1109">
        <f t="shared" si="4"/>
        <v>16772398</v>
      </c>
      <c r="O37" s="1110"/>
      <c r="P37" s="1109">
        <f t="shared" si="2"/>
        <v>0</v>
      </c>
      <c r="Q37" s="1109"/>
      <c r="R37" s="1109">
        <f t="shared" si="3"/>
        <v>16772398</v>
      </c>
      <c r="S37" s="1109"/>
      <c r="T37" s="1554"/>
      <c r="U37" s="1083">
        <v>16772398</v>
      </c>
      <c r="V37" s="1083">
        <v>16772398</v>
      </c>
      <c r="W37" s="1083">
        <v>16772398</v>
      </c>
      <c r="X37" s="1083">
        <f t="shared" si="12"/>
        <v>0</v>
      </c>
      <c r="Y37" s="1083"/>
      <c r="Z37" s="1083"/>
      <c r="AA37" s="1083"/>
      <c r="AB37" s="1083"/>
      <c r="AC37" s="1083"/>
      <c r="AD37" s="1083"/>
      <c r="AE37" s="1080" t="s">
        <v>203</v>
      </c>
      <c r="AF37" s="1080" t="s">
        <v>1323</v>
      </c>
    </row>
    <row r="38" spans="1:32" s="1084" customFormat="1" ht="25.5">
      <c r="A38"/>
      <c r="B38"/>
      <c r="C38" s="1357" t="s">
        <v>872</v>
      </c>
      <c r="D38" s="1089" t="s">
        <v>211</v>
      </c>
      <c r="E38" s="1089">
        <v>83990</v>
      </c>
      <c r="F38" s="1089" t="s">
        <v>197</v>
      </c>
      <c r="G38" s="1089">
        <v>9</v>
      </c>
      <c r="H38" s="1089"/>
      <c r="I38" s="1089"/>
      <c r="J38" s="1588">
        <f>18868948-3144825</f>
        <v>15724123</v>
      </c>
      <c r="K38" s="1215"/>
      <c r="L38" s="1215"/>
      <c r="M38" s="1215"/>
      <c r="N38" s="1387">
        <f t="shared" si="4"/>
        <v>15724123</v>
      </c>
      <c r="O38" s="1215"/>
      <c r="P38" s="1387">
        <f t="shared" si="2"/>
        <v>0</v>
      </c>
      <c r="Q38" s="1387"/>
      <c r="R38" s="1387">
        <f t="shared" si="3"/>
        <v>15724123</v>
      </c>
      <c r="S38" s="1387"/>
      <c r="T38" s="1586"/>
      <c r="U38" s="1085">
        <v>15724123</v>
      </c>
      <c r="V38" s="1085"/>
      <c r="W38" s="1085"/>
      <c r="X38" s="1085">
        <f>+U38-V38</f>
        <v>15724123</v>
      </c>
      <c r="Y38" s="1085"/>
      <c r="Z38" s="1085"/>
      <c r="AA38" s="1085"/>
      <c r="AB38" s="1085"/>
      <c r="AC38" s="1085"/>
      <c r="AD38" s="1085"/>
      <c r="AE38" s="1084" t="s">
        <v>203</v>
      </c>
      <c r="AF38" s="1084" t="s">
        <v>1323</v>
      </c>
    </row>
    <row r="39" spans="1:32" s="1084" customFormat="1" ht="25.5">
      <c r="A39"/>
      <c r="B39"/>
      <c r="C39" s="1357" t="s">
        <v>535</v>
      </c>
      <c r="D39" s="1089" t="s">
        <v>211</v>
      </c>
      <c r="E39" s="1089">
        <v>83990</v>
      </c>
      <c r="F39" s="1089" t="s">
        <v>197</v>
      </c>
      <c r="G39" s="1089">
        <v>9</v>
      </c>
      <c r="H39" s="1089"/>
      <c r="I39" s="1089"/>
      <c r="J39" s="1215">
        <f>37222030.944-37222030.944</f>
        <v>0</v>
      </c>
      <c r="K39" s="1215"/>
      <c r="L39" s="1215"/>
      <c r="M39" s="1215"/>
      <c r="N39" s="1387">
        <f t="shared" si="4"/>
        <v>0</v>
      </c>
      <c r="O39" s="1215"/>
      <c r="P39" s="1387">
        <f t="shared" si="2"/>
        <v>0</v>
      </c>
      <c r="Q39" s="1387"/>
      <c r="R39" s="1387">
        <f t="shared" si="3"/>
        <v>0</v>
      </c>
      <c r="S39" s="1387"/>
      <c r="T39" s="1586"/>
      <c r="U39" s="1085">
        <v>0</v>
      </c>
      <c r="V39" s="1085"/>
      <c r="W39" s="1085"/>
      <c r="X39" s="1085">
        <f t="shared" ref="X39:X40" si="13">+U39-V39</f>
        <v>0</v>
      </c>
      <c r="Y39" s="1085"/>
      <c r="Z39" s="1085"/>
      <c r="AA39" s="1085"/>
      <c r="AB39" s="1085"/>
      <c r="AC39" s="1085"/>
      <c r="AD39" s="1085"/>
      <c r="AE39" s="1084" t="s">
        <v>203</v>
      </c>
      <c r="AF39" s="1084" t="s">
        <v>1323</v>
      </c>
    </row>
    <row r="40" spans="1:32" s="1084" customFormat="1" ht="25.5">
      <c r="A40"/>
      <c r="B40"/>
      <c r="C40" s="1357" t="s">
        <v>536</v>
      </c>
      <c r="D40" s="1089" t="s">
        <v>211</v>
      </c>
      <c r="E40" s="1089">
        <v>83990</v>
      </c>
      <c r="F40" s="1089" t="s">
        <v>197</v>
      </c>
      <c r="G40" s="1089">
        <v>9</v>
      </c>
      <c r="H40" s="1089"/>
      <c r="I40" s="1089"/>
      <c r="J40" s="1215">
        <f>19505389.716-19505389.716</f>
        <v>0</v>
      </c>
      <c r="K40" s="1215"/>
      <c r="L40" s="1215"/>
      <c r="M40" s="1215"/>
      <c r="N40" s="1387">
        <f t="shared" si="4"/>
        <v>0</v>
      </c>
      <c r="O40" s="1215"/>
      <c r="P40" s="1387">
        <f t="shared" si="2"/>
        <v>0</v>
      </c>
      <c r="Q40" s="1387"/>
      <c r="R40" s="1387">
        <f t="shared" si="3"/>
        <v>0</v>
      </c>
      <c r="S40" s="1387"/>
      <c r="T40" s="1586"/>
      <c r="U40" s="1085">
        <v>0</v>
      </c>
      <c r="V40" s="1085"/>
      <c r="W40" s="1085"/>
      <c r="X40" s="1085">
        <f t="shared" si="13"/>
        <v>0</v>
      </c>
      <c r="Y40" s="1085"/>
      <c r="Z40" s="1085"/>
      <c r="AA40" s="1085"/>
      <c r="AB40" s="1085"/>
      <c r="AC40" s="1085"/>
      <c r="AD40" s="1085"/>
      <c r="AE40" s="1084" t="s">
        <v>203</v>
      </c>
      <c r="AF40" s="1084" t="s">
        <v>1323</v>
      </c>
    </row>
    <row r="41" spans="1:32" s="1080" customFormat="1" ht="25.5">
      <c r="A41"/>
      <c r="B41"/>
      <c r="C41" s="1380" t="s">
        <v>422</v>
      </c>
      <c r="D41" s="1095" t="s">
        <v>211</v>
      </c>
      <c r="E41" s="1095">
        <v>83931</v>
      </c>
      <c r="F41" s="1095" t="s">
        <v>197</v>
      </c>
      <c r="G41" s="1095">
        <v>11</v>
      </c>
      <c r="H41" s="1095"/>
      <c r="I41" s="1095"/>
      <c r="J41" s="1110">
        <f>63577491.78-2349556-2783087.78</f>
        <v>58444848</v>
      </c>
      <c r="K41" s="1110"/>
      <c r="L41" s="1110"/>
      <c r="M41" s="1110"/>
      <c r="N41" s="1109">
        <f t="shared" si="4"/>
        <v>58444848</v>
      </c>
      <c r="O41" s="1110"/>
      <c r="P41" s="1109">
        <f t="shared" si="2"/>
        <v>0</v>
      </c>
      <c r="Q41" s="1109"/>
      <c r="R41" s="1109">
        <f t="shared" si="3"/>
        <v>58444848</v>
      </c>
      <c r="S41" s="1109"/>
      <c r="T41" s="1554"/>
      <c r="U41" s="1083">
        <v>58444848</v>
      </c>
      <c r="V41" s="1083">
        <v>58444848</v>
      </c>
      <c r="W41" s="1083">
        <v>58444848</v>
      </c>
      <c r="X41" s="1083">
        <f>+U41-W41</f>
        <v>0</v>
      </c>
      <c r="Y41" s="1083"/>
      <c r="Z41" s="1083"/>
      <c r="AA41" s="1083"/>
      <c r="AB41" s="1083"/>
      <c r="AC41" s="1083"/>
      <c r="AD41" s="1083"/>
      <c r="AE41" s="1080" t="s">
        <v>203</v>
      </c>
      <c r="AF41" s="1080" t="s">
        <v>1323</v>
      </c>
    </row>
    <row r="42" spans="1:32" s="1080" customFormat="1" ht="25.5">
      <c r="A42"/>
      <c r="B42"/>
      <c r="C42" s="1380" t="s">
        <v>537</v>
      </c>
      <c r="D42" s="1095" t="s">
        <v>211</v>
      </c>
      <c r="E42" s="1095">
        <v>83990</v>
      </c>
      <c r="F42" s="1095" t="s">
        <v>197</v>
      </c>
      <c r="G42" s="1095">
        <v>9</v>
      </c>
      <c r="H42" s="1095"/>
      <c r="I42" s="1095"/>
      <c r="J42" s="1607">
        <f>19505389.716-636441.715999998-2096550</f>
        <v>16772398</v>
      </c>
      <c r="K42" s="1110"/>
      <c r="L42" s="1110"/>
      <c r="M42" s="1110"/>
      <c r="N42" s="1109">
        <f t="shared" si="4"/>
        <v>16772398</v>
      </c>
      <c r="O42" s="1110"/>
      <c r="P42" s="1109">
        <f t="shared" si="2"/>
        <v>0</v>
      </c>
      <c r="Q42" s="1109"/>
      <c r="R42" s="1109">
        <f t="shared" si="3"/>
        <v>16772398</v>
      </c>
      <c r="S42" s="1109"/>
      <c r="T42" s="1554"/>
      <c r="U42" s="1083">
        <v>16772398</v>
      </c>
      <c r="V42" s="1083">
        <v>16772398</v>
      </c>
      <c r="W42" s="1083">
        <v>16772398</v>
      </c>
      <c r="X42" s="1083">
        <f t="shared" ref="X42:X64" si="14">+U42-W42</f>
        <v>0</v>
      </c>
      <c r="Y42" s="1083"/>
      <c r="Z42" s="1083"/>
      <c r="AA42" s="1083"/>
      <c r="AB42" s="1083"/>
      <c r="AC42" s="1083"/>
      <c r="AD42" s="1083"/>
      <c r="AE42" s="1080" t="s">
        <v>203</v>
      </c>
      <c r="AF42" s="1080" t="s">
        <v>1323</v>
      </c>
    </row>
    <row r="43" spans="1:32" s="1080" customFormat="1" ht="25.5">
      <c r="A43"/>
      <c r="B43"/>
      <c r="C43" s="1380" t="s">
        <v>538</v>
      </c>
      <c r="D43" s="1095" t="s">
        <v>211</v>
      </c>
      <c r="E43" s="1095">
        <v>83990</v>
      </c>
      <c r="F43" s="1095" t="s">
        <v>197</v>
      </c>
      <c r="G43" s="1095">
        <v>9</v>
      </c>
      <c r="H43" s="1095"/>
      <c r="I43" s="1095"/>
      <c r="J43" s="1607">
        <f>19505389.716-636441.715999998-2096550</f>
        <v>16772398</v>
      </c>
      <c r="K43" s="1110"/>
      <c r="L43" s="1110"/>
      <c r="M43" s="1110"/>
      <c r="N43" s="1109">
        <f t="shared" si="4"/>
        <v>16772398</v>
      </c>
      <c r="O43" s="1110"/>
      <c r="P43" s="1109">
        <f t="shared" si="2"/>
        <v>0</v>
      </c>
      <c r="Q43" s="1109"/>
      <c r="R43" s="1109">
        <f t="shared" si="3"/>
        <v>16772398</v>
      </c>
      <c r="S43" s="1109"/>
      <c r="T43" s="1554"/>
      <c r="U43" s="1083">
        <v>16772398</v>
      </c>
      <c r="V43" s="1083">
        <v>16772398</v>
      </c>
      <c r="W43" s="1083">
        <v>16772398</v>
      </c>
      <c r="X43" s="1083">
        <f t="shared" si="14"/>
        <v>0</v>
      </c>
      <c r="Y43" s="1083"/>
      <c r="Z43" s="1083"/>
      <c r="AA43" s="1083"/>
      <c r="AB43" s="1083"/>
      <c r="AC43" s="1083"/>
      <c r="AD43" s="1083"/>
      <c r="AE43" s="1080" t="s">
        <v>203</v>
      </c>
      <c r="AF43" s="1080" t="s">
        <v>1323</v>
      </c>
    </row>
    <row r="44" spans="1:32" s="1080" customFormat="1" ht="25.5">
      <c r="A44"/>
      <c r="B44"/>
      <c r="C44" s="1380" t="s">
        <v>539</v>
      </c>
      <c r="D44" s="1095" t="s">
        <v>211</v>
      </c>
      <c r="E44" s="1095">
        <v>83990</v>
      </c>
      <c r="F44" s="1095" t="s">
        <v>197</v>
      </c>
      <c r="G44" s="1095">
        <v>9</v>
      </c>
      <c r="H44" s="1095"/>
      <c r="I44" s="1095"/>
      <c r="J44" s="1607">
        <f>21672655.24-2803707.24-2096550</f>
        <v>16772398</v>
      </c>
      <c r="K44" s="1110"/>
      <c r="L44" s="1110"/>
      <c r="M44" s="1110"/>
      <c r="N44" s="1109">
        <f t="shared" si="4"/>
        <v>16772398</v>
      </c>
      <c r="O44" s="1110"/>
      <c r="P44" s="1109">
        <f t="shared" ref="P44:P80" si="15">SUM(O44:O44)</f>
        <v>0</v>
      </c>
      <c r="Q44" s="1109"/>
      <c r="R44" s="1109">
        <f t="shared" ref="R44:R80" si="16">+Q44+P44+N44</f>
        <v>16772398</v>
      </c>
      <c r="S44" s="1109"/>
      <c r="T44" s="1554"/>
      <c r="U44" s="1083">
        <v>16772398</v>
      </c>
      <c r="V44" s="1083">
        <v>16772398</v>
      </c>
      <c r="W44" s="1083">
        <v>16772398</v>
      </c>
      <c r="X44" s="1083">
        <f t="shared" si="14"/>
        <v>0</v>
      </c>
      <c r="Y44" s="1083"/>
      <c r="Z44" s="1083"/>
      <c r="AA44" s="1083"/>
      <c r="AB44" s="1083"/>
      <c r="AC44" s="1083"/>
      <c r="AD44" s="1083"/>
      <c r="AE44" s="1080" t="s">
        <v>203</v>
      </c>
      <c r="AF44" s="1080" t="s">
        <v>1323</v>
      </c>
    </row>
    <row r="45" spans="1:32" s="1080" customFormat="1" ht="25.5">
      <c r="A45"/>
      <c r="B45"/>
      <c r="C45" s="1380" t="s">
        <v>423</v>
      </c>
      <c r="D45" s="1095" t="s">
        <v>211</v>
      </c>
      <c r="E45" s="1095">
        <v>83931</v>
      </c>
      <c r="F45" s="1095" t="s">
        <v>197</v>
      </c>
      <c r="G45" s="1095">
        <v>11</v>
      </c>
      <c r="H45" s="1095"/>
      <c r="I45" s="1095"/>
      <c r="J45" s="1607">
        <f>63577491.78-2349556-2783087.78</f>
        <v>58444848</v>
      </c>
      <c r="K45" s="1110"/>
      <c r="L45" s="1110"/>
      <c r="M45" s="1110"/>
      <c r="N45" s="1109">
        <f t="shared" si="4"/>
        <v>58444848</v>
      </c>
      <c r="O45" s="1110"/>
      <c r="P45" s="1109">
        <f t="shared" si="15"/>
        <v>0</v>
      </c>
      <c r="Q45" s="1109"/>
      <c r="R45" s="1109">
        <f t="shared" si="16"/>
        <v>58444848</v>
      </c>
      <c r="S45" s="1109"/>
      <c r="T45" s="1554"/>
      <c r="U45" s="1083">
        <v>58444848</v>
      </c>
      <c r="V45" s="1083">
        <v>58444848</v>
      </c>
      <c r="W45" s="1083">
        <v>58444848</v>
      </c>
      <c r="X45" s="1083">
        <f t="shared" si="14"/>
        <v>0</v>
      </c>
      <c r="Y45" s="1083"/>
      <c r="Z45" s="1083"/>
      <c r="AA45" s="1083"/>
      <c r="AB45" s="1083"/>
      <c r="AC45" s="1083"/>
      <c r="AD45" s="1083"/>
      <c r="AE45" s="1080" t="s">
        <v>203</v>
      </c>
      <c r="AF45" s="1080" t="s">
        <v>1323</v>
      </c>
    </row>
    <row r="46" spans="1:32" s="1080" customFormat="1" ht="28.5" customHeight="1">
      <c r="A46"/>
      <c r="B46"/>
      <c r="C46" s="1380" t="s">
        <v>873</v>
      </c>
      <c r="D46" s="1095" t="s">
        <v>211</v>
      </c>
      <c r="E46" s="1095">
        <v>83931</v>
      </c>
      <c r="F46" s="1095" t="s">
        <v>197</v>
      </c>
      <c r="G46" s="1095">
        <v>9</v>
      </c>
      <c r="H46" s="1095"/>
      <c r="I46" s="1095"/>
      <c r="J46" s="1607">
        <f>39297320.028-6541932.028</f>
        <v>32755387.999999996</v>
      </c>
      <c r="K46" s="1110">
        <f>+K11+K13+K14+K22+K23+K24+K27+K28+K29+K31+K34</f>
        <v>0</v>
      </c>
      <c r="L46" s="1110"/>
      <c r="M46" s="1110"/>
      <c r="N46" s="1109">
        <f t="shared" si="4"/>
        <v>32755387.999999996</v>
      </c>
      <c r="O46" s="1110"/>
      <c r="P46" s="1109">
        <f t="shared" si="15"/>
        <v>0</v>
      </c>
      <c r="Q46" s="1109"/>
      <c r="R46" s="1109">
        <f t="shared" si="16"/>
        <v>32755387.999999996</v>
      </c>
      <c r="S46" s="1109"/>
      <c r="T46" s="1554"/>
      <c r="U46" s="1083">
        <v>32755387.999999996</v>
      </c>
      <c r="V46" s="1083">
        <v>32755388</v>
      </c>
      <c r="W46" s="1083">
        <v>32755388</v>
      </c>
      <c r="X46" s="1083">
        <f t="shared" si="14"/>
        <v>0</v>
      </c>
      <c r="Y46" s="1083"/>
      <c r="Z46" s="1083"/>
      <c r="AA46" s="1083"/>
      <c r="AB46" s="1083"/>
      <c r="AC46" s="1083"/>
      <c r="AD46" s="1083"/>
      <c r="AE46" s="1080" t="s">
        <v>203</v>
      </c>
      <c r="AF46" s="1080" t="s">
        <v>1323</v>
      </c>
    </row>
    <row r="47" spans="1:32" s="1080" customFormat="1" ht="25.5">
      <c r="A47"/>
      <c r="B47"/>
      <c r="C47" s="1380" t="s">
        <v>874</v>
      </c>
      <c r="D47" s="1095" t="s">
        <v>211</v>
      </c>
      <c r="E47" s="1095">
        <v>83931</v>
      </c>
      <c r="F47" s="1095" t="s">
        <v>197</v>
      </c>
      <c r="G47" s="1095">
        <v>9</v>
      </c>
      <c r="H47" s="1095"/>
      <c r="I47" s="1095"/>
      <c r="J47" s="1607">
        <f>39297320.028-6541932.028</f>
        <v>32755387.999999996</v>
      </c>
      <c r="K47" s="1110"/>
      <c r="L47" s="1110"/>
      <c r="M47" s="1110"/>
      <c r="N47" s="1109">
        <f t="shared" si="4"/>
        <v>32755387.999999996</v>
      </c>
      <c r="O47" s="1110"/>
      <c r="P47" s="1109">
        <f t="shared" si="15"/>
        <v>0</v>
      </c>
      <c r="Q47" s="1109"/>
      <c r="R47" s="1109">
        <f t="shared" si="16"/>
        <v>32755387.999999996</v>
      </c>
      <c r="S47" s="1109"/>
      <c r="T47" s="1554"/>
      <c r="U47" s="1083">
        <v>32755387.999999996</v>
      </c>
      <c r="V47" s="1083">
        <v>32755388</v>
      </c>
      <c r="W47" s="1083">
        <v>32755388</v>
      </c>
      <c r="X47" s="1083">
        <f t="shared" si="14"/>
        <v>0</v>
      </c>
      <c r="Y47" s="1083"/>
      <c r="Z47" s="1083"/>
      <c r="AA47" s="1083"/>
      <c r="AB47" s="1083"/>
      <c r="AC47" s="1083"/>
      <c r="AD47" s="1083"/>
      <c r="AE47" s="1080" t="s">
        <v>203</v>
      </c>
      <c r="AF47" s="1080" t="s">
        <v>1323</v>
      </c>
    </row>
    <row r="48" spans="1:32" s="1080" customFormat="1" ht="25.5">
      <c r="A48"/>
      <c r="B48"/>
      <c r="C48" s="1380" t="s">
        <v>875</v>
      </c>
      <c r="D48" s="1095" t="s">
        <v>211</v>
      </c>
      <c r="E48" s="1095">
        <v>83931</v>
      </c>
      <c r="F48" s="1095" t="s">
        <v>197</v>
      </c>
      <c r="G48" s="1095">
        <v>9</v>
      </c>
      <c r="H48" s="1095"/>
      <c r="I48" s="1095"/>
      <c r="J48" s="1607">
        <f>18868948-2096550</f>
        <v>16772398</v>
      </c>
      <c r="K48" s="1110"/>
      <c r="L48" s="1110"/>
      <c r="M48" s="1110"/>
      <c r="N48" s="1109">
        <f t="shared" si="4"/>
        <v>16772398</v>
      </c>
      <c r="O48" s="1110"/>
      <c r="P48" s="1109">
        <f t="shared" si="15"/>
        <v>0</v>
      </c>
      <c r="Q48" s="1109"/>
      <c r="R48" s="1109">
        <f t="shared" si="16"/>
        <v>16772398</v>
      </c>
      <c r="S48" s="1109"/>
      <c r="T48" s="1554"/>
      <c r="U48" s="1083">
        <v>16772398</v>
      </c>
      <c r="V48" s="1083">
        <v>16772398</v>
      </c>
      <c r="W48" s="1083">
        <v>16772398</v>
      </c>
      <c r="X48" s="1083">
        <f t="shared" si="14"/>
        <v>0</v>
      </c>
      <c r="Y48" s="1083"/>
      <c r="Z48" s="1083"/>
      <c r="AA48" s="1083"/>
      <c r="AB48" s="1083"/>
      <c r="AC48" s="1083"/>
      <c r="AD48" s="1083"/>
      <c r="AE48" s="1080" t="s">
        <v>203</v>
      </c>
      <c r="AF48" s="1080" t="s">
        <v>1323</v>
      </c>
    </row>
    <row r="49" spans="1:32" s="1080" customFormat="1" ht="25.5">
      <c r="A49"/>
      <c r="B49"/>
      <c r="C49" s="1380" t="s">
        <v>876</v>
      </c>
      <c r="D49" s="1095" t="s">
        <v>211</v>
      </c>
      <c r="E49" s="1095">
        <v>83931</v>
      </c>
      <c r="F49" s="1095" t="s">
        <v>197</v>
      </c>
      <c r="G49" s="1095">
        <v>9</v>
      </c>
      <c r="H49" s="1095"/>
      <c r="I49" s="1095"/>
      <c r="J49" s="1607">
        <v>0</v>
      </c>
      <c r="K49" s="1110"/>
      <c r="L49" s="1110"/>
      <c r="M49" s="1110"/>
      <c r="N49" s="1109">
        <f t="shared" si="4"/>
        <v>0</v>
      </c>
      <c r="O49" s="1607">
        <v>16772398</v>
      </c>
      <c r="P49" s="1109">
        <f t="shared" si="15"/>
        <v>16772398</v>
      </c>
      <c r="Q49" s="1109"/>
      <c r="R49" s="1109">
        <f t="shared" si="16"/>
        <v>16772398</v>
      </c>
      <c r="S49" s="1109"/>
      <c r="T49" s="1554"/>
      <c r="U49" s="1083">
        <v>16772398</v>
      </c>
      <c r="V49" s="1083">
        <v>16772398</v>
      </c>
      <c r="W49" s="1083">
        <v>16772398</v>
      </c>
      <c r="X49" s="1083">
        <f t="shared" si="14"/>
        <v>0</v>
      </c>
      <c r="Y49" s="1083"/>
      <c r="Z49" s="1083"/>
      <c r="AA49" s="1083"/>
      <c r="AB49" s="1083"/>
      <c r="AC49" s="1083"/>
      <c r="AD49" s="1083"/>
      <c r="AE49" s="1080" t="s">
        <v>203</v>
      </c>
      <c r="AF49" s="1080" t="s">
        <v>1323</v>
      </c>
    </row>
    <row r="50" spans="1:32" s="1084" customFormat="1" ht="25.5">
      <c r="A50"/>
      <c r="B50"/>
      <c r="C50" s="1357" t="s">
        <v>540</v>
      </c>
      <c r="D50" s="1089" t="s">
        <v>211</v>
      </c>
      <c r="E50" s="1089">
        <v>83990</v>
      </c>
      <c r="F50" s="1089" t="s">
        <v>197</v>
      </c>
      <c r="G50" s="1089">
        <v>10</v>
      </c>
      <c r="H50" s="1089"/>
      <c r="I50" s="1089"/>
      <c r="J50" s="1588">
        <f>19505389.716-19505389.716</f>
        <v>0</v>
      </c>
      <c r="K50" s="1215"/>
      <c r="L50" s="1215"/>
      <c r="M50" s="1215"/>
      <c r="N50" s="1387">
        <f t="shared" si="4"/>
        <v>0</v>
      </c>
      <c r="O50" s="1215"/>
      <c r="P50" s="1387">
        <f t="shared" si="15"/>
        <v>0</v>
      </c>
      <c r="Q50" s="1387"/>
      <c r="R50" s="1387">
        <f t="shared" si="16"/>
        <v>0</v>
      </c>
      <c r="S50" s="1387"/>
      <c r="T50" s="1586"/>
      <c r="U50" s="1085">
        <v>0</v>
      </c>
      <c r="V50" s="1085"/>
      <c r="W50" s="1085"/>
      <c r="X50" s="1085">
        <f>+U50-V50</f>
        <v>0</v>
      </c>
      <c r="Y50" s="1085"/>
      <c r="Z50" s="1085"/>
      <c r="AA50" s="1085"/>
      <c r="AB50" s="1085"/>
      <c r="AC50" s="1085"/>
      <c r="AD50" s="1085"/>
      <c r="AE50" s="1084" t="s">
        <v>203</v>
      </c>
      <c r="AF50" s="1084" t="s">
        <v>1323</v>
      </c>
    </row>
    <row r="51" spans="1:32" s="1080" customFormat="1" ht="25.5">
      <c r="A51"/>
      <c r="B51"/>
      <c r="C51" s="1380" t="s">
        <v>424</v>
      </c>
      <c r="D51" s="1095" t="s">
        <v>211</v>
      </c>
      <c r="E51" s="1095">
        <v>83931</v>
      </c>
      <c r="F51" s="1095" t="s">
        <v>197</v>
      </c>
      <c r="G51" s="1095">
        <v>11</v>
      </c>
      <c r="H51" s="1095"/>
      <c r="I51" s="1095"/>
      <c r="J51" s="1607">
        <f>63577491.78-2349556-2783087.78</f>
        <v>58444848</v>
      </c>
      <c r="K51" s="1110"/>
      <c r="L51" s="1110"/>
      <c r="M51" s="1110"/>
      <c r="N51" s="1109">
        <f t="shared" si="4"/>
        <v>58444848</v>
      </c>
      <c r="O51" s="1110"/>
      <c r="P51" s="1109">
        <f t="shared" si="15"/>
        <v>0</v>
      </c>
      <c r="Q51" s="1109"/>
      <c r="R51" s="1109">
        <f t="shared" si="16"/>
        <v>58444848</v>
      </c>
      <c r="S51" s="1109"/>
      <c r="T51" s="1554"/>
      <c r="U51" s="1083">
        <v>58444848</v>
      </c>
      <c r="V51" s="1083">
        <v>58444848</v>
      </c>
      <c r="W51" s="1083">
        <v>58444848</v>
      </c>
      <c r="X51" s="1083">
        <f t="shared" si="14"/>
        <v>0</v>
      </c>
      <c r="Y51" s="1083"/>
      <c r="Z51" s="1083"/>
      <c r="AA51" s="1083"/>
      <c r="AB51" s="1083"/>
      <c r="AC51" s="1083"/>
      <c r="AD51" s="1083"/>
      <c r="AE51" s="1080" t="s">
        <v>203</v>
      </c>
      <c r="AF51" s="1080" t="s">
        <v>1323</v>
      </c>
    </row>
    <row r="52" spans="1:32" s="1080" customFormat="1" ht="25.5">
      <c r="A52"/>
      <c r="B52"/>
      <c r="C52" s="1380" t="s">
        <v>877</v>
      </c>
      <c r="D52" s="1095" t="s">
        <v>211</v>
      </c>
      <c r="E52" s="1095">
        <v>83931</v>
      </c>
      <c r="F52" s="1095" t="s">
        <v>197</v>
      </c>
      <c r="G52" s="1095">
        <v>11</v>
      </c>
      <c r="H52" s="1095"/>
      <c r="I52" s="1095"/>
      <c r="J52" s="1607">
        <v>34802603</v>
      </c>
      <c r="K52" s="1110"/>
      <c r="L52" s="1110"/>
      <c r="M52" s="1110"/>
      <c r="N52" s="1109">
        <f t="shared" si="4"/>
        <v>34802603</v>
      </c>
      <c r="O52" s="1110"/>
      <c r="P52" s="1109">
        <f t="shared" si="15"/>
        <v>0</v>
      </c>
      <c r="Q52" s="1109"/>
      <c r="R52" s="1109">
        <f t="shared" si="16"/>
        <v>34802603</v>
      </c>
      <c r="S52" s="1109"/>
      <c r="T52" s="1554"/>
      <c r="U52" s="1083">
        <v>34802603</v>
      </c>
      <c r="V52" s="1083">
        <v>34802603</v>
      </c>
      <c r="W52" s="1083">
        <v>34802603</v>
      </c>
      <c r="X52" s="1083">
        <f t="shared" si="14"/>
        <v>0</v>
      </c>
      <c r="Y52" s="1083"/>
      <c r="Z52" s="1083"/>
      <c r="AA52" s="1083"/>
      <c r="AB52" s="1083"/>
      <c r="AC52" s="1083"/>
      <c r="AD52" s="1083"/>
      <c r="AE52" s="1080" t="s">
        <v>203</v>
      </c>
      <c r="AF52" s="1080" t="s">
        <v>1323</v>
      </c>
    </row>
    <row r="53" spans="1:32" s="1080" customFormat="1" ht="25.5">
      <c r="A53"/>
      <c r="B53"/>
      <c r="C53" s="1380" t="s">
        <v>543</v>
      </c>
      <c r="D53" s="1095" t="s">
        <v>211</v>
      </c>
      <c r="E53" s="1095">
        <v>83990</v>
      </c>
      <c r="F53" s="1095" t="s">
        <v>197</v>
      </c>
      <c r="G53" s="1095">
        <v>10</v>
      </c>
      <c r="H53" s="1095"/>
      <c r="I53" s="1095"/>
      <c r="J53" s="1607">
        <f>19505389.716-636441.715999998-2096550</f>
        <v>16772398</v>
      </c>
      <c r="K53" s="1110"/>
      <c r="L53" s="1110"/>
      <c r="M53" s="1110"/>
      <c r="N53" s="1109">
        <f t="shared" si="4"/>
        <v>16772398</v>
      </c>
      <c r="O53" s="1110"/>
      <c r="P53" s="1109">
        <f t="shared" si="15"/>
        <v>0</v>
      </c>
      <c r="Q53" s="1109"/>
      <c r="R53" s="1109">
        <f t="shared" si="16"/>
        <v>16772398</v>
      </c>
      <c r="S53" s="1109"/>
      <c r="T53" s="1554"/>
      <c r="U53" s="1083">
        <v>16772398</v>
      </c>
      <c r="V53" s="1083">
        <v>16772398</v>
      </c>
      <c r="W53" s="1083">
        <v>16772398</v>
      </c>
      <c r="X53" s="1083">
        <f t="shared" si="14"/>
        <v>0</v>
      </c>
      <c r="Y53" s="1083"/>
      <c r="Z53" s="1083"/>
      <c r="AA53" s="1083"/>
      <c r="AB53" s="1083"/>
      <c r="AC53" s="1083"/>
      <c r="AD53" s="1083"/>
      <c r="AE53" s="1080" t="s">
        <v>203</v>
      </c>
      <c r="AF53" s="1080" t="s">
        <v>1323</v>
      </c>
    </row>
    <row r="54" spans="1:32" s="1080" customFormat="1" ht="25.5">
      <c r="A54"/>
      <c r="B54"/>
      <c r="C54" s="1380" t="s">
        <v>544</v>
      </c>
      <c r="D54" s="1095" t="s">
        <v>211</v>
      </c>
      <c r="E54" s="1095">
        <v>83990</v>
      </c>
      <c r="F54" s="1095" t="s">
        <v>197</v>
      </c>
      <c r="G54" s="1095">
        <v>10</v>
      </c>
      <c r="H54" s="1095"/>
      <c r="I54" s="1095"/>
      <c r="J54" s="1607">
        <f>19505389.716-636441.715999998-18868948</f>
        <v>0</v>
      </c>
      <c r="K54" s="1110"/>
      <c r="L54" s="1110"/>
      <c r="M54" s="1110"/>
      <c r="N54" s="1109">
        <f t="shared" ref="N54" si="17">SUM(J54:M54)</f>
        <v>0</v>
      </c>
      <c r="O54" s="1608">
        <v>15724124</v>
      </c>
      <c r="P54" s="1109">
        <f t="shared" ref="P54" si="18">SUM(O54:O54)</f>
        <v>15724124</v>
      </c>
      <c r="Q54" s="1109"/>
      <c r="R54" s="1109">
        <f t="shared" ref="R54" si="19">+Q54+P54+N54</f>
        <v>15724124</v>
      </c>
      <c r="S54" s="1109"/>
      <c r="T54" s="1554"/>
      <c r="U54" s="1083">
        <v>16772398</v>
      </c>
      <c r="V54" s="1083">
        <v>15724124</v>
      </c>
      <c r="W54" s="1083">
        <v>15724124</v>
      </c>
      <c r="X54" s="1083">
        <f t="shared" ref="X54" si="20">+U54-W54</f>
        <v>1048274</v>
      </c>
      <c r="Y54" s="1083"/>
      <c r="Z54" s="1083"/>
      <c r="AA54" s="1083"/>
      <c r="AB54" s="1083"/>
      <c r="AC54" s="1083"/>
      <c r="AD54" s="1083"/>
      <c r="AE54" s="1080" t="s">
        <v>203</v>
      </c>
      <c r="AF54" s="1080" t="s">
        <v>1323</v>
      </c>
    </row>
    <row r="55" spans="1:32" s="1084" customFormat="1" ht="25.5">
      <c r="A55"/>
      <c r="B55"/>
      <c r="C55" s="1357" t="s">
        <v>544</v>
      </c>
      <c r="D55" s="1089" t="s">
        <v>211</v>
      </c>
      <c r="E55" s="1089">
        <v>83990</v>
      </c>
      <c r="F55" s="1089" t="s">
        <v>197</v>
      </c>
      <c r="G55" s="1089">
        <v>10</v>
      </c>
      <c r="H55" s="1089"/>
      <c r="I55" s="1089"/>
      <c r="J55" s="1588">
        <f>19505389.716-636441.715999998-18868948</f>
        <v>0</v>
      </c>
      <c r="K55" s="1215"/>
      <c r="L55" s="1215"/>
      <c r="M55" s="1215"/>
      <c r="N55" s="1387">
        <f t="shared" si="4"/>
        <v>0</v>
      </c>
      <c r="O55" s="1589">
        <f>16772398-O54</f>
        <v>1048274</v>
      </c>
      <c r="P55" s="1387">
        <f t="shared" si="15"/>
        <v>1048274</v>
      </c>
      <c r="Q55" s="1387"/>
      <c r="R55" s="1387">
        <f t="shared" si="16"/>
        <v>1048274</v>
      </c>
      <c r="S55" s="1387"/>
      <c r="T55" s="1586"/>
      <c r="U55" s="1085">
        <v>16772398</v>
      </c>
      <c r="V55" s="1085">
        <v>15724124</v>
      </c>
      <c r="W55" s="1085">
        <v>15724124</v>
      </c>
      <c r="X55" s="1085">
        <f t="shared" si="14"/>
        <v>1048274</v>
      </c>
      <c r="Y55" s="1085"/>
      <c r="Z55" s="1085"/>
      <c r="AA55" s="1085"/>
      <c r="AB55" s="1085"/>
      <c r="AC55" s="1085"/>
      <c r="AD55" s="1085"/>
      <c r="AE55" s="1084" t="s">
        <v>203</v>
      </c>
      <c r="AF55" s="1084" t="s">
        <v>1323</v>
      </c>
    </row>
    <row r="56" spans="1:32" s="1080" customFormat="1" ht="25.5">
      <c r="A56"/>
      <c r="B56"/>
      <c r="C56" s="1380" t="s">
        <v>425</v>
      </c>
      <c r="D56" s="1095" t="s">
        <v>211</v>
      </c>
      <c r="E56" s="1095">
        <v>83931</v>
      </c>
      <c r="F56" s="1095" t="s">
        <v>197</v>
      </c>
      <c r="G56" s="1095">
        <v>11</v>
      </c>
      <c r="H56" s="1095"/>
      <c r="I56" s="1095"/>
      <c r="J56" s="1110">
        <v>55661760</v>
      </c>
      <c r="K56" s="1110"/>
      <c r="L56" s="1110"/>
      <c r="M56" s="1110"/>
      <c r="N56" s="1109">
        <f t="shared" si="4"/>
        <v>55661760</v>
      </c>
      <c r="O56" s="1110"/>
      <c r="P56" s="1109">
        <f t="shared" si="15"/>
        <v>0</v>
      </c>
      <c r="Q56" s="1109"/>
      <c r="R56" s="1109">
        <f t="shared" si="16"/>
        <v>55661760</v>
      </c>
      <c r="S56" s="1109"/>
      <c r="T56" s="1554"/>
      <c r="U56" s="1585">
        <v>55661760</v>
      </c>
      <c r="V56" s="1083">
        <v>55661760</v>
      </c>
      <c r="W56" s="1083">
        <v>55661760</v>
      </c>
      <c r="X56" s="1083">
        <f t="shared" si="14"/>
        <v>0</v>
      </c>
      <c r="Y56" s="1083"/>
      <c r="Z56" s="1083"/>
      <c r="AA56" s="1083"/>
      <c r="AB56" s="1083"/>
      <c r="AC56" s="1083"/>
      <c r="AD56" s="1083"/>
      <c r="AE56" s="1080" t="s">
        <v>203</v>
      </c>
      <c r="AF56" s="1080" t="s">
        <v>1323</v>
      </c>
    </row>
    <row r="57" spans="1:32" s="1084" customFormat="1" ht="25.5">
      <c r="A57"/>
      <c r="B57"/>
      <c r="C57" s="1357" t="s">
        <v>548</v>
      </c>
      <c r="D57" s="1089" t="s">
        <v>211</v>
      </c>
      <c r="E57" s="1089">
        <v>83990</v>
      </c>
      <c r="F57" s="1089" t="s">
        <v>197</v>
      </c>
      <c r="G57" s="1089">
        <v>10</v>
      </c>
      <c r="H57" s="1089"/>
      <c r="I57" s="1089"/>
      <c r="J57" s="1588">
        <f>19505389.716-636441.715999998-4193099</f>
        <v>14675849</v>
      </c>
      <c r="K57" s="1215"/>
      <c r="L57" s="1215"/>
      <c r="M57" s="1215"/>
      <c r="N57" s="1387">
        <f t="shared" si="4"/>
        <v>14675849</v>
      </c>
      <c r="O57" s="1215"/>
      <c r="P57" s="1387">
        <f t="shared" si="15"/>
        <v>0</v>
      </c>
      <c r="Q57" s="1387"/>
      <c r="R57" s="1387">
        <f t="shared" si="16"/>
        <v>14675849</v>
      </c>
      <c r="S57" s="1387"/>
      <c r="T57" s="1586"/>
      <c r="U57" s="1085">
        <v>14675849</v>
      </c>
      <c r="V57" s="1085"/>
      <c r="W57" s="1085"/>
      <c r="X57" s="1085">
        <f t="shared" ref="X57:X58" si="21">+U57-V57</f>
        <v>14675849</v>
      </c>
      <c r="Y57" s="1085"/>
      <c r="Z57" s="1085"/>
      <c r="AA57" s="1085"/>
      <c r="AB57" s="1085"/>
      <c r="AC57" s="1085"/>
      <c r="AD57" s="1085"/>
      <c r="AE57" s="1084" t="s">
        <v>203</v>
      </c>
      <c r="AF57" s="1084" t="s">
        <v>1323</v>
      </c>
    </row>
    <row r="58" spans="1:32" s="1084" customFormat="1" ht="25.5">
      <c r="A58"/>
      <c r="B58"/>
      <c r="C58" s="1357" t="s">
        <v>549</v>
      </c>
      <c r="D58" s="1089" t="s">
        <v>211</v>
      </c>
      <c r="E58" s="1089">
        <v>83990</v>
      </c>
      <c r="F58" s="1089" t="s">
        <v>197</v>
      </c>
      <c r="G58" s="1089">
        <v>10</v>
      </c>
      <c r="H58" s="1089"/>
      <c r="I58" s="1089"/>
      <c r="J58" s="1588">
        <f>19505389.716-636441.715999998-4193099</f>
        <v>14675849</v>
      </c>
      <c r="K58" s="1215"/>
      <c r="L58" s="1215"/>
      <c r="M58" s="1215"/>
      <c r="N58" s="1387">
        <f t="shared" si="4"/>
        <v>14675849</v>
      </c>
      <c r="O58" s="1215"/>
      <c r="P58" s="1387">
        <f t="shared" si="15"/>
        <v>0</v>
      </c>
      <c r="Q58" s="1387"/>
      <c r="R58" s="1387">
        <f t="shared" si="16"/>
        <v>14675849</v>
      </c>
      <c r="S58" s="1387"/>
      <c r="T58" s="1586"/>
      <c r="U58" s="1085">
        <v>14675849</v>
      </c>
      <c r="V58" s="1085"/>
      <c r="W58" s="1085"/>
      <c r="X58" s="1085">
        <f t="shared" si="21"/>
        <v>14675849</v>
      </c>
      <c r="Y58" s="1085"/>
      <c r="Z58" s="1085"/>
      <c r="AA58" s="1085"/>
      <c r="AB58" s="1085"/>
      <c r="AC58" s="1085"/>
      <c r="AD58" s="1085"/>
      <c r="AE58" s="1084" t="s">
        <v>203</v>
      </c>
      <c r="AF58" s="1084" t="s">
        <v>1323</v>
      </c>
    </row>
    <row r="59" spans="1:32" s="1080" customFormat="1" ht="25.5">
      <c r="A59"/>
      <c r="B59"/>
      <c r="C59" s="1380" t="s">
        <v>426</v>
      </c>
      <c r="D59" s="1095" t="s">
        <v>211</v>
      </c>
      <c r="E59" s="1095">
        <v>83931</v>
      </c>
      <c r="F59" s="1095" t="s">
        <v>197</v>
      </c>
      <c r="G59" s="1095">
        <v>11</v>
      </c>
      <c r="H59" s="1095"/>
      <c r="I59" s="1095"/>
      <c r="J59" s="1110">
        <f>45493593.376-2157324.376-1969830</f>
        <v>41366439</v>
      </c>
      <c r="K59" s="1110"/>
      <c r="L59" s="1110"/>
      <c r="M59" s="1110"/>
      <c r="N59" s="1109">
        <f t="shared" si="4"/>
        <v>41366439</v>
      </c>
      <c r="O59" s="1110"/>
      <c r="P59" s="1109">
        <f t="shared" si="15"/>
        <v>0</v>
      </c>
      <c r="Q59" s="1109"/>
      <c r="R59" s="1109">
        <f t="shared" si="16"/>
        <v>41366439</v>
      </c>
      <c r="S59" s="1109"/>
      <c r="T59" s="1554"/>
      <c r="U59" s="1083">
        <v>41366439</v>
      </c>
      <c r="V59" s="1083">
        <v>41366439</v>
      </c>
      <c r="W59" s="1083">
        <v>41366439</v>
      </c>
      <c r="X59" s="1083">
        <f t="shared" si="14"/>
        <v>0</v>
      </c>
      <c r="Y59" s="1083"/>
      <c r="Z59" s="1083"/>
      <c r="AA59" s="1083"/>
      <c r="AB59" s="1083"/>
      <c r="AC59" s="1083"/>
      <c r="AD59" s="1083"/>
      <c r="AE59" s="1080" t="s">
        <v>203</v>
      </c>
      <c r="AF59" s="1080" t="s">
        <v>1323</v>
      </c>
    </row>
    <row r="60" spans="1:32" s="1080" customFormat="1" ht="25.5">
      <c r="A60"/>
      <c r="B60"/>
      <c r="C60" s="1380" t="s">
        <v>410</v>
      </c>
      <c r="D60" s="1095" t="s">
        <v>211</v>
      </c>
      <c r="E60" s="1095">
        <v>83990</v>
      </c>
      <c r="F60" s="1095" t="s">
        <v>197</v>
      </c>
      <c r="G60" s="1095">
        <v>10</v>
      </c>
      <c r="H60" s="1095"/>
      <c r="I60" s="1095"/>
      <c r="J60" s="1110">
        <v>22228261</v>
      </c>
      <c r="K60" s="1110"/>
      <c r="L60" s="1110"/>
      <c r="M60" s="1110"/>
      <c r="N60" s="1109">
        <f t="shared" si="4"/>
        <v>22228261</v>
      </c>
      <c r="O60" s="1110"/>
      <c r="P60" s="1109">
        <f t="shared" si="15"/>
        <v>0</v>
      </c>
      <c r="Q60" s="1109"/>
      <c r="R60" s="1109">
        <f t="shared" si="16"/>
        <v>22228261</v>
      </c>
      <c r="S60" s="1109"/>
      <c r="T60" s="1554"/>
      <c r="U60" s="1083">
        <v>22228261</v>
      </c>
      <c r="V60" s="1083">
        <v>22228261</v>
      </c>
      <c r="W60" s="1083">
        <v>22228261</v>
      </c>
      <c r="X60" s="1083">
        <f t="shared" si="14"/>
        <v>0</v>
      </c>
      <c r="Y60" s="1083"/>
      <c r="Z60" s="1083"/>
      <c r="AA60" s="1083"/>
      <c r="AB60" s="1083"/>
      <c r="AC60" s="1083"/>
      <c r="AD60" s="1083"/>
      <c r="AE60" s="1080" t="s">
        <v>203</v>
      </c>
      <c r="AF60" s="1080" t="s">
        <v>1323</v>
      </c>
    </row>
    <row r="61" spans="1:32" s="1084" customFormat="1" ht="25.5">
      <c r="A61"/>
      <c r="B61"/>
      <c r="C61" s="1357" t="s">
        <v>845</v>
      </c>
      <c r="D61" s="1089" t="s">
        <v>211</v>
      </c>
      <c r="E61" s="1089">
        <v>83990</v>
      </c>
      <c r="F61" s="1089" t="s">
        <v>197</v>
      </c>
      <c r="G61" s="1089">
        <v>10</v>
      </c>
      <c r="H61" s="1089"/>
      <c r="I61" s="1089"/>
      <c r="J61" s="1215">
        <f>35845200-35845200</f>
        <v>0</v>
      </c>
      <c r="K61" s="1215"/>
      <c r="L61" s="1215"/>
      <c r="M61" s="1215"/>
      <c r="N61" s="1387">
        <f t="shared" si="4"/>
        <v>0</v>
      </c>
      <c r="O61" s="1215"/>
      <c r="P61" s="1387">
        <f t="shared" si="15"/>
        <v>0</v>
      </c>
      <c r="Q61" s="1387"/>
      <c r="R61" s="1387">
        <f t="shared" si="16"/>
        <v>0</v>
      </c>
      <c r="S61" s="1387"/>
      <c r="T61" s="1586"/>
      <c r="U61" s="1085"/>
      <c r="V61" s="1085"/>
      <c r="W61" s="1085"/>
      <c r="X61" s="1085">
        <f t="shared" ref="X61" si="22">+U61-V61</f>
        <v>0</v>
      </c>
      <c r="Y61" s="1085"/>
      <c r="Z61" s="1085"/>
      <c r="AA61" s="1085"/>
      <c r="AB61" s="1085"/>
      <c r="AC61" s="1085"/>
      <c r="AD61" s="1085"/>
      <c r="AE61" s="1084" t="s">
        <v>203</v>
      </c>
      <c r="AF61" s="1084" t="s">
        <v>1323</v>
      </c>
    </row>
    <row r="62" spans="1:32" s="1080" customFormat="1" ht="25.5">
      <c r="A62"/>
      <c r="B62"/>
      <c r="C62" s="1380" t="s">
        <v>846</v>
      </c>
      <c r="D62" s="1095" t="s">
        <v>211</v>
      </c>
      <c r="E62" s="1095">
        <v>83990</v>
      </c>
      <c r="F62" s="1095" t="s">
        <v>197</v>
      </c>
      <c r="G62" s="1095">
        <v>10</v>
      </c>
      <c r="H62" s="1095"/>
      <c r="I62" s="1095"/>
      <c r="J62" s="1110">
        <f>65260000-5195257</f>
        <v>60064743</v>
      </c>
      <c r="K62" s="1110"/>
      <c r="L62" s="1110"/>
      <c r="M62" s="1110"/>
      <c r="N62" s="1109">
        <f t="shared" si="4"/>
        <v>60064743</v>
      </c>
      <c r="O62" s="1110"/>
      <c r="P62" s="1109">
        <f t="shared" si="15"/>
        <v>0</v>
      </c>
      <c r="Q62" s="1109"/>
      <c r="R62" s="1109">
        <f t="shared" si="16"/>
        <v>60064743</v>
      </c>
      <c r="S62" s="1109"/>
      <c r="T62" s="1554"/>
      <c r="U62" s="1083">
        <v>60064743</v>
      </c>
      <c r="V62" s="1083">
        <v>60064743</v>
      </c>
      <c r="W62" s="1083">
        <v>60064743</v>
      </c>
      <c r="X62" s="1083">
        <f t="shared" si="14"/>
        <v>0</v>
      </c>
      <c r="Y62" s="1083"/>
      <c r="Z62" s="1083"/>
      <c r="AA62" s="1083"/>
      <c r="AB62" s="1083"/>
      <c r="AC62" s="1083"/>
      <c r="AD62" s="1083"/>
      <c r="AE62" s="1080" t="s">
        <v>203</v>
      </c>
      <c r="AF62" s="1080" t="s">
        <v>1323</v>
      </c>
    </row>
    <row r="63" spans="1:32" s="1080" customFormat="1" ht="25.5">
      <c r="A63"/>
      <c r="B63"/>
      <c r="C63" s="1380" t="s">
        <v>847</v>
      </c>
      <c r="D63" s="1095" t="s">
        <v>211</v>
      </c>
      <c r="E63" s="1095">
        <v>83990</v>
      </c>
      <c r="F63" s="1095" t="s">
        <v>197</v>
      </c>
      <c r="G63" s="1095">
        <v>11</v>
      </c>
      <c r="H63" s="1095"/>
      <c r="I63" s="1095"/>
      <c r="J63" s="1110">
        <v>25803058</v>
      </c>
      <c r="K63" s="1110"/>
      <c r="L63" s="1110"/>
      <c r="M63" s="1110"/>
      <c r="N63" s="1109">
        <f t="shared" si="4"/>
        <v>25803058</v>
      </c>
      <c r="O63" s="1110"/>
      <c r="P63" s="1109">
        <f t="shared" si="15"/>
        <v>0</v>
      </c>
      <c r="Q63" s="1109"/>
      <c r="R63" s="1109">
        <f t="shared" si="16"/>
        <v>25803058</v>
      </c>
      <c r="S63" s="1109"/>
      <c r="T63" s="1554"/>
      <c r="U63" s="1083">
        <v>25803058</v>
      </c>
      <c r="V63" s="1083">
        <v>25803058</v>
      </c>
      <c r="W63" s="1083">
        <v>25803058</v>
      </c>
      <c r="X63" s="1083">
        <f t="shared" si="14"/>
        <v>0</v>
      </c>
      <c r="Y63" s="1083"/>
      <c r="Z63" s="1083"/>
      <c r="AA63" s="1083"/>
      <c r="AB63" s="1083"/>
      <c r="AC63" s="1083"/>
      <c r="AD63" s="1083"/>
      <c r="AE63" s="1080" t="s">
        <v>203</v>
      </c>
      <c r="AF63" s="1080" t="s">
        <v>1323</v>
      </c>
    </row>
    <row r="64" spans="1:32" s="1080" customFormat="1" ht="25.5">
      <c r="A64"/>
      <c r="B64"/>
      <c r="C64" s="1380" t="s">
        <v>878</v>
      </c>
      <c r="D64" s="1095" t="s">
        <v>211</v>
      </c>
      <c r="E64" s="1095">
        <v>83990</v>
      </c>
      <c r="F64" s="1095" t="s">
        <v>197</v>
      </c>
      <c r="G64" s="1095">
        <v>1</v>
      </c>
      <c r="H64" s="1095"/>
      <c r="I64" s="1095"/>
      <c r="J64" s="1110">
        <v>10040000</v>
      </c>
      <c r="K64" s="1110"/>
      <c r="L64" s="1110"/>
      <c r="M64" s="1110"/>
      <c r="N64" s="1109">
        <f t="shared" si="4"/>
        <v>10040000</v>
      </c>
      <c r="O64" s="1110"/>
      <c r="P64" s="1109">
        <f t="shared" si="15"/>
        <v>0</v>
      </c>
      <c r="Q64" s="1109"/>
      <c r="R64" s="1109">
        <f t="shared" si="16"/>
        <v>10040000</v>
      </c>
      <c r="S64" s="1109"/>
      <c r="T64" s="1554"/>
      <c r="U64" s="1083">
        <v>10040000</v>
      </c>
      <c r="V64" s="1083">
        <v>10040000</v>
      </c>
      <c r="W64" s="1083">
        <v>10040000</v>
      </c>
      <c r="X64" s="1083">
        <f t="shared" si="14"/>
        <v>0</v>
      </c>
      <c r="Y64" s="1083"/>
      <c r="Z64" s="1083"/>
      <c r="AA64" s="1083"/>
      <c r="AB64" s="1083"/>
      <c r="AC64" s="1083"/>
      <c r="AD64" s="1083"/>
      <c r="AE64" s="1080" t="s">
        <v>203</v>
      </c>
      <c r="AF64" s="1080" t="s">
        <v>1323</v>
      </c>
    </row>
    <row r="65" spans="1:32" s="1084" customFormat="1" ht="25.5">
      <c r="A65"/>
      <c r="B65"/>
      <c r="C65" s="1357" t="s">
        <v>879</v>
      </c>
      <c r="D65" s="1089" t="s">
        <v>211</v>
      </c>
      <c r="E65" s="1089">
        <v>83990</v>
      </c>
      <c r="F65" s="1089" t="s">
        <v>197</v>
      </c>
      <c r="G65" s="1089">
        <v>9</v>
      </c>
      <c r="H65" s="1089"/>
      <c r="I65" s="1089"/>
      <c r="J65" s="1588">
        <f>47417494.32-8454262.32</f>
        <v>38963232</v>
      </c>
      <c r="K65" s="1215"/>
      <c r="L65" s="1215"/>
      <c r="M65" s="1215"/>
      <c r="N65" s="1387">
        <f t="shared" si="4"/>
        <v>38963232</v>
      </c>
      <c r="O65" s="1215"/>
      <c r="P65" s="1387">
        <f t="shared" si="15"/>
        <v>0</v>
      </c>
      <c r="Q65" s="1387"/>
      <c r="R65" s="1387">
        <f t="shared" si="16"/>
        <v>38963232</v>
      </c>
      <c r="S65" s="1387"/>
      <c r="T65" s="1586"/>
      <c r="U65" s="1085">
        <v>38963232</v>
      </c>
      <c r="V65" s="1085"/>
      <c r="W65" s="1085"/>
      <c r="X65" s="1085">
        <f>+U65-V65</f>
        <v>38963232</v>
      </c>
      <c r="Y65" s="1085"/>
      <c r="Z65" s="1085"/>
      <c r="AA65" s="1085"/>
      <c r="AB65" s="1085"/>
      <c r="AC65" s="1085"/>
      <c r="AD65" s="1085"/>
      <c r="AE65" s="1084" t="s">
        <v>203</v>
      </c>
      <c r="AF65" s="1084" t="s">
        <v>1323</v>
      </c>
    </row>
    <row r="66" spans="1:32" s="1084" customFormat="1" ht="25.5">
      <c r="A66"/>
      <c r="B66"/>
      <c r="C66" s="1357" t="s">
        <v>1375</v>
      </c>
      <c r="D66" s="1089" t="s">
        <v>211</v>
      </c>
      <c r="E66" s="1089">
        <v>83990</v>
      </c>
      <c r="F66" s="1089" t="s">
        <v>197</v>
      </c>
      <c r="G66" s="1089">
        <v>9</v>
      </c>
      <c r="H66" s="1171"/>
      <c r="I66" s="1089"/>
      <c r="J66" s="1588"/>
      <c r="K66" s="1215"/>
      <c r="L66" s="1215"/>
      <c r="M66" s="1215"/>
      <c r="N66" s="1387">
        <f t="shared" si="4"/>
        <v>0</v>
      </c>
      <c r="O66" s="1215">
        <v>38963232</v>
      </c>
      <c r="P66" s="1387">
        <f t="shared" si="15"/>
        <v>38963232</v>
      </c>
      <c r="Q66" s="1387"/>
      <c r="R66" s="1387">
        <f t="shared" si="16"/>
        <v>38963232</v>
      </c>
      <c r="S66" s="1387"/>
      <c r="T66" s="1586"/>
      <c r="U66" s="1085">
        <v>38963232</v>
      </c>
      <c r="V66" s="1085"/>
      <c r="W66" s="1085"/>
      <c r="X66" s="1085">
        <f t="shared" ref="X66:X84" si="23">+U66-V66</f>
        <v>38963232</v>
      </c>
      <c r="Y66" s="1085"/>
      <c r="Z66" s="1085"/>
      <c r="AA66" s="1085"/>
      <c r="AB66" s="1085"/>
      <c r="AC66" s="1085"/>
      <c r="AD66" s="1085"/>
    </row>
    <row r="67" spans="1:32" s="1084" customFormat="1" ht="25.5">
      <c r="A67"/>
      <c r="B67"/>
      <c r="C67" s="1357" t="s">
        <v>1376</v>
      </c>
      <c r="D67" s="1089" t="s">
        <v>211</v>
      </c>
      <c r="E67" s="1089">
        <v>83990</v>
      </c>
      <c r="F67" s="1089" t="s">
        <v>197</v>
      </c>
      <c r="G67" s="1089">
        <v>9</v>
      </c>
      <c r="H67" s="1171"/>
      <c r="I67" s="1089"/>
      <c r="J67" s="1588">
        <f>47417494.32-8454262.32</f>
        <v>38963232</v>
      </c>
      <c r="K67" s="1215"/>
      <c r="L67" s="1215"/>
      <c r="M67" s="1215"/>
      <c r="N67" s="1387">
        <f t="shared" si="4"/>
        <v>38963232</v>
      </c>
      <c r="O67" s="1215"/>
      <c r="P67" s="1387">
        <f t="shared" si="15"/>
        <v>0</v>
      </c>
      <c r="Q67" s="1387"/>
      <c r="R67" s="1387">
        <f t="shared" si="16"/>
        <v>38963232</v>
      </c>
      <c r="S67" s="1387"/>
      <c r="T67" s="1586"/>
      <c r="U67" s="1085">
        <v>38963232</v>
      </c>
      <c r="V67" s="1085"/>
      <c r="W67" s="1085"/>
      <c r="X67" s="1085">
        <f t="shared" si="23"/>
        <v>38963232</v>
      </c>
      <c r="Y67" s="1085"/>
      <c r="Z67" s="1085"/>
      <c r="AA67" s="1085"/>
      <c r="AB67" s="1085"/>
      <c r="AC67" s="1085"/>
      <c r="AD67" s="1085"/>
    </row>
    <row r="68" spans="1:32" s="1084" customFormat="1" ht="38.25">
      <c r="A68"/>
      <c r="B68"/>
      <c r="C68" s="1357" t="s">
        <v>1377</v>
      </c>
      <c r="D68" s="1089" t="s">
        <v>211</v>
      </c>
      <c r="E68" s="1089">
        <v>83990</v>
      </c>
      <c r="F68" s="1089" t="s">
        <v>197</v>
      </c>
      <c r="G68" s="1089">
        <v>9</v>
      </c>
      <c r="H68" s="1171"/>
      <c r="I68" s="1089"/>
      <c r="J68" s="1588">
        <v>38963232</v>
      </c>
      <c r="K68" s="1215"/>
      <c r="L68" s="1215"/>
      <c r="M68" s="1215"/>
      <c r="N68" s="1387">
        <f t="shared" si="4"/>
        <v>38963232</v>
      </c>
      <c r="O68" s="1215"/>
      <c r="P68" s="1387">
        <f t="shared" si="15"/>
        <v>0</v>
      </c>
      <c r="Q68" s="1387"/>
      <c r="R68" s="1387">
        <f t="shared" si="16"/>
        <v>38963232</v>
      </c>
      <c r="S68" s="1387"/>
      <c r="T68" s="1586"/>
      <c r="U68" s="1085">
        <v>38963232</v>
      </c>
      <c r="V68" s="1085"/>
      <c r="W68" s="1085"/>
      <c r="X68" s="1085">
        <f t="shared" si="23"/>
        <v>38963232</v>
      </c>
      <c r="Y68" s="1085"/>
      <c r="Z68" s="1085"/>
      <c r="AA68" s="1085"/>
      <c r="AB68" s="1085"/>
      <c r="AC68" s="1085"/>
      <c r="AD68" s="1085"/>
    </row>
    <row r="69" spans="1:32" s="1084" customFormat="1" ht="25.5">
      <c r="A69"/>
      <c r="B69"/>
      <c r="C69" s="1357" t="s">
        <v>880</v>
      </c>
      <c r="D69" s="1089" t="s">
        <v>211</v>
      </c>
      <c r="E69" s="1089">
        <v>83990</v>
      </c>
      <c r="F69" s="1089" t="s">
        <v>197</v>
      </c>
      <c r="G69" s="1089">
        <v>9</v>
      </c>
      <c r="H69" s="1089"/>
      <c r="I69" s="1089"/>
      <c r="J69" s="1588">
        <f>47417494.32-8454262.32</f>
        <v>38963232</v>
      </c>
      <c r="K69" s="1215"/>
      <c r="L69" s="1215"/>
      <c r="M69" s="1215"/>
      <c r="N69" s="1387">
        <f t="shared" si="4"/>
        <v>38963232</v>
      </c>
      <c r="O69" s="1215"/>
      <c r="P69" s="1387">
        <f t="shared" si="15"/>
        <v>0</v>
      </c>
      <c r="Q69" s="1387"/>
      <c r="R69" s="1387">
        <f t="shared" si="16"/>
        <v>38963232</v>
      </c>
      <c r="S69" s="1387"/>
      <c r="T69" s="1586"/>
      <c r="U69" s="1085">
        <v>38963232</v>
      </c>
      <c r="V69" s="1085"/>
      <c r="W69" s="1085"/>
      <c r="X69" s="1085">
        <f t="shared" si="23"/>
        <v>38963232</v>
      </c>
      <c r="Y69" s="1085"/>
      <c r="Z69" s="1085"/>
      <c r="AA69" s="1085"/>
      <c r="AB69" s="1085"/>
      <c r="AC69" s="1085"/>
      <c r="AD69" s="1085"/>
      <c r="AE69" s="1084" t="s">
        <v>203</v>
      </c>
      <c r="AF69" s="1084" t="s">
        <v>1323</v>
      </c>
    </row>
    <row r="70" spans="1:32" s="1084" customFormat="1" ht="25.5">
      <c r="A70"/>
      <c r="B70"/>
      <c r="C70" s="1357" t="s">
        <v>881</v>
      </c>
      <c r="D70" s="1089" t="s">
        <v>211</v>
      </c>
      <c r="E70" s="1089">
        <v>83990</v>
      </c>
      <c r="F70" s="1089" t="s">
        <v>197</v>
      </c>
      <c r="G70" s="1089">
        <v>8</v>
      </c>
      <c r="H70" s="1089"/>
      <c r="I70" s="1089"/>
      <c r="J70" s="1588">
        <f>42148883.84-3185651.84</f>
        <v>38963232</v>
      </c>
      <c r="K70" s="1215"/>
      <c r="L70" s="1215"/>
      <c r="M70" s="1215"/>
      <c r="N70" s="1387">
        <f t="shared" si="4"/>
        <v>38963232</v>
      </c>
      <c r="O70" s="1215"/>
      <c r="P70" s="1387">
        <f t="shared" si="15"/>
        <v>0</v>
      </c>
      <c r="Q70" s="1387"/>
      <c r="R70" s="1387">
        <f t="shared" si="16"/>
        <v>38963232</v>
      </c>
      <c r="S70" s="1387"/>
      <c r="T70" s="1586"/>
      <c r="U70" s="1085">
        <v>38963232</v>
      </c>
      <c r="V70" s="1085"/>
      <c r="W70" s="1085"/>
      <c r="X70" s="1085">
        <f t="shared" si="23"/>
        <v>38963232</v>
      </c>
      <c r="Y70" s="1085"/>
      <c r="Z70" s="1085"/>
      <c r="AA70" s="1085"/>
      <c r="AB70" s="1085"/>
      <c r="AC70" s="1085"/>
      <c r="AD70" s="1085"/>
      <c r="AE70" s="1084" t="s">
        <v>203</v>
      </c>
      <c r="AF70" s="1084" t="s">
        <v>1323</v>
      </c>
    </row>
    <row r="71" spans="1:32" s="1080" customFormat="1" ht="25.5">
      <c r="A71"/>
      <c r="B71"/>
      <c r="C71" s="1380" t="s">
        <v>616</v>
      </c>
      <c r="D71" s="1095" t="s">
        <v>211</v>
      </c>
      <c r="E71" s="1095">
        <v>83990</v>
      </c>
      <c r="F71" s="1095" t="s">
        <v>197</v>
      </c>
      <c r="G71" s="1095">
        <v>10</v>
      </c>
      <c r="H71" s="1095"/>
      <c r="I71" s="1095"/>
      <c r="J71" s="1110">
        <v>16465600</v>
      </c>
      <c r="K71" s="1110"/>
      <c r="L71" s="1110"/>
      <c r="M71" s="1110"/>
      <c r="N71" s="1109">
        <f t="shared" ref="N71" si="24">SUM(J71:M71)</f>
        <v>16465600</v>
      </c>
      <c r="O71" s="1110"/>
      <c r="P71" s="1109">
        <f t="shared" ref="P71" si="25">SUM(O71:O71)</f>
        <v>0</v>
      </c>
      <c r="Q71" s="1109"/>
      <c r="R71" s="1109">
        <f t="shared" ref="R71" si="26">+Q71+P71+N71</f>
        <v>16465600</v>
      </c>
      <c r="S71" s="1109"/>
      <c r="T71" s="1554"/>
      <c r="U71" s="1083">
        <v>17660247</v>
      </c>
      <c r="V71" s="1083">
        <v>16465600</v>
      </c>
      <c r="W71" s="1083">
        <v>16465600</v>
      </c>
      <c r="X71" s="1083">
        <f>+U71-W71</f>
        <v>1194647</v>
      </c>
      <c r="Y71" s="1083"/>
      <c r="Z71" s="1083"/>
      <c r="AA71" s="1083"/>
      <c r="AB71" s="1083"/>
      <c r="AC71" s="1083"/>
      <c r="AD71" s="1083"/>
      <c r="AE71" s="1080" t="s">
        <v>203</v>
      </c>
      <c r="AF71" s="1080" t="s">
        <v>1323</v>
      </c>
    </row>
    <row r="72" spans="1:32" s="1084" customFormat="1" ht="25.5">
      <c r="A72"/>
      <c r="B72"/>
      <c r="C72" s="1357" t="s">
        <v>616</v>
      </c>
      <c r="D72" s="1089" t="s">
        <v>211</v>
      </c>
      <c r="E72" s="1089">
        <v>83990</v>
      </c>
      <c r="F72" s="1089" t="s">
        <v>197</v>
      </c>
      <c r="G72" s="1089">
        <v>10</v>
      </c>
      <c r="H72" s="1089"/>
      <c r="I72" s="1089"/>
      <c r="J72" s="1215">
        <f>17660247-J71</f>
        <v>1194647</v>
      </c>
      <c r="K72" s="1215"/>
      <c r="L72" s="1215"/>
      <c r="M72" s="1215"/>
      <c r="N72" s="1387">
        <f t="shared" si="4"/>
        <v>1194647</v>
      </c>
      <c r="O72" s="1215"/>
      <c r="P72" s="1387">
        <f t="shared" si="15"/>
        <v>0</v>
      </c>
      <c r="Q72" s="1387"/>
      <c r="R72" s="1387">
        <f t="shared" si="16"/>
        <v>1194647</v>
      </c>
      <c r="S72" s="1387"/>
      <c r="T72" s="1586"/>
      <c r="U72" s="1085">
        <v>17660247</v>
      </c>
      <c r="V72" s="1085">
        <v>16465600</v>
      </c>
      <c r="W72" s="1085">
        <v>16465600</v>
      </c>
      <c r="X72" s="1085">
        <f>+U72-W72</f>
        <v>1194647</v>
      </c>
      <c r="Y72" s="1085"/>
      <c r="Z72" s="1085"/>
      <c r="AA72" s="1085"/>
      <c r="AB72" s="1085"/>
      <c r="AC72" s="1085"/>
      <c r="AD72" s="1085"/>
      <c r="AE72" s="1084" t="s">
        <v>203</v>
      </c>
      <c r="AF72" s="1084" t="s">
        <v>1323</v>
      </c>
    </row>
    <row r="73" spans="1:32" s="1084" customFormat="1" ht="25.5">
      <c r="A73"/>
      <c r="B73"/>
      <c r="C73" s="1357" t="s">
        <v>617</v>
      </c>
      <c r="D73" s="1089" t="s">
        <v>211</v>
      </c>
      <c r="E73" s="1089">
        <v>83990</v>
      </c>
      <c r="F73" s="1089" t="s">
        <v>197</v>
      </c>
      <c r="G73" s="1089">
        <v>10</v>
      </c>
      <c r="H73" s="1089"/>
      <c r="I73" s="1089"/>
      <c r="J73" s="1215">
        <f>20826552.764-3166305.764</f>
        <v>17660247</v>
      </c>
      <c r="K73" s="1215"/>
      <c r="L73" s="1215"/>
      <c r="M73" s="1215"/>
      <c r="N73" s="1387">
        <f t="shared" si="4"/>
        <v>17660247</v>
      </c>
      <c r="O73" s="1215"/>
      <c r="P73" s="1387">
        <f t="shared" si="15"/>
        <v>0</v>
      </c>
      <c r="Q73" s="1387"/>
      <c r="R73" s="1387">
        <f t="shared" si="16"/>
        <v>17660247</v>
      </c>
      <c r="S73" s="1387"/>
      <c r="T73" s="1586"/>
      <c r="U73" s="1085">
        <v>17660247</v>
      </c>
      <c r="X73" s="1085">
        <f>+U73-W73</f>
        <v>17660247</v>
      </c>
      <c r="Y73" s="1085"/>
      <c r="Z73" s="1085"/>
      <c r="AA73" s="1085"/>
      <c r="AB73" s="1085"/>
      <c r="AC73" s="1085"/>
      <c r="AD73" s="1085"/>
      <c r="AE73" s="1084" t="s">
        <v>203</v>
      </c>
      <c r="AF73" s="1084" t="s">
        <v>1323</v>
      </c>
    </row>
    <row r="74" spans="1:32" s="1084" customFormat="1" ht="25.5">
      <c r="A74"/>
      <c r="B74"/>
      <c r="C74" s="1212" t="s">
        <v>1378</v>
      </c>
      <c r="D74" s="1214" t="s">
        <v>211</v>
      </c>
      <c r="E74" s="1089">
        <v>83990</v>
      </c>
      <c r="F74" s="1214" t="s">
        <v>197</v>
      </c>
      <c r="G74" s="1305"/>
      <c r="H74" s="1089"/>
      <c r="I74" s="1089"/>
      <c r="J74" s="1609">
        <v>75000000</v>
      </c>
      <c r="K74" s="1215"/>
      <c r="L74" s="1215"/>
      <c r="M74" s="1215"/>
      <c r="N74" s="1387">
        <f t="shared" si="4"/>
        <v>75000000</v>
      </c>
      <c r="O74" s="1609">
        <v>12803228</v>
      </c>
      <c r="P74" s="1387">
        <f t="shared" si="15"/>
        <v>12803228</v>
      </c>
      <c r="Q74" s="1387"/>
      <c r="R74" s="1387">
        <f t="shared" si="16"/>
        <v>87803228</v>
      </c>
      <c r="S74" s="1387"/>
      <c r="T74" s="1586"/>
      <c r="U74" s="1085">
        <v>87803228</v>
      </c>
      <c r="V74" s="1085"/>
      <c r="W74" s="1085"/>
      <c r="X74" s="1085">
        <f t="shared" si="23"/>
        <v>87803228</v>
      </c>
      <c r="Y74" s="1085"/>
      <c r="Z74" s="1085"/>
      <c r="AA74" s="1085"/>
      <c r="AB74" s="1085"/>
      <c r="AC74" s="1085"/>
      <c r="AD74" s="1085"/>
    </row>
    <row r="75" spans="1:32" s="1084" customFormat="1" ht="15">
      <c r="A75"/>
      <c r="B75"/>
      <c r="C75" s="1212" t="s">
        <v>618</v>
      </c>
      <c r="D75" s="1214" t="s">
        <v>391</v>
      </c>
      <c r="E75" s="1089">
        <v>54342</v>
      </c>
      <c r="F75" s="1214" t="s">
        <v>198</v>
      </c>
      <c r="G75" s="1305">
        <v>11</v>
      </c>
      <c r="H75" s="1089"/>
      <c r="I75" s="1089"/>
      <c r="J75" s="1215"/>
      <c r="K75" s="1215"/>
      <c r="L75" s="1215"/>
      <c r="M75" s="1215"/>
      <c r="N75" s="1387">
        <f t="shared" si="4"/>
        <v>0</v>
      </c>
      <c r="O75" s="1215"/>
      <c r="P75" s="1387">
        <f t="shared" si="15"/>
        <v>0</v>
      </c>
      <c r="Q75" s="1387"/>
      <c r="R75" s="1387">
        <f t="shared" si="16"/>
        <v>0</v>
      </c>
      <c r="S75" s="1387"/>
      <c r="T75" s="1586">
        <v>89000000</v>
      </c>
      <c r="U75" s="1085">
        <v>0</v>
      </c>
      <c r="V75" s="1085"/>
      <c r="W75" s="1085"/>
      <c r="X75" s="1085">
        <f>+U75-V75</f>
        <v>0</v>
      </c>
      <c r="Y75" s="1085"/>
      <c r="Z75" s="1085"/>
      <c r="AA75" s="1085"/>
      <c r="AB75" s="1085"/>
      <c r="AC75" s="1085"/>
      <c r="AD75" s="1085"/>
      <c r="AE75" s="1084" t="s">
        <v>203</v>
      </c>
      <c r="AF75" s="1084" t="s">
        <v>1324</v>
      </c>
    </row>
    <row r="76" spans="1:32" s="1084" customFormat="1" ht="15">
      <c r="A76"/>
      <c r="B76"/>
      <c r="C76" s="1610" t="s">
        <v>619</v>
      </c>
      <c r="D76" s="1214" t="s">
        <v>211</v>
      </c>
      <c r="E76" s="1089">
        <v>83990</v>
      </c>
      <c r="F76" s="1214" t="s">
        <v>198</v>
      </c>
      <c r="G76" s="1305">
        <v>11</v>
      </c>
      <c r="H76" s="1089"/>
      <c r="I76" s="1089"/>
      <c r="J76" s="1215"/>
      <c r="K76" s="1215"/>
      <c r="L76" s="1215"/>
      <c r="M76" s="1215">
        <v>8900000</v>
      </c>
      <c r="N76" s="1387">
        <f t="shared" si="4"/>
        <v>8900000</v>
      </c>
      <c r="O76" s="1215"/>
      <c r="P76" s="1387">
        <f t="shared" si="15"/>
        <v>0</v>
      </c>
      <c r="Q76" s="1387"/>
      <c r="R76" s="1387">
        <f t="shared" si="16"/>
        <v>8900000</v>
      </c>
      <c r="S76" s="1387"/>
      <c r="T76" s="1586"/>
      <c r="U76" s="1085">
        <v>8900000</v>
      </c>
      <c r="V76" s="1085"/>
      <c r="W76" s="1085"/>
      <c r="X76" s="1085">
        <f t="shared" si="23"/>
        <v>8900000</v>
      </c>
      <c r="Y76" s="1085"/>
      <c r="Z76" s="1085"/>
      <c r="AA76" s="1085"/>
      <c r="AB76" s="1085"/>
      <c r="AC76" s="1085"/>
      <c r="AD76" s="1085"/>
      <c r="AE76" s="1084" t="s">
        <v>203</v>
      </c>
      <c r="AF76" s="1084" t="s">
        <v>1324</v>
      </c>
    </row>
    <row r="77" spans="1:32" s="1084" customFormat="1" ht="15">
      <c r="A77"/>
      <c r="B77"/>
      <c r="C77" s="1610" t="s">
        <v>620</v>
      </c>
      <c r="D77" s="1214" t="s">
        <v>391</v>
      </c>
      <c r="E77" s="1089">
        <v>54342</v>
      </c>
      <c r="F77" s="1214" t="s">
        <v>198</v>
      </c>
      <c r="G77" s="1305">
        <v>11</v>
      </c>
      <c r="H77" s="1089"/>
      <c r="I77" s="1089"/>
      <c r="J77" s="1215"/>
      <c r="K77" s="1304"/>
      <c r="L77" s="1215"/>
      <c r="M77" s="1609">
        <v>5400000</v>
      </c>
      <c r="N77" s="1387">
        <f t="shared" si="4"/>
        <v>5400000</v>
      </c>
      <c r="O77" s="1215"/>
      <c r="P77" s="1387">
        <f t="shared" si="15"/>
        <v>0</v>
      </c>
      <c r="Q77" s="1387"/>
      <c r="R77" s="1387">
        <f t="shared" si="16"/>
        <v>5400000</v>
      </c>
      <c r="S77" s="1387"/>
      <c r="T77" s="1350">
        <v>54000000</v>
      </c>
      <c r="U77" s="1085">
        <v>5400000</v>
      </c>
      <c r="V77" s="1085"/>
      <c r="W77" s="1085"/>
      <c r="X77" s="1085">
        <f t="shared" si="23"/>
        <v>5400000</v>
      </c>
      <c r="Y77" s="1085"/>
      <c r="Z77" s="1085"/>
      <c r="AA77" s="1085"/>
      <c r="AB77" s="1085"/>
      <c r="AC77" s="1085"/>
      <c r="AD77" s="1085"/>
      <c r="AE77" s="1084" t="s">
        <v>203</v>
      </c>
      <c r="AF77" s="1084" t="s">
        <v>1324</v>
      </c>
    </row>
    <row r="78" spans="1:32" s="1084" customFormat="1" ht="15">
      <c r="A78"/>
      <c r="B78"/>
      <c r="C78" s="1610" t="s">
        <v>621</v>
      </c>
      <c r="D78" s="1214" t="s">
        <v>211</v>
      </c>
      <c r="E78" s="1089">
        <v>83990</v>
      </c>
      <c r="F78" s="1214" t="s">
        <v>198</v>
      </c>
      <c r="G78" s="1305">
        <v>11</v>
      </c>
      <c r="H78" s="1089"/>
      <c r="I78" s="1089"/>
      <c r="J78" s="1215"/>
      <c r="K78" s="1215"/>
      <c r="L78" s="1215"/>
      <c r="M78" s="1821"/>
      <c r="N78" s="1387">
        <f t="shared" si="4"/>
        <v>0</v>
      </c>
      <c r="O78" s="1215"/>
      <c r="P78" s="1387">
        <f t="shared" si="15"/>
        <v>0</v>
      </c>
      <c r="Q78" s="1387"/>
      <c r="R78" s="1387">
        <f t="shared" si="16"/>
        <v>0</v>
      </c>
      <c r="S78" s="1387"/>
      <c r="T78" s="1586"/>
      <c r="U78" s="1085">
        <v>0</v>
      </c>
      <c r="V78" s="1085"/>
      <c r="W78" s="1085"/>
      <c r="X78" s="1085">
        <f t="shared" si="23"/>
        <v>0</v>
      </c>
      <c r="Y78" s="1085"/>
      <c r="Z78" s="1085"/>
      <c r="AA78" s="1085"/>
      <c r="AB78" s="1085"/>
      <c r="AC78" s="1085"/>
      <c r="AD78" s="1085"/>
      <c r="AE78" s="1084" t="s">
        <v>203</v>
      </c>
      <c r="AF78" s="1084" t="s">
        <v>1324</v>
      </c>
    </row>
    <row r="79" spans="1:32" s="1084" customFormat="1" ht="15">
      <c r="A79"/>
      <c r="B79"/>
      <c r="C79" s="1610" t="s">
        <v>428</v>
      </c>
      <c r="D79" s="1089" t="s">
        <v>381</v>
      </c>
      <c r="E79" s="1611">
        <v>63391</v>
      </c>
      <c r="F79" s="1214" t="s">
        <v>198</v>
      </c>
      <c r="G79" s="1305">
        <v>11</v>
      </c>
      <c r="H79" s="1089"/>
      <c r="I79" s="1089"/>
      <c r="J79" s="1215"/>
      <c r="K79" s="1215"/>
      <c r="L79" s="1215"/>
      <c r="M79" s="1215">
        <v>12000000</v>
      </c>
      <c r="N79" s="1387">
        <f t="shared" si="4"/>
        <v>12000000</v>
      </c>
      <c r="O79" s="1215"/>
      <c r="P79" s="1387">
        <f t="shared" si="15"/>
        <v>0</v>
      </c>
      <c r="Q79" s="1387"/>
      <c r="R79" s="1387">
        <f t="shared" si="16"/>
        <v>12000000</v>
      </c>
      <c r="S79" s="1387"/>
      <c r="T79" s="1586"/>
      <c r="U79" s="1085">
        <v>12000000</v>
      </c>
      <c r="V79" s="1085"/>
      <c r="W79" s="1085"/>
      <c r="X79" s="1085">
        <f t="shared" si="23"/>
        <v>12000000</v>
      </c>
      <c r="Y79" s="1085"/>
      <c r="Z79" s="1085"/>
      <c r="AA79" s="1085"/>
      <c r="AB79" s="1085"/>
      <c r="AC79" s="1085"/>
      <c r="AD79" s="1085"/>
      <c r="AE79" s="1084" t="s">
        <v>203</v>
      </c>
      <c r="AF79" s="1084" t="s">
        <v>1324</v>
      </c>
    </row>
    <row r="80" spans="1:32" s="1084" customFormat="1" ht="19.5" customHeight="1">
      <c r="A80"/>
      <c r="B80"/>
      <c r="C80" s="1610" t="s">
        <v>622</v>
      </c>
      <c r="D80" s="1089" t="s">
        <v>411</v>
      </c>
      <c r="E80" s="1089" t="s">
        <v>412</v>
      </c>
      <c r="F80" s="1214" t="s">
        <v>198</v>
      </c>
      <c r="G80" s="1305">
        <v>11</v>
      </c>
      <c r="H80" s="1089"/>
      <c r="I80" s="1089"/>
      <c r="J80" s="1215"/>
      <c r="K80" s="1215"/>
      <c r="L80" s="1215"/>
      <c r="M80" s="1215">
        <v>10000000</v>
      </c>
      <c r="N80" s="1387">
        <f t="shared" si="4"/>
        <v>10000000</v>
      </c>
      <c r="O80" s="1215"/>
      <c r="P80" s="1387">
        <f t="shared" si="15"/>
        <v>0</v>
      </c>
      <c r="Q80" s="1387"/>
      <c r="R80" s="1387">
        <f t="shared" si="16"/>
        <v>10000000</v>
      </c>
      <c r="S80" s="1387"/>
      <c r="T80" s="1586"/>
      <c r="U80" s="1085">
        <v>10000000</v>
      </c>
      <c r="V80" s="1085"/>
      <c r="W80" s="1085"/>
      <c r="X80" s="1085">
        <f t="shared" si="23"/>
        <v>10000000</v>
      </c>
      <c r="Y80" s="1085"/>
      <c r="Z80" s="1085"/>
      <c r="AA80" s="1085"/>
      <c r="AB80" s="1085"/>
      <c r="AC80" s="1085"/>
      <c r="AD80" s="1085"/>
      <c r="AE80" s="1084" t="s">
        <v>203</v>
      </c>
      <c r="AF80" s="1084" t="s">
        <v>1324</v>
      </c>
    </row>
    <row r="81" spans="1:32" s="1080" customFormat="1" ht="17.45" customHeight="1">
      <c r="A81"/>
      <c r="B81"/>
      <c r="C81" s="1138" t="s">
        <v>1369</v>
      </c>
      <c r="D81" s="1132" t="s">
        <v>381</v>
      </c>
      <c r="E81" s="1132" t="s">
        <v>403</v>
      </c>
      <c r="F81" s="1132"/>
      <c r="G81" s="1132"/>
      <c r="H81" s="1132"/>
      <c r="I81" s="1132"/>
      <c r="J81" s="1110"/>
      <c r="K81" s="1110"/>
      <c r="L81" s="1110"/>
      <c r="M81" s="1109">
        <v>20000000</v>
      </c>
      <c r="N81" s="1109">
        <f>SUM(J81:M81)</f>
        <v>20000000</v>
      </c>
      <c r="O81" s="1110"/>
      <c r="P81" s="1109">
        <f>SUM(O81:O81)</f>
        <v>0</v>
      </c>
      <c r="Q81" s="1109"/>
      <c r="R81" s="1109">
        <f>+Q81+P81+N81</f>
        <v>20000000</v>
      </c>
      <c r="S81" s="1109"/>
      <c r="T81" s="1554"/>
      <c r="U81" s="1083">
        <v>20000000</v>
      </c>
      <c r="V81" s="1083"/>
      <c r="W81" s="1083"/>
      <c r="X81" s="1083">
        <f t="shared" si="23"/>
        <v>20000000</v>
      </c>
      <c r="Y81" s="1083"/>
      <c r="Z81" s="1083"/>
      <c r="AA81" s="1083"/>
      <c r="AB81" s="1083"/>
      <c r="AC81" s="1083"/>
      <c r="AD81" s="1083"/>
      <c r="AE81" s="1080" t="s">
        <v>962</v>
      </c>
    </row>
    <row r="82" spans="1:32" s="1080" customFormat="1" ht="15">
      <c r="A82"/>
      <c r="B82"/>
      <c r="C82" s="1094" t="s">
        <v>1370</v>
      </c>
      <c r="D82" s="1095" t="s">
        <v>381</v>
      </c>
      <c r="E82" s="1095">
        <v>63391</v>
      </c>
      <c r="F82" s="1095"/>
      <c r="G82" s="1095"/>
      <c r="H82" s="1095"/>
      <c r="I82" s="1095"/>
      <c r="J82" s="1110"/>
      <c r="K82" s="1110"/>
      <c r="L82" s="1110"/>
      <c r="M82" s="1109">
        <v>10000000</v>
      </c>
      <c r="N82" s="1109">
        <f>SUM(J82:M82)</f>
        <v>10000000</v>
      </c>
      <c r="O82" s="1110"/>
      <c r="P82" s="1109">
        <f>SUM(O82:O82)</f>
        <v>0</v>
      </c>
      <c r="Q82" s="1109"/>
      <c r="R82" s="1109">
        <f>+Q82+P82+N82</f>
        <v>10000000</v>
      </c>
      <c r="S82" s="1109"/>
      <c r="T82" s="1554"/>
      <c r="U82" s="1083">
        <v>10000000</v>
      </c>
      <c r="V82" s="1083"/>
      <c r="W82" s="1083"/>
      <c r="X82" s="1083">
        <f t="shared" si="23"/>
        <v>10000000</v>
      </c>
      <c r="Y82" s="1083"/>
      <c r="Z82" s="1083"/>
      <c r="AA82" s="1083"/>
      <c r="AB82" s="1083"/>
      <c r="AC82" s="1083"/>
      <c r="AD82" s="1083"/>
      <c r="AE82" s="1080" t="s">
        <v>962</v>
      </c>
    </row>
    <row r="83" spans="1:32" s="1080" customFormat="1" ht="15">
      <c r="A83"/>
      <c r="B83"/>
      <c r="C83" s="1380" t="s">
        <v>204</v>
      </c>
      <c r="D83" s="1095"/>
      <c r="E83" s="1095"/>
      <c r="F83" s="1095"/>
      <c r="G83" s="1095">
        <v>1</v>
      </c>
      <c r="H83" s="1095"/>
      <c r="I83" s="1095"/>
      <c r="J83" s="1110"/>
      <c r="K83" s="1110"/>
      <c r="L83" s="1110"/>
      <c r="M83" s="1110">
        <f>29564635+18882524</f>
        <v>48447159</v>
      </c>
      <c r="N83" s="1110">
        <f>+SUM(J83:M83)</f>
        <v>48447159</v>
      </c>
      <c r="O83" s="1110"/>
      <c r="P83" s="1110">
        <f>+SUM(O83:O83)</f>
        <v>0</v>
      </c>
      <c r="Q83" s="1110"/>
      <c r="R83" s="1110">
        <f>+Q83+P83+N83</f>
        <v>48447159</v>
      </c>
      <c r="S83" s="1110"/>
      <c r="T83" s="1347"/>
      <c r="U83" s="1083">
        <v>111713718.94513361</v>
      </c>
      <c r="V83" s="1083"/>
      <c r="W83" s="1083"/>
      <c r="X83" s="1083">
        <f t="shared" ref="X83" si="27">+U83-V83</f>
        <v>111713718.94513361</v>
      </c>
      <c r="Y83" s="1083"/>
      <c r="Z83" s="1083"/>
      <c r="AA83" s="1083"/>
      <c r="AB83" s="1083"/>
      <c r="AC83" s="1083"/>
      <c r="AD83" s="1083"/>
      <c r="AE83" s="1080" t="s">
        <v>962</v>
      </c>
    </row>
    <row r="84" spans="1:32" s="1084" customFormat="1" ht="15.75" thickBot="1">
      <c r="A84"/>
      <c r="B84"/>
      <c r="C84" s="1268" t="s">
        <v>204</v>
      </c>
      <c r="D84" s="1102"/>
      <c r="E84" s="1102"/>
      <c r="F84" s="1102"/>
      <c r="G84" s="1102">
        <v>1</v>
      </c>
      <c r="H84" s="1102"/>
      <c r="I84" s="1102"/>
      <c r="J84" s="1105"/>
      <c r="K84" s="1105"/>
      <c r="L84" s="1105"/>
      <c r="M84" s="1105">
        <f>111713718.945134-M83</f>
        <v>63266559.945133999</v>
      </c>
      <c r="N84" s="1105">
        <f>+SUM(J84:M84)</f>
        <v>63266559.945133999</v>
      </c>
      <c r="O84" s="1105"/>
      <c r="P84" s="1105">
        <f>+SUM(O84:O84)</f>
        <v>0</v>
      </c>
      <c r="Q84" s="1105"/>
      <c r="R84" s="1105">
        <f>+Q84+P84+N84</f>
        <v>63266559.945133999</v>
      </c>
      <c r="S84" s="1105"/>
      <c r="T84" s="1269"/>
      <c r="U84" s="1085">
        <v>111713718.94513361</v>
      </c>
      <c r="V84" s="1085"/>
      <c r="W84" s="1085"/>
      <c r="X84" s="1085">
        <f t="shared" si="23"/>
        <v>111713718.94513361</v>
      </c>
      <c r="Y84" s="1085"/>
      <c r="Z84" s="1085"/>
      <c r="AA84" s="1085"/>
      <c r="AB84" s="1085"/>
      <c r="AC84" s="1085"/>
      <c r="AD84" s="1085"/>
      <c r="AE84" s="1084" t="s">
        <v>962</v>
      </c>
    </row>
    <row r="85" spans="1:32" ht="42.75" customHeight="1" thickBot="1">
      <c r="A85" s="152">
        <v>205</v>
      </c>
      <c r="B85" s="487"/>
      <c r="C85" s="624" t="s">
        <v>1065</v>
      </c>
      <c r="D85" s="625"/>
      <c r="E85" s="625"/>
      <c r="F85" s="597" t="s">
        <v>1098</v>
      </c>
      <c r="G85" s="597">
        <v>100</v>
      </c>
      <c r="H85" s="597"/>
      <c r="I85" s="597"/>
      <c r="J85" s="741">
        <f t="shared" ref="J85:Q85" si="28">+J86+J95+J99</f>
        <v>231594818.63999999</v>
      </c>
      <c r="K85" s="741">
        <f t="shared" si="28"/>
        <v>50080000</v>
      </c>
      <c r="L85" s="741">
        <f t="shared" si="28"/>
        <v>56971612.535999991</v>
      </c>
      <c r="M85" s="741">
        <f t="shared" si="28"/>
        <v>8705161</v>
      </c>
      <c r="N85" s="741">
        <f t="shared" si="28"/>
        <v>347351592.176</v>
      </c>
      <c r="O85" s="741">
        <f t="shared" si="28"/>
        <v>0</v>
      </c>
      <c r="P85" s="741">
        <f t="shared" si="28"/>
        <v>0</v>
      </c>
      <c r="Q85" s="741">
        <f t="shared" si="28"/>
        <v>0</v>
      </c>
      <c r="R85" s="741">
        <f>+R86+R95+R99</f>
        <v>347351592.176</v>
      </c>
      <c r="S85" s="741">
        <f t="shared" ref="S85:T85" si="29">+S86+S95+S99</f>
        <v>25000000</v>
      </c>
      <c r="T85" s="742">
        <f t="shared" si="29"/>
        <v>0</v>
      </c>
      <c r="U85" s="1025"/>
      <c r="V85" s="1025"/>
      <c r="W85" s="1025"/>
      <c r="X85" s="1025"/>
      <c r="Y85" s="1025"/>
      <c r="Z85" s="1025"/>
      <c r="AA85" s="1025"/>
      <c r="AB85" s="1025"/>
      <c r="AC85" s="1025"/>
      <c r="AD85" s="1025"/>
    </row>
    <row r="86" spans="1:32" ht="25.5">
      <c r="A86" s="152"/>
      <c r="B86" s="487" t="s">
        <v>1469</v>
      </c>
      <c r="C86" s="1824" t="s">
        <v>1075</v>
      </c>
      <c r="D86" s="197"/>
      <c r="E86" s="197"/>
      <c r="F86" s="197" t="s">
        <v>408</v>
      </c>
      <c r="G86" s="197">
        <v>21</v>
      </c>
      <c r="H86" s="197"/>
      <c r="I86" s="197"/>
      <c r="J86" s="1825">
        <f t="shared" ref="J86:L86" si="30">SUM(J87:J93)</f>
        <v>79417977.140000001</v>
      </c>
      <c r="K86" s="1825">
        <f t="shared" si="30"/>
        <v>30080000</v>
      </c>
      <c r="L86" s="1825">
        <f t="shared" si="30"/>
        <v>56971612.535999991</v>
      </c>
      <c r="M86" s="1825">
        <f>SUM(M87:M94)</f>
        <v>8705161</v>
      </c>
      <c r="N86" s="1825">
        <f t="shared" ref="N86:S86" si="31">SUM(N87:N94)</f>
        <v>175174750.676</v>
      </c>
      <c r="O86" s="1825">
        <f t="shared" si="31"/>
        <v>0</v>
      </c>
      <c r="P86" s="1825">
        <f t="shared" si="31"/>
        <v>0</v>
      </c>
      <c r="Q86" s="1825">
        <f t="shared" si="31"/>
        <v>0</v>
      </c>
      <c r="R86" s="1825">
        <f t="shared" si="31"/>
        <v>175174750.676</v>
      </c>
      <c r="S86" s="1825">
        <f t="shared" si="31"/>
        <v>25000000</v>
      </c>
      <c r="T86" s="1826">
        <f t="shared" ref="T86" si="32">SUM(T87:T94)</f>
        <v>0</v>
      </c>
      <c r="U86" s="1025"/>
      <c r="V86" s="1025"/>
      <c r="W86" s="1025"/>
      <c r="X86" s="1025"/>
      <c r="Y86" s="1025"/>
      <c r="Z86" s="1025"/>
      <c r="AA86" s="1025"/>
      <c r="AB86" s="1025"/>
      <c r="AC86" s="1025"/>
      <c r="AD86" s="1025"/>
    </row>
    <row r="87" spans="1:32" s="1084" customFormat="1" ht="25.5">
      <c r="A87"/>
      <c r="B87"/>
      <c r="C87" s="1212" t="s">
        <v>427</v>
      </c>
      <c r="D87" s="1214" t="s">
        <v>397</v>
      </c>
      <c r="E87" s="1089">
        <v>196104</v>
      </c>
      <c r="F87" s="1214" t="s">
        <v>198</v>
      </c>
      <c r="G87" s="1214">
        <v>11</v>
      </c>
      <c r="H87" s="1089"/>
      <c r="I87" s="1089" t="s">
        <v>1089</v>
      </c>
      <c r="J87" s="1387"/>
      <c r="K87" s="1112">
        <v>0</v>
      </c>
      <c r="L87" s="1387"/>
      <c r="M87" s="1215"/>
      <c r="N87" s="1387">
        <f>SUM(J87:M87)</f>
        <v>0</v>
      </c>
      <c r="O87" s="1387"/>
      <c r="P87" s="1387">
        <f>SUM(O87:O87)</f>
        <v>0</v>
      </c>
      <c r="Q87" s="1387"/>
      <c r="R87" s="1387">
        <f t="shared" ref="R87:R93" si="33">+Q87+P87+N87</f>
        <v>0</v>
      </c>
      <c r="S87" s="1387"/>
      <c r="T87" s="1586"/>
      <c r="U87" s="1085">
        <v>0</v>
      </c>
      <c r="V87" s="1085"/>
      <c r="W87" s="1085"/>
      <c r="X87" s="1085"/>
      <c r="Y87" s="1085"/>
      <c r="Z87" s="1085"/>
      <c r="AA87" s="1085"/>
      <c r="AB87" s="1085"/>
      <c r="AC87" s="1085"/>
      <c r="AD87" s="1085"/>
      <c r="AE87" s="1084" t="s">
        <v>36</v>
      </c>
      <c r="AF87" s="1084" t="s">
        <v>1326</v>
      </c>
    </row>
    <row r="88" spans="1:32" s="1084" customFormat="1" ht="15">
      <c r="A88"/>
      <c r="B88"/>
      <c r="C88" s="1212" t="s">
        <v>413</v>
      </c>
      <c r="D88" s="1214" t="s">
        <v>391</v>
      </c>
      <c r="E88" s="1089">
        <v>54342</v>
      </c>
      <c r="F88" s="1214" t="s">
        <v>198</v>
      </c>
      <c r="G88" s="1214">
        <v>11</v>
      </c>
      <c r="H88" s="1089"/>
      <c r="I88" s="1089" t="s">
        <v>1089</v>
      </c>
      <c r="J88" s="1387"/>
      <c r="K88" s="1231">
        <v>30080000</v>
      </c>
      <c r="L88" s="1215">
        <v>56971612.535999991</v>
      </c>
      <c r="M88" s="1231">
        <f>3602514+5697161.2536-594514.253600001</f>
        <v>8705161</v>
      </c>
      <c r="N88" s="1387">
        <f>SUM(J88:M88)</f>
        <v>95756773.535999984</v>
      </c>
      <c r="O88" s="1215"/>
      <c r="P88" s="1387">
        <f>SUM(O88:O88)</f>
        <v>0</v>
      </c>
      <c r="Q88" s="1387"/>
      <c r="R88" s="1387">
        <f t="shared" si="33"/>
        <v>95756773.535999984</v>
      </c>
      <c r="S88" s="1387"/>
      <c r="T88" s="1586"/>
      <c r="U88" s="1085">
        <v>95756773.535999984</v>
      </c>
      <c r="V88" s="1085"/>
      <c r="W88" s="1085"/>
      <c r="X88" s="1085">
        <f>+U88-V88</f>
        <v>95756773.535999984</v>
      </c>
      <c r="Y88" s="1085"/>
      <c r="Z88" s="1085"/>
      <c r="AA88" s="1085"/>
      <c r="AB88" s="1085"/>
      <c r="AC88" s="1085"/>
      <c r="AD88" s="1085"/>
      <c r="AE88" s="1084" t="s">
        <v>36</v>
      </c>
      <c r="AF88" s="1084" t="s">
        <v>1326</v>
      </c>
    </row>
    <row r="89" spans="1:32" s="1084" customFormat="1" ht="15">
      <c r="A89"/>
      <c r="B89"/>
      <c r="C89" s="1212" t="s">
        <v>414</v>
      </c>
      <c r="D89" s="1214" t="s">
        <v>211</v>
      </c>
      <c r="E89" s="1089">
        <v>83990</v>
      </c>
      <c r="F89" s="1214" t="s">
        <v>198</v>
      </c>
      <c r="G89" s="1214">
        <v>1</v>
      </c>
      <c r="H89" s="1089"/>
      <c r="I89" s="1089" t="s">
        <v>1089</v>
      </c>
      <c r="J89" s="1387"/>
      <c r="K89" s="1215"/>
      <c r="L89" s="1215"/>
      <c r="M89" s="1231">
        <f>5697161.2536-5697161.2536</f>
        <v>0</v>
      </c>
      <c r="N89" s="1387">
        <f>SUM(J89:M89)</f>
        <v>0</v>
      </c>
      <c r="O89" s="1215"/>
      <c r="P89" s="1387">
        <f>SUM(O89:O89)</f>
        <v>0</v>
      </c>
      <c r="Q89" s="1387"/>
      <c r="R89" s="1387">
        <f t="shared" si="33"/>
        <v>0</v>
      </c>
      <c r="S89" s="1387"/>
      <c r="T89" s="1586"/>
      <c r="U89" s="1085">
        <v>0</v>
      </c>
      <c r="V89" s="1085"/>
      <c r="W89" s="1085"/>
      <c r="X89" s="1085">
        <f t="shared" ref="X89" si="34">+U89-V89</f>
        <v>0</v>
      </c>
      <c r="Y89" s="1085"/>
      <c r="Z89" s="1085"/>
      <c r="AA89" s="1085"/>
      <c r="AB89" s="1085"/>
      <c r="AC89" s="1085"/>
      <c r="AD89" s="1085"/>
      <c r="AE89" s="1084" t="s">
        <v>36</v>
      </c>
      <c r="AF89" s="1084" t="s">
        <v>1326</v>
      </c>
    </row>
    <row r="90" spans="1:32" s="1084" customFormat="1" ht="15">
      <c r="A90"/>
      <c r="B90"/>
      <c r="C90" s="1212" t="s">
        <v>733</v>
      </c>
      <c r="D90" s="1214" t="s">
        <v>211</v>
      </c>
      <c r="E90" s="1089" t="s">
        <v>466</v>
      </c>
      <c r="F90" s="1214"/>
      <c r="G90" s="1612"/>
      <c r="H90" s="1089"/>
      <c r="I90" s="1089" t="s">
        <v>1089</v>
      </c>
      <c r="J90" s="1387">
        <v>20000000</v>
      </c>
      <c r="K90" s="1215"/>
      <c r="L90" s="1215"/>
      <c r="M90" s="1215"/>
      <c r="N90" s="1387">
        <f t="shared" ref="N90" si="35">SUM(J90:M90)</f>
        <v>20000000</v>
      </c>
      <c r="O90" s="1215"/>
      <c r="P90" s="1387"/>
      <c r="Q90" s="1387"/>
      <c r="R90" s="1387">
        <f t="shared" si="33"/>
        <v>20000000</v>
      </c>
      <c r="S90" s="1387"/>
      <c r="T90" s="1586"/>
      <c r="U90" s="1085">
        <v>20000000</v>
      </c>
      <c r="V90" s="1085"/>
      <c r="W90" s="1085"/>
      <c r="X90" s="1085">
        <f>+U90-V90</f>
        <v>20000000</v>
      </c>
      <c r="Y90" s="1085">
        <v>20000000</v>
      </c>
      <c r="Z90" s="1085"/>
      <c r="AA90" s="1085"/>
      <c r="AB90" s="1085"/>
      <c r="AC90" s="1085"/>
      <c r="AD90" s="1085"/>
    </row>
    <row r="91" spans="1:32" s="1080" customFormat="1" ht="27" customHeight="1">
      <c r="A91"/>
      <c r="B91"/>
      <c r="C91" s="1138" t="s">
        <v>430</v>
      </c>
      <c r="D91" s="1132" t="s">
        <v>211</v>
      </c>
      <c r="E91" s="1095">
        <v>83990</v>
      </c>
      <c r="F91" s="1132" t="s">
        <v>197</v>
      </c>
      <c r="G91" s="1440">
        <v>11</v>
      </c>
      <c r="H91" s="1095"/>
      <c r="I91" s="1095" t="s">
        <v>1092</v>
      </c>
      <c r="J91" s="1109">
        <f>(55286585.28-552853.280000001-9)/2</f>
        <v>27366861.5</v>
      </c>
      <c r="K91" s="1110"/>
      <c r="L91" s="1110"/>
      <c r="M91" s="1110"/>
      <c r="N91" s="1109">
        <f>SUM(J91:M91)</f>
        <v>27366861.5</v>
      </c>
      <c r="O91" s="1110"/>
      <c r="P91" s="1109">
        <f>SUM(O91:O91)</f>
        <v>0</v>
      </c>
      <c r="Q91" s="1109"/>
      <c r="R91" s="1109">
        <f t="shared" si="33"/>
        <v>27366861.5</v>
      </c>
      <c r="S91" s="1109"/>
      <c r="T91" s="1554"/>
      <c r="U91" s="1083">
        <v>27366861.5</v>
      </c>
      <c r="V91" s="1083">
        <v>27366861.5</v>
      </c>
      <c r="W91" s="1083">
        <v>27366861.5</v>
      </c>
      <c r="X91" s="1083">
        <f>+U91-W91</f>
        <v>0</v>
      </c>
      <c r="Y91" s="1083"/>
      <c r="Z91" s="1083"/>
      <c r="AA91" s="1083"/>
      <c r="AB91" s="1083"/>
      <c r="AC91" s="1083"/>
      <c r="AD91" s="1083"/>
      <c r="AE91" s="1080" t="s">
        <v>36</v>
      </c>
      <c r="AF91" s="1080" t="s">
        <v>1325</v>
      </c>
    </row>
    <row r="92" spans="1:32" s="1080" customFormat="1" ht="18" customHeight="1">
      <c r="A92"/>
      <c r="B92"/>
      <c r="C92" s="1138" t="s">
        <v>848</v>
      </c>
      <c r="D92" s="1132" t="s">
        <v>211</v>
      </c>
      <c r="E92" s="1132">
        <v>83990</v>
      </c>
      <c r="F92" s="1132" t="s">
        <v>197</v>
      </c>
      <c r="G92" s="1132">
        <v>6</v>
      </c>
      <c r="H92" s="1095"/>
      <c r="I92" s="1095" t="s">
        <v>1089</v>
      </c>
      <c r="J92" s="1117">
        <f>28735204.64-15927326-1256763</f>
        <v>11551115.640000001</v>
      </c>
      <c r="K92" s="1110"/>
      <c r="L92" s="1110"/>
      <c r="M92" s="1110"/>
      <c r="N92" s="1109">
        <f>SUM(J92:M92)</f>
        <v>11551115.640000001</v>
      </c>
      <c r="O92" s="1110"/>
      <c r="P92" s="1109">
        <f>SUM(O92:O92)</f>
        <v>0</v>
      </c>
      <c r="Q92" s="1109"/>
      <c r="R92" s="1109">
        <f t="shared" si="33"/>
        <v>11551115.640000001</v>
      </c>
      <c r="S92" s="1109"/>
      <c r="T92" s="1554"/>
      <c r="U92" s="1083">
        <v>11551115.640000001</v>
      </c>
      <c r="V92" s="1083">
        <v>11551116</v>
      </c>
      <c r="W92" s="1083">
        <v>11551116</v>
      </c>
      <c r="X92" s="1083">
        <f t="shared" ref="X92" si="36">+U92-W92</f>
        <v>-0.35999999940395355</v>
      </c>
      <c r="Y92" s="1083"/>
      <c r="Z92" s="1083"/>
      <c r="AA92" s="1083"/>
      <c r="AB92" s="1083"/>
      <c r="AC92" s="1083"/>
      <c r="AD92" s="1083"/>
      <c r="AE92" s="1080" t="s">
        <v>36</v>
      </c>
      <c r="AF92" s="1080" t="s">
        <v>1325</v>
      </c>
    </row>
    <row r="93" spans="1:32" s="1084" customFormat="1" ht="36.75" customHeight="1">
      <c r="A93"/>
      <c r="B93"/>
      <c r="C93" s="1613" t="s">
        <v>627</v>
      </c>
      <c r="D93" s="1614" t="s">
        <v>211</v>
      </c>
      <c r="E93" s="1615">
        <v>83990</v>
      </c>
      <c r="F93" s="1214" t="s">
        <v>198</v>
      </c>
      <c r="G93" s="1214">
        <v>1</v>
      </c>
      <c r="H93" s="1089"/>
      <c r="I93" s="1089" t="s">
        <v>1089</v>
      </c>
      <c r="J93" s="1387">
        <v>20500000</v>
      </c>
      <c r="K93" s="1215"/>
      <c r="L93" s="1215"/>
      <c r="M93" s="1215"/>
      <c r="N93" s="1387">
        <f>SUM(J93:M93)</f>
        <v>20500000</v>
      </c>
      <c r="O93" s="1215"/>
      <c r="P93" s="1387">
        <f>SUM(O93:O93)</f>
        <v>0</v>
      </c>
      <c r="Q93" s="1387"/>
      <c r="R93" s="1387">
        <f t="shared" si="33"/>
        <v>20500000</v>
      </c>
      <c r="S93" s="1387"/>
      <c r="T93" s="1586"/>
      <c r="U93" s="1085">
        <v>20500000</v>
      </c>
      <c r="V93" s="1085"/>
      <c r="W93" s="1085"/>
      <c r="X93" s="1085">
        <f t="shared" ref="X93" si="37">+U93-V93</f>
        <v>20500000</v>
      </c>
      <c r="Y93" s="1085"/>
      <c r="Z93" s="1085"/>
      <c r="AA93" s="1085"/>
      <c r="AB93" s="1085"/>
      <c r="AC93" s="1085"/>
      <c r="AD93" s="1085"/>
      <c r="AE93" s="1084" t="s">
        <v>36</v>
      </c>
      <c r="AF93" s="1084" t="s">
        <v>1326</v>
      </c>
    </row>
    <row r="94" spans="1:32" s="1084" customFormat="1" ht="22.5" customHeight="1">
      <c r="A94"/>
      <c r="B94"/>
      <c r="C94" s="1212" t="s">
        <v>1268</v>
      </c>
      <c r="D94" s="1213"/>
      <c r="E94" s="1214"/>
      <c r="F94" s="1214"/>
      <c r="G94" s="1089"/>
      <c r="H94" s="1089"/>
      <c r="I94" s="1089"/>
      <c r="J94" s="1215"/>
      <c r="K94" s="1215"/>
      <c r="L94" s="1215"/>
      <c r="M94" s="1387"/>
      <c r="N94" s="1387"/>
      <c r="O94" s="1215"/>
      <c r="P94" s="1387"/>
      <c r="Q94" s="1387"/>
      <c r="R94" s="1387"/>
      <c r="S94" s="1387">
        <v>25000000</v>
      </c>
      <c r="T94" s="1586"/>
      <c r="U94" s="1085"/>
      <c r="V94" s="1085"/>
      <c r="W94" s="1085"/>
      <c r="X94" s="1085"/>
      <c r="Y94" s="1085"/>
      <c r="Z94" s="1085"/>
      <c r="AA94" s="1085"/>
      <c r="AB94" s="1085"/>
      <c r="AC94" s="1085"/>
      <c r="AD94" s="1085"/>
    </row>
    <row r="95" spans="1:32" ht="36" customHeight="1">
      <c r="A95" s="152"/>
      <c r="B95" s="487" t="s">
        <v>1470</v>
      </c>
      <c r="C95" s="1822" t="s">
        <v>1076</v>
      </c>
      <c r="D95" s="95"/>
      <c r="E95" s="95"/>
      <c r="F95" s="95" t="s">
        <v>408</v>
      </c>
      <c r="G95" s="95">
        <v>27</v>
      </c>
      <c r="H95" s="95"/>
      <c r="I95" s="95"/>
      <c r="J95" s="1820">
        <f>SUM(J96:J98)</f>
        <v>70615049</v>
      </c>
      <c r="K95" s="1820">
        <f t="shared" ref="K95:T95" si="38">SUM(K96:K98)</f>
        <v>0</v>
      </c>
      <c r="L95" s="1820">
        <f t="shared" si="38"/>
        <v>0</v>
      </c>
      <c r="M95" s="1820">
        <f t="shared" si="38"/>
        <v>0</v>
      </c>
      <c r="N95" s="1820">
        <f t="shared" si="38"/>
        <v>70615049</v>
      </c>
      <c r="O95" s="1820">
        <f t="shared" si="38"/>
        <v>0</v>
      </c>
      <c r="P95" s="1820">
        <f t="shared" si="38"/>
        <v>0</v>
      </c>
      <c r="Q95" s="1820">
        <f t="shared" si="38"/>
        <v>0</v>
      </c>
      <c r="R95" s="1820">
        <f t="shared" si="38"/>
        <v>70615049</v>
      </c>
      <c r="S95" s="1820">
        <f t="shared" si="38"/>
        <v>0</v>
      </c>
      <c r="T95" s="1823">
        <f t="shared" si="38"/>
        <v>0</v>
      </c>
      <c r="U95" s="1025"/>
      <c r="V95" s="1025"/>
      <c r="W95" s="1025"/>
      <c r="X95" s="1025">
        <f>+U95-W95</f>
        <v>0</v>
      </c>
      <c r="Y95" s="1025"/>
      <c r="Z95" s="1025"/>
      <c r="AA95" s="1025"/>
      <c r="AB95" s="1025"/>
      <c r="AC95" s="1025"/>
      <c r="AD95" s="1025"/>
    </row>
    <row r="96" spans="1:32" s="1080" customFormat="1" ht="25.5">
      <c r="A96"/>
      <c r="B96"/>
      <c r="C96" s="1138" t="s">
        <v>430</v>
      </c>
      <c r="D96" s="1132" t="s">
        <v>211</v>
      </c>
      <c r="E96" s="1095">
        <v>83990</v>
      </c>
      <c r="F96" s="1132" t="s">
        <v>197</v>
      </c>
      <c r="G96" s="1440">
        <v>11</v>
      </c>
      <c r="H96" s="1095"/>
      <c r="I96" s="1095" t="s">
        <v>1092</v>
      </c>
      <c r="J96" s="1109">
        <f>(55286585.28-552853.280000001-9)/2</f>
        <v>27366861.5</v>
      </c>
      <c r="K96" s="1110"/>
      <c r="L96" s="1110"/>
      <c r="M96" s="1110"/>
      <c r="N96" s="1109">
        <f>SUM(J96:M96)</f>
        <v>27366861.5</v>
      </c>
      <c r="O96" s="1110"/>
      <c r="P96" s="1109">
        <f>SUM(O96:O96)</f>
        <v>0</v>
      </c>
      <c r="Q96" s="1109"/>
      <c r="R96" s="1109">
        <f>+Q96+P96+N96</f>
        <v>27366861.5</v>
      </c>
      <c r="S96" s="1109"/>
      <c r="T96" s="1554"/>
      <c r="U96" s="1083">
        <v>27366861.5</v>
      </c>
      <c r="V96" s="1083">
        <v>27366861.5</v>
      </c>
      <c r="W96" s="1083">
        <v>27366861.5</v>
      </c>
      <c r="X96" s="1083">
        <f t="shared" ref="X96" si="39">+U96-W96</f>
        <v>0</v>
      </c>
      <c r="Y96" s="1083"/>
      <c r="Z96" s="1083"/>
      <c r="AA96" s="1083"/>
      <c r="AB96" s="1083"/>
      <c r="AC96" s="1083"/>
      <c r="AD96" s="1083"/>
      <c r="AE96" s="1080" t="s">
        <v>36</v>
      </c>
      <c r="AF96" s="1080" t="s">
        <v>1325</v>
      </c>
    </row>
    <row r="97" spans="1:32" s="1084" customFormat="1" ht="25.5">
      <c r="A97"/>
      <c r="B97"/>
      <c r="C97" s="1613" t="s">
        <v>626</v>
      </c>
      <c r="D97" s="1614" t="s">
        <v>211</v>
      </c>
      <c r="E97" s="1615">
        <v>83931</v>
      </c>
      <c r="F97" s="1214" t="s">
        <v>198</v>
      </c>
      <c r="G97" s="1214">
        <v>1</v>
      </c>
      <c r="H97" s="1089"/>
      <c r="I97" s="1089" t="s">
        <v>1091</v>
      </c>
      <c r="J97" s="1387">
        <v>24000000</v>
      </c>
      <c r="K97" s="1215"/>
      <c r="L97" s="1215"/>
      <c r="M97" s="1215"/>
      <c r="N97" s="1387">
        <f t="shared" ref="N97" si="40">SUM(J97:M97)</f>
        <v>24000000</v>
      </c>
      <c r="O97" s="1215"/>
      <c r="P97" s="1387">
        <f>SUM(O97:O97)</f>
        <v>0</v>
      </c>
      <c r="Q97" s="1387"/>
      <c r="R97" s="1387">
        <f>+Q97+P97+N97</f>
        <v>24000000</v>
      </c>
      <c r="S97" s="1387"/>
      <c r="T97" s="1586"/>
      <c r="U97" s="1085">
        <v>24000000</v>
      </c>
      <c r="V97" s="1085"/>
      <c r="W97" s="1085"/>
      <c r="X97" s="1085">
        <f>+U97-V97</f>
        <v>24000000</v>
      </c>
      <c r="Y97" s="1085"/>
      <c r="Z97" s="1085"/>
      <c r="AA97" s="1085"/>
      <c r="AB97" s="1085"/>
      <c r="AC97" s="1085"/>
      <c r="AD97" s="1085"/>
      <c r="AE97" s="1084" t="s">
        <v>36</v>
      </c>
      <c r="AF97" s="1084" t="s">
        <v>1326</v>
      </c>
    </row>
    <row r="98" spans="1:32" s="1080" customFormat="1" ht="25.5">
      <c r="A98"/>
      <c r="B98"/>
      <c r="C98" s="1138" t="s">
        <v>721</v>
      </c>
      <c r="D98" s="1132" t="s">
        <v>211</v>
      </c>
      <c r="E98" s="1095">
        <v>83990</v>
      </c>
      <c r="F98" s="1132"/>
      <c r="G98" s="1132"/>
      <c r="H98" s="1095"/>
      <c r="I98" s="1095" t="s">
        <v>1090</v>
      </c>
      <c r="J98" s="1109">
        <f>(35893000+2603375)/2</f>
        <v>19248187.5</v>
      </c>
      <c r="K98" s="1110"/>
      <c r="L98" s="1110"/>
      <c r="M98" s="1110"/>
      <c r="N98" s="1109">
        <f>SUM(J98:M98)</f>
        <v>19248187.5</v>
      </c>
      <c r="O98" s="1110"/>
      <c r="P98" s="1109"/>
      <c r="Q98" s="1109"/>
      <c r="R98" s="1109">
        <f>+Q98+P98+N98</f>
        <v>19248187.5</v>
      </c>
      <c r="S98" s="1109"/>
      <c r="T98" s="1554"/>
      <c r="U98" s="1083">
        <v>19248187.5</v>
      </c>
      <c r="V98" s="1083">
        <v>19248187.399999999</v>
      </c>
      <c r="W98" s="1083">
        <v>19248187.399999999</v>
      </c>
      <c r="X98" s="1083">
        <f>+U98-W98</f>
        <v>0.10000000149011612</v>
      </c>
      <c r="Y98" s="1083"/>
      <c r="Z98" s="1083"/>
      <c r="AA98" s="1083"/>
      <c r="AB98" s="1083"/>
      <c r="AC98" s="1083"/>
      <c r="AD98" s="1083"/>
      <c r="AE98" s="1080" t="s">
        <v>36</v>
      </c>
      <c r="AF98" s="1080" t="s">
        <v>1325</v>
      </c>
    </row>
    <row r="99" spans="1:32" ht="25.5">
      <c r="A99" s="152"/>
      <c r="B99" s="487" t="s">
        <v>1471</v>
      </c>
      <c r="C99" s="1822" t="s">
        <v>1077</v>
      </c>
      <c r="D99" s="95"/>
      <c r="E99" s="95"/>
      <c r="F99" s="95" t="s">
        <v>1100</v>
      </c>
      <c r="G99" s="95">
        <v>1</v>
      </c>
      <c r="H99" s="95"/>
      <c r="I99" s="95"/>
      <c r="J99" s="1820">
        <f>SUM(J100:J103)</f>
        <v>81561792.5</v>
      </c>
      <c r="K99" s="1820">
        <f t="shared" ref="K99:T99" si="41">SUM(K100:K103)</f>
        <v>20000000</v>
      </c>
      <c r="L99" s="1820">
        <f t="shared" si="41"/>
        <v>0</v>
      </c>
      <c r="M99" s="1820">
        <f t="shared" si="41"/>
        <v>0</v>
      </c>
      <c r="N99" s="1820">
        <f t="shared" si="41"/>
        <v>101561792.5</v>
      </c>
      <c r="O99" s="1820">
        <f t="shared" si="41"/>
        <v>0</v>
      </c>
      <c r="P99" s="1820">
        <f t="shared" si="41"/>
        <v>0</v>
      </c>
      <c r="Q99" s="1820">
        <f t="shared" si="41"/>
        <v>0</v>
      </c>
      <c r="R99" s="1820">
        <f t="shared" si="41"/>
        <v>101561792.5</v>
      </c>
      <c r="S99" s="1820">
        <f t="shared" si="41"/>
        <v>0</v>
      </c>
      <c r="T99" s="1823">
        <f t="shared" si="41"/>
        <v>0</v>
      </c>
      <c r="V99" s="1025"/>
      <c r="W99" s="1025"/>
      <c r="X99" s="1025"/>
      <c r="Y99" s="1025"/>
      <c r="Z99" s="1025"/>
      <c r="AA99" s="1025"/>
      <c r="AB99" s="1025"/>
      <c r="AC99" s="1025"/>
      <c r="AD99" s="1025"/>
    </row>
    <row r="100" spans="1:32" s="1084" customFormat="1" ht="25.5">
      <c r="A100"/>
      <c r="B100"/>
      <c r="C100" s="1212" t="s">
        <v>429</v>
      </c>
      <c r="D100" s="1214" t="s">
        <v>211</v>
      </c>
      <c r="E100" s="1089">
        <v>83990</v>
      </c>
      <c r="F100" s="1214" t="s">
        <v>197</v>
      </c>
      <c r="G100" s="1612">
        <v>10.5</v>
      </c>
      <c r="H100" s="1089"/>
      <c r="I100" s="1089" t="s">
        <v>1088</v>
      </c>
      <c r="J100" s="1173">
        <f>27643292.64+1091912.36-1368344+10946744</f>
        <v>38313605</v>
      </c>
      <c r="K100" s="1215"/>
      <c r="L100" s="1215"/>
      <c r="M100" s="1215"/>
      <c r="N100" s="1387">
        <f>SUM(J100:M100)</f>
        <v>38313605</v>
      </c>
      <c r="O100" s="1215"/>
      <c r="P100" s="1387">
        <f>SUM(O100:O100)</f>
        <v>0</v>
      </c>
      <c r="Q100" s="1387"/>
      <c r="R100" s="1387">
        <f>+Q100+P100+N100</f>
        <v>38313605</v>
      </c>
      <c r="S100" s="1387"/>
      <c r="T100" s="1586"/>
      <c r="U100" s="1085">
        <v>38313605</v>
      </c>
      <c r="V100" s="1085"/>
      <c r="W100" s="1085"/>
      <c r="X100" s="1085">
        <f>+U100-V100</f>
        <v>38313605</v>
      </c>
      <c r="Y100" s="1085"/>
      <c r="Z100" s="1085"/>
      <c r="AA100" s="1085"/>
      <c r="AB100" s="1085"/>
      <c r="AC100" s="1085"/>
      <c r="AD100" s="1085"/>
      <c r="AE100" s="1084" t="s">
        <v>36</v>
      </c>
      <c r="AF100" s="1084" t="s">
        <v>1325</v>
      </c>
    </row>
    <row r="101" spans="1:32" s="1084" customFormat="1" ht="25.5">
      <c r="A101"/>
      <c r="B101"/>
      <c r="C101" s="1212" t="s">
        <v>623</v>
      </c>
      <c r="D101" s="1214" t="s">
        <v>211</v>
      </c>
      <c r="E101" s="1089">
        <v>83931</v>
      </c>
      <c r="F101" s="1214" t="s">
        <v>624</v>
      </c>
      <c r="G101" s="1612">
        <v>11</v>
      </c>
      <c r="H101" s="1089"/>
      <c r="I101" s="1089" t="s">
        <v>1088</v>
      </c>
      <c r="J101" s="1173">
        <v>24000000</v>
      </c>
      <c r="K101" s="1215"/>
      <c r="L101" s="1215"/>
      <c r="M101" s="1215"/>
      <c r="N101" s="1387">
        <f>SUM(J101:M101)</f>
        <v>24000000</v>
      </c>
      <c r="O101" s="1215"/>
      <c r="P101" s="1387">
        <f>SUM(O101:O101)</f>
        <v>0</v>
      </c>
      <c r="Q101" s="1387"/>
      <c r="R101" s="1387">
        <f>+Q101+P101+N101</f>
        <v>24000000</v>
      </c>
      <c r="S101" s="1387"/>
      <c r="T101" s="1586"/>
      <c r="U101" s="1085">
        <v>24000000</v>
      </c>
      <c r="V101" s="1085"/>
      <c r="W101" s="1085"/>
      <c r="X101" s="1085">
        <f t="shared" ref="X101:X102" si="42">+U101-V101</f>
        <v>24000000</v>
      </c>
      <c r="Y101" s="1085"/>
      <c r="Z101" s="1085"/>
      <c r="AA101" s="1085"/>
      <c r="AB101" s="1085"/>
      <c r="AC101" s="1085"/>
      <c r="AD101" s="1085"/>
      <c r="AE101" s="1084" t="s">
        <v>36</v>
      </c>
      <c r="AF101" s="1084" t="s">
        <v>1325</v>
      </c>
    </row>
    <row r="102" spans="1:32" s="1084" customFormat="1" ht="16.5" customHeight="1">
      <c r="A102"/>
      <c r="B102"/>
      <c r="C102" s="1613" t="s">
        <v>625</v>
      </c>
      <c r="D102" s="1614"/>
      <c r="E102" s="1615"/>
      <c r="F102" s="1214" t="s">
        <v>198</v>
      </c>
      <c r="G102" s="1214">
        <v>5</v>
      </c>
      <c r="H102" s="1089"/>
      <c r="I102" s="1089" t="s">
        <v>1088</v>
      </c>
      <c r="J102" s="1387"/>
      <c r="K102" s="1215">
        <v>20000000</v>
      </c>
      <c r="L102" s="1215"/>
      <c r="M102" s="1215"/>
      <c r="N102" s="1387">
        <f>SUM(J102:M102)</f>
        <v>20000000</v>
      </c>
      <c r="O102" s="1215"/>
      <c r="P102" s="1387">
        <f>SUM(O102:O102)</f>
        <v>0</v>
      </c>
      <c r="Q102" s="1387"/>
      <c r="R102" s="1387">
        <f>+Q102+P102+N102</f>
        <v>20000000</v>
      </c>
      <c r="S102" s="1387"/>
      <c r="T102" s="1586"/>
      <c r="U102" s="1085">
        <v>20000000</v>
      </c>
      <c r="V102" s="1085"/>
      <c r="W102" s="1085"/>
      <c r="X102" s="1085">
        <f t="shared" si="42"/>
        <v>20000000</v>
      </c>
      <c r="Y102" s="1085"/>
      <c r="Z102" s="1085"/>
      <c r="AA102" s="1085"/>
      <c r="AB102" s="1085"/>
      <c r="AC102" s="1085"/>
      <c r="AD102" s="1085"/>
      <c r="AE102" s="1084" t="s">
        <v>36</v>
      </c>
      <c r="AF102" s="1084" t="s">
        <v>1326</v>
      </c>
    </row>
    <row r="103" spans="1:32" s="1080" customFormat="1" ht="26.25" thickBot="1">
      <c r="A103"/>
      <c r="B103"/>
      <c r="C103" s="1827" t="s">
        <v>721</v>
      </c>
      <c r="D103" s="1558" t="s">
        <v>211</v>
      </c>
      <c r="E103" s="1100">
        <v>83990</v>
      </c>
      <c r="F103" s="1558"/>
      <c r="G103" s="1558"/>
      <c r="H103" s="1100"/>
      <c r="I103" s="1100" t="s">
        <v>1090</v>
      </c>
      <c r="J103" s="1382">
        <f>(35893000+2603375)/2</f>
        <v>19248187.5</v>
      </c>
      <c r="K103" s="1266"/>
      <c r="L103" s="1266"/>
      <c r="M103" s="1266"/>
      <c r="N103" s="1382">
        <f>SUM(J103:M103)</f>
        <v>19248187.5</v>
      </c>
      <c r="O103" s="1266"/>
      <c r="P103" s="1382"/>
      <c r="Q103" s="1382"/>
      <c r="R103" s="1382">
        <f>+Q103+P103+N103</f>
        <v>19248187.5</v>
      </c>
      <c r="S103" s="1382"/>
      <c r="T103" s="1559"/>
      <c r="U103" s="1083">
        <v>19248187.5</v>
      </c>
      <c r="V103" s="1083">
        <v>19248187.399999999</v>
      </c>
      <c r="W103" s="1083">
        <v>19248187.399999999</v>
      </c>
      <c r="X103" s="1083">
        <f t="shared" ref="X103" si="43">+U103-W103</f>
        <v>0.10000000149011612</v>
      </c>
      <c r="Y103" s="1083"/>
      <c r="Z103" s="1083"/>
      <c r="AA103" s="1083"/>
      <c r="AB103" s="1083"/>
      <c r="AC103" s="1083"/>
      <c r="AD103" s="1083"/>
      <c r="AE103" s="1080" t="s">
        <v>36</v>
      </c>
      <c r="AF103" s="1080" t="s">
        <v>1325</v>
      </c>
    </row>
    <row r="104" spans="1:32" ht="42.75" customHeight="1" thickBot="1">
      <c r="A104" s="152">
        <v>206</v>
      </c>
      <c r="B104" s="487"/>
      <c r="C104" s="624" t="s">
        <v>1001</v>
      </c>
      <c r="D104" s="625"/>
      <c r="E104" s="625"/>
      <c r="F104" s="597" t="s">
        <v>1098</v>
      </c>
      <c r="G104" s="597">
        <v>100</v>
      </c>
      <c r="H104" s="597"/>
      <c r="I104" s="597"/>
      <c r="J104" s="741">
        <f>+J105+J109</f>
        <v>380267111.72000003</v>
      </c>
      <c r="K104" s="741">
        <f t="shared" ref="K104:R104" si="44">+K105+K109</f>
        <v>0</v>
      </c>
      <c r="L104" s="741">
        <f t="shared" si="44"/>
        <v>0</v>
      </c>
      <c r="M104" s="741">
        <f t="shared" si="44"/>
        <v>30033600</v>
      </c>
      <c r="N104" s="741">
        <f t="shared" si="44"/>
        <v>410300711.72000003</v>
      </c>
      <c r="O104" s="741">
        <f t="shared" si="44"/>
        <v>0</v>
      </c>
      <c r="P104" s="741">
        <f t="shared" si="44"/>
        <v>0</v>
      </c>
      <c r="Q104" s="741">
        <f t="shared" si="44"/>
        <v>0</v>
      </c>
      <c r="R104" s="741">
        <f t="shared" si="44"/>
        <v>410300711.72000003</v>
      </c>
      <c r="S104" s="741">
        <f t="shared" ref="S104:T104" si="45">+S105+S109</f>
        <v>25000000</v>
      </c>
      <c r="T104" s="742">
        <f t="shared" si="45"/>
        <v>0</v>
      </c>
      <c r="U104" s="1025"/>
      <c r="V104" s="1025"/>
      <c r="W104" s="1025"/>
      <c r="X104" s="1025"/>
      <c r="Y104" s="1025"/>
      <c r="Z104" s="1025"/>
      <c r="AA104" s="1025"/>
      <c r="AB104" s="1025"/>
      <c r="AC104" s="1025"/>
      <c r="AD104" s="1025"/>
    </row>
    <row r="105" spans="1:32" ht="38.25">
      <c r="A105" s="152"/>
      <c r="B105" s="487" t="s">
        <v>1472</v>
      </c>
      <c r="C105" s="1824" t="s">
        <v>1002</v>
      </c>
      <c r="D105" s="197" t="s">
        <v>318</v>
      </c>
      <c r="E105" s="197"/>
      <c r="F105" s="197" t="s">
        <v>1098</v>
      </c>
      <c r="G105" s="197">
        <v>100</v>
      </c>
      <c r="H105" s="197"/>
      <c r="I105" s="197"/>
      <c r="J105" s="1825">
        <f>SUM(J106:J108)</f>
        <v>57674778.860000007</v>
      </c>
      <c r="K105" s="1825">
        <f t="shared" ref="K105:R105" si="46">SUM(K106:K108)</f>
        <v>0</v>
      </c>
      <c r="L105" s="1825">
        <f t="shared" si="46"/>
        <v>0</v>
      </c>
      <c r="M105" s="1825">
        <f t="shared" si="46"/>
        <v>0</v>
      </c>
      <c r="N105" s="1825">
        <f t="shared" si="46"/>
        <v>57674778.860000007</v>
      </c>
      <c r="O105" s="1825">
        <f t="shared" si="46"/>
        <v>0</v>
      </c>
      <c r="P105" s="1825">
        <f t="shared" si="46"/>
        <v>0</v>
      </c>
      <c r="Q105" s="1825">
        <f t="shared" si="46"/>
        <v>0</v>
      </c>
      <c r="R105" s="1825">
        <f t="shared" si="46"/>
        <v>57674778.860000007</v>
      </c>
      <c r="S105" s="1825">
        <f t="shared" ref="S105:T105" si="47">SUM(S106:S108)</f>
        <v>0</v>
      </c>
      <c r="T105" s="1826">
        <f t="shared" si="47"/>
        <v>0</v>
      </c>
      <c r="U105" s="1025"/>
      <c r="V105" s="1025"/>
      <c r="W105" s="1025"/>
      <c r="X105" s="1025"/>
      <c r="Y105" s="1025"/>
      <c r="Z105" s="1025"/>
      <c r="AA105" s="1025"/>
      <c r="AB105" s="1025"/>
      <c r="AC105" s="1025"/>
      <c r="AD105" s="1025"/>
    </row>
    <row r="106" spans="1:32" s="1080" customFormat="1" ht="36" customHeight="1">
      <c r="A106"/>
      <c r="B106"/>
      <c r="C106" s="1094" t="s">
        <v>843</v>
      </c>
      <c r="D106" s="1095" t="s">
        <v>211</v>
      </c>
      <c r="E106" s="1095">
        <v>83990</v>
      </c>
      <c r="F106" s="1095" t="s">
        <v>197</v>
      </c>
      <c r="G106" s="1095">
        <v>10</v>
      </c>
      <c r="H106" s="1095"/>
      <c r="I106" s="1095" t="s">
        <v>1093</v>
      </c>
      <c r="J106" s="1110">
        <f>(50309877.56-2857644.55999999)/2</f>
        <v>23726116.500000007</v>
      </c>
      <c r="K106" s="1110"/>
      <c r="L106" s="1110"/>
      <c r="M106" s="1110"/>
      <c r="N106" s="1109">
        <f t="shared" ref="N106:N108" si="48">SUM(J106:M106)</f>
        <v>23726116.500000007</v>
      </c>
      <c r="O106" s="1110"/>
      <c r="P106" s="1109">
        <f>SUM(O106:O106)</f>
        <v>0</v>
      </c>
      <c r="Q106" s="1109"/>
      <c r="R106" s="1109">
        <f>+Q106+P106+N106</f>
        <v>23726116.500000007</v>
      </c>
      <c r="S106" s="1109"/>
      <c r="T106" s="1554"/>
      <c r="U106" s="1083">
        <v>23726116.500000007</v>
      </c>
      <c r="V106" s="1083">
        <v>23726116</v>
      </c>
      <c r="W106" s="1083">
        <v>23726116</v>
      </c>
      <c r="X106" s="1083">
        <f>+U106-W106</f>
        <v>0.5000000074505806</v>
      </c>
      <c r="Y106" s="1083"/>
      <c r="Z106" s="1083"/>
      <c r="AA106" s="1083"/>
      <c r="AB106" s="1083"/>
      <c r="AC106" s="1083"/>
      <c r="AD106" s="1083"/>
      <c r="AE106" s="1080" t="s">
        <v>196</v>
      </c>
      <c r="AF106" s="1080" t="s">
        <v>1313</v>
      </c>
    </row>
    <row r="107" spans="1:32" s="1080" customFormat="1" ht="42" customHeight="1">
      <c r="A107"/>
      <c r="B107"/>
      <c r="C107" s="1094" t="s">
        <v>783</v>
      </c>
      <c r="D107" s="1095" t="s">
        <v>211</v>
      </c>
      <c r="E107" s="1095">
        <v>83990</v>
      </c>
      <c r="F107" s="1095" t="s">
        <v>197</v>
      </c>
      <c r="G107" s="1095">
        <v>10</v>
      </c>
      <c r="H107" s="1095"/>
      <c r="I107" s="1095" t="s">
        <v>1093</v>
      </c>
      <c r="J107" s="1110">
        <f>47452232.72/2</f>
        <v>23726116.359999999</v>
      </c>
      <c r="K107" s="1110"/>
      <c r="L107" s="1110"/>
      <c r="M107" s="1110"/>
      <c r="N107" s="1109">
        <f t="shared" si="48"/>
        <v>23726116.359999999</v>
      </c>
      <c r="O107" s="1110"/>
      <c r="P107" s="1109">
        <f>SUM(O107:O107)</f>
        <v>0</v>
      </c>
      <c r="Q107" s="1109"/>
      <c r="R107" s="1109">
        <f>+Q107+P107+N107</f>
        <v>23726116.359999999</v>
      </c>
      <c r="S107" s="1109"/>
      <c r="T107" s="1554"/>
      <c r="U107" s="1083">
        <v>23726116.359999999</v>
      </c>
      <c r="V107" s="1083">
        <v>23726116.359999999</v>
      </c>
      <c r="W107" s="1083">
        <v>23726116.359999999</v>
      </c>
      <c r="X107" s="1083">
        <f t="shared" ref="X107:X111" si="49">+U107-W107</f>
        <v>0</v>
      </c>
      <c r="Y107" s="1083"/>
      <c r="Z107" s="1083"/>
      <c r="AA107" s="1083"/>
      <c r="AB107" s="1083"/>
      <c r="AC107" s="1083"/>
      <c r="AD107" s="1083"/>
      <c r="AE107" s="1080" t="s">
        <v>196</v>
      </c>
      <c r="AF107" s="1080" t="s">
        <v>1313</v>
      </c>
    </row>
    <row r="108" spans="1:32" s="1080" customFormat="1" ht="15">
      <c r="A108"/>
      <c r="B108"/>
      <c r="C108" s="1094" t="s">
        <v>410</v>
      </c>
      <c r="D108" s="1095" t="s">
        <v>211</v>
      </c>
      <c r="E108" s="1095">
        <v>83990</v>
      </c>
      <c r="F108" s="1095"/>
      <c r="G108" s="1095">
        <v>10</v>
      </c>
      <c r="H108" s="1095"/>
      <c r="I108" s="1095" t="s">
        <v>1094</v>
      </c>
      <c r="J108" s="1109">
        <v>10222546</v>
      </c>
      <c r="K108" s="1110"/>
      <c r="L108" s="1110"/>
      <c r="M108" s="1110"/>
      <c r="N108" s="1109">
        <f t="shared" si="48"/>
        <v>10222546</v>
      </c>
      <c r="O108" s="1110"/>
      <c r="P108" s="1109"/>
      <c r="Q108" s="1109"/>
      <c r="R108" s="1109">
        <f>+Q108+P108+N108</f>
        <v>10222546</v>
      </c>
      <c r="S108" s="1109"/>
      <c r="T108" s="1554"/>
      <c r="U108" s="1083">
        <v>10222546</v>
      </c>
      <c r="V108" s="1083">
        <v>10222546</v>
      </c>
      <c r="W108" s="1083">
        <v>10222546</v>
      </c>
      <c r="X108" s="1083">
        <f t="shared" si="49"/>
        <v>0</v>
      </c>
      <c r="Y108" s="1083"/>
      <c r="Z108" s="1083"/>
      <c r="AA108" s="1083"/>
      <c r="AB108" s="1083"/>
      <c r="AC108" s="1083"/>
      <c r="AD108" s="1083"/>
      <c r="AE108" s="1080" t="s">
        <v>196</v>
      </c>
      <c r="AF108" s="1080" t="s">
        <v>1313</v>
      </c>
    </row>
    <row r="109" spans="1:32" ht="38.25">
      <c r="A109" s="152"/>
      <c r="B109" s="487" t="s">
        <v>1473</v>
      </c>
      <c r="C109" s="1822" t="s">
        <v>1003</v>
      </c>
      <c r="D109" s="95"/>
      <c r="E109" s="95"/>
      <c r="F109" s="95" t="s">
        <v>1098</v>
      </c>
      <c r="G109" s="95">
        <v>100</v>
      </c>
      <c r="H109" s="95"/>
      <c r="I109" s="95"/>
      <c r="J109" s="1820">
        <f>SUM(J110:J114)</f>
        <v>322592332.86000001</v>
      </c>
      <c r="K109" s="1820">
        <f t="shared" ref="K109:T109" si="50">SUM(K110:K114)</f>
        <v>0</v>
      </c>
      <c r="L109" s="1820">
        <f t="shared" si="50"/>
        <v>0</v>
      </c>
      <c r="M109" s="1820">
        <f t="shared" si="50"/>
        <v>30033600</v>
      </c>
      <c r="N109" s="1820">
        <f t="shared" si="50"/>
        <v>352625932.86000001</v>
      </c>
      <c r="O109" s="1820">
        <f t="shared" si="50"/>
        <v>0</v>
      </c>
      <c r="P109" s="1820">
        <f t="shared" si="50"/>
        <v>0</v>
      </c>
      <c r="Q109" s="1820">
        <f t="shared" si="50"/>
        <v>0</v>
      </c>
      <c r="R109" s="1820">
        <f t="shared" si="50"/>
        <v>352625932.86000001</v>
      </c>
      <c r="S109" s="1820">
        <f t="shared" si="50"/>
        <v>25000000</v>
      </c>
      <c r="T109" s="1823">
        <f t="shared" si="50"/>
        <v>0</v>
      </c>
      <c r="U109" s="1025"/>
      <c r="V109" s="1025"/>
      <c r="W109" s="1025"/>
      <c r="X109" s="1025">
        <f t="shared" si="49"/>
        <v>0</v>
      </c>
      <c r="Y109" s="1025"/>
      <c r="Z109" s="1025"/>
      <c r="AA109" s="1025"/>
      <c r="AB109" s="1025"/>
      <c r="AC109" s="1025"/>
      <c r="AD109" s="1025"/>
    </row>
    <row r="110" spans="1:32" s="1080" customFormat="1" ht="24.75" customHeight="1">
      <c r="A110"/>
      <c r="B110"/>
      <c r="C110" s="1094" t="s">
        <v>843</v>
      </c>
      <c r="D110" s="1095" t="s">
        <v>211</v>
      </c>
      <c r="E110" s="1095">
        <v>83990</v>
      </c>
      <c r="F110" s="1095" t="s">
        <v>197</v>
      </c>
      <c r="G110" s="1095">
        <v>10</v>
      </c>
      <c r="H110" s="1095"/>
      <c r="I110" s="1095" t="s">
        <v>1093</v>
      </c>
      <c r="J110" s="1110">
        <f>(50309877.56-2857644.55999999)/2</f>
        <v>23726116.500000007</v>
      </c>
      <c r="K110" s="1110"/>
      <c r="L110" s="1110"/>
      <c r="M110" s="1110"/>
      <c r="N110" s="1109">
        <f t="shared" ref="N110:N111" si="51">SUM(J110:M110)</f>
        <v>23726116.500000007</v>
      </c>
      <c r="O110" s="1110"/>
      <c r="P110" s="1109">
        <f>SUM(O110:O110)</f>
        <v>0</v>
      </c>
      <c r="Q110" s="1109"/>
      <c r="R110" s="1109">
        <f>+Q110+P110+N110</f>
        <v>23726116.500000007</v>
      </c>
      <c r="S110" s="1109"/>
      <c r="T110" s="1554"/>
      <c r="U110" s="1083">
        <v>23726116.500000007</v>
      </c>
      <c r="V110" s="1083">
        <v>23726116</v>
      </c>
      <c r="W110" s="1083">
        <v>23726116</v>
      </c>
      <c r="X110" s="1083">
        <f t="shared" si="49"/>
        <v>0.5000000074505806</v>
      </c>
      <c r="Y110" s="1083"/>
      <c r="Z110" s="1083"/>
      <c r="AA110" s="1083"/>
      <c r="AB110" s="1083"/>
      <c r="AC110" s="1083"/>
      <c r="AD110" s="1083"/>
      <c r="AE110" s="1080" t="s">
        <v>196</v>
      </c>
      <c r="AF110" s="1080" t="s">
        <v>1313</v>
      </c>
    </row>
    <row r="111" spans="1:32" s="1080" customFormat="1" ht="24.75" customHeight="1">
      <c r="A111"/>
      <c r="B111"/>
      <c r="C111" s="1094" t="s">
        <v>783</v>
      </c>
      <c r="D111" s="1095" t="s">
        <v>211</v>
      </c>
      <c r="E111" s="1095">
        <v>83990</v>
      </c>
      <c r="F111" s="1095" t="s">
        <v>197</v>
      </c>
      <c r="G111" s="1095">
        <v>10</v>
      </c>
      <c r="H111" s="1095"/>
      <c r="I111" s="1095" t="s">
        <v>1093</v>
      </c>
      <c r="J111" s="1110">
        <f>47452232.72/2</f>
        <v>23726116.359999999</v>
      </c>
      <c r="K111" s="1110"/>
      <c r="L111" s="1110"/>
      <c r="M111" s="1110"/>
      <c r="N111" s="1109">
        <f t="shared" si="51"/>
        <v>23726116.359999999</v>
      </c>
      <c r="O111" s="1110"/>
      <c r="P111" s="1109">
        <f>SUM(O111:O111)</f>
        <v>0</v>
      </c>
      <c r="Q111" s="1109"/>
      <c r="R111" s="1109">
        <f>+Q111+P111+N111</f>
        <v>23726116.359999999</v>
      </c>
      <c r="S111" s="1109"/>
      <c r="T111" s="1554"/>
      <c r="U111" s="1083">
        <v>23726116.359999999</v>
      </c>
      <c r="V111" s="1083">
        <v>23726116.359999999</v>
      </c>
      <c r="W111" s="1083">
        <v>23726116.359999999</v>
      </c>
      <c r="X111" s="1083">
        <f t="shared" si="49"/>
        <v>0</v>
      </c>
      <c r="Y111" s="1083"/>
      <c r="Z111" s="1083"/>
      <c r="AA111" s="1083"/>
      <c r="AB111" s="1083"/>
      <c r="AC111" s="1083"/>
      <c r="AD111" s="1083"/>
      <c r="AE111" s="1080" t="s">
        <v>196</v>
      </c>
      <c r="AF111" s="1080" t="s">
        <v>1313</v>
      </c>
    </row>
    <row r="112" spans="1:32" s="1084" customFormat="1" ht="38.25">
      <c r="A112"/>
      <c r="B112"/>
      <c r="C112" s="1212" t="s">
        <v>601</v>
      </c>
      <c r="D112" s="1213" t="s">
        <v>211</v>
      </c>
      <c r="E112" s="1214">
        <v>83931</v>
      </c>
      <c r="F112" s="1214" t="s">
        <v>198</v>
      </c>
      <c r="G112" s="1089">
        <v>2</v>
      </c>
      <c r="H112" s="1089"/>
      <c r="I112" s="1089" t="s">
        <v>1095</v>
      </c>
      <c r="J112" s="1387">
        <f>100000000+175140100</f>
        <v>275140100</v>
      </c>
      <c r="K112" s="1215"/>
      <c r="L112" s="1215"/>
      <c r="M112" s="1387"/>
      <c r="N112" s="1387">
        <f>+SUM(J112:M112)</f>
        <v>275140100</v>
      </c>
      <c r="O112" s="1215"/>
      <c r="P112" s="1387">
        <f>+SUM(O112:O112)</f>
        <v>0</v>
      </c>
      <c r="Q112" s="1387"/>
      <c r="R112" s="1387">
        <f>+Q112+P112+N112</f>
        <v>275140100</v>
      </c>
      <c r="S112" s="1387"/>
      <c r="T112" s="1586"/>
      <c r="U112" s="1085">
        <v>275140100</v>
      </c>
      <c r="V112" s="1085"/>
      <c r="W112" s="1085"/>
      <c r="X112" s="1085">
        <v>0</v>
      </c>
      <c r="Y112" s="1085"/>
      <c r="Z112" s="1085"/>
      <c r="AA112" s="1085"/>
      <c r="AB112" s="1085"/>
      <c r="AC112" s="1085"/>
      <c r="AD112" s="1085"/>
      <c r="AE112" s="1084" t="s">
        <v>196</v>
      </c>
      <c r="AF112" s="1084" t="s">
        <v>1314</v>
      </c>
    </row>
    <row r="113" spans="1:32" s="1084" customFormat="1" ht="22.5" customHeight="1">
      <c r="A113"/>
      <c r="B113"/>
      <c r="C113" s="1212" t="s">
        <v>602</v>
      </c>
      <c r="D113" s="1213" t="s">
        <v>603</v>
      </c>
      <c r="E113" s="1214" t="s">
        <v>604</v>
      </c>
      <c r="F113" s="1214" t="s">
        <v>198</v>
      </c>
      <c r="G113" s="1089">
        <v>2</v>
      </c>
      <c r="H113" s="1089"/>
      <c r="I113" s="1089" t="s">
        <v>1095</v>
      </c>
      <c r="J113" s="1215"/>
      <c r="K113" s="1215"/>
      <c r="L113" s="1215"/>
      <c r="M113" s="1387">
        <f>30120000-86400</f>
        <v>30033600</v>
      </c>
      <c r="N113" s="1387">
        <f>+SUM(J113:M113)</f>
        <v>30033600</v>
      </c>
      <c r="O113" s="1215"/>
      <c r="P113" s="1387">
        <f>+SUM(O113:O113)</f>
        <v>0</v>
      </c>
      <c r="Q113" s="1387"/>
      <c r="R113" s="1387">
        <f>+Q113+P113+N113</f>
        <v>30033600</v>
      </c>
      <c r="S113" s="1387"/>
      <c r="T113" s="1586"/>
      <c r="U113" s="1085">
        <v>30033600</v>
      </c>
      <c r="V113" s="1085"/>
      <c r="W113" s="1085"/>
      <c r="X113" s="1085">
        <v>0</v>
      </c>
      <c r="Y113" s="1085"/>
      <c r="Z113" s="1085"/>
      <c r="AA113" s="1085"/>
      <c r="AB113" s="1085"/>
      <c r="AC113" s="1085"/>
      <c r="AD113" s="1085"/>
      <c r="AE113" s="1084" t="s">
        <v>196</v>
      </c>
      <c r="AF113" s="1084" t="s">
        <v>1314</v>
      </c>
    </row>
    <row r="114" spans="1:32" s="1084" customFormat="1" ht="22.5" customHeight="1" thickBot="1">
      <c r="A114"/>
      <c r="B114"/>
      <c r="C114" s="1232" t="s">
        <v>1268</v>
      </c>
      <c r="D114" s="1233"/>
      <c r="E114" s="1234"/>
      <c r="F114" s="1234"/>
      <c r="G114" s="1102"/>
      <c r="H114" s="1102"/>
      <c r="I114" s="1102"/>
      <c r="J114" s="1105"/>
      <c r="K114" s="1105"/>
      <c r="L114" s="1105"/>
      <c r="M114" s="1104"/>
      <c r="N114" s="1104"/>
      <c r="O114" s="1105"/>
      <c r="P114" s="1104"/>
      <c r="Q114" s="1104"/>
      <c r="R114" s="1104"/>
      <c r="S114" s="1104">
        <v>25000000</v>
      </c>
      <c r="T114" s="1564"/>
      <c r="U114" s="1085"/>
      <c r="V114" s="1085"/>
      <c r="W114" s="1085"/>
      <c r="X114" s="1085">
        <v>0</v>
      </c>
      <c r="Y114" s="1085"/>
      <c r="Z114" s="1085"/>
      <c r="AA114" s="1085"/>
      <c r="AB114" s="1085"/>
      <c r="AC114" s="1085"/>
      <c r="AD114" s="1085"/>
      <c r="AE114" s="1084" t="s">
        <v>196</v>
      </c>
      <c r="AF114" s="1084" t="s">
        <v>1314</v>
      </c>
    </row>
    <row r="115" spans="1:32" ht="36.75" customHeight="1" thickBot="1">
      <c r="A115" s="152">
        <v>207</v>
      </c>
      <c r="B115" s="487"/>
      <c r="C115" s="624" t="s">
        <v>999</v>
      </c>
      <c r="D115" s="625"/>
      <c r="E115" s="625"/>
      <c r="F115" s="597" t="s">
        <v>1098</v>
      </c>
      <c r="G115" s="597">
        <v>100</v>
      </c>
      <c r="H115" s="597"/>
      <c r="I115" s="597"/>
      <c r="J115" s="741">
        <f t="shared" ref="J115:Q115" si="52">+J116</f>
        <v>173658035</v>
      </c>
      <c r="K115" s="741">
        <f t="shared" si="52"/>
        <v>195400000</v>
      </c>
      <c r="L115" s="741">
        <f t="shared" si="52"/>
        <v>0</v>
      </c>
      <c r="M115" s="741">
        <f>+M116</f>
        <v>86400</v>
      </c>
      <c r="N115" s="741">
        <f t="shared" si="52"/>
        <v>369144435</v>
      </c>
      <c r="O115" s="741">
        <f t="shared" si="52"/>
        <v>130200000</v>
      </c>
      <c r="P115" s="741">
        <f t="shared" si="52"/>
        <v>130200000</v>
      </c>
      <c r="Q115" s="741">
        <f t="shared" si="52"/>
        <v>21600000</v>
      </c>
      <c r="R115" s="741">
        <f>+R116</f>
        <v>520944435</v>
      </c>
      <c r="S115" s="741">
        <f>+S116</f>
        <v>0</v>
      </c>
      <c r="T115" s="742">
        <f>+T116</f>
        <v>202062233</v>
      </c>
      <c r="U115" s="1025"/>
      <c r="V115" s="1025"/>
      <c r="W115" s="1025"/>
      <c r="X115" s="1025"/>
      <c r="Y115" s="1025"/>
      <c r="Z115" s="1025"/>
      <c r="AA115" s="1025"/>
      <c r="AB115" s="1025"/>
      <c r="AC115" s="1025"/>
      <c r="AD115" s="1025"/>
    </row>
    <row r="116" spans="1:32" ht="36.75" customHeight="1">
      <c r="A116" s="152"/>
      <c r="B116" s="487" t="s">
        <v>1474</v>
      </c>
      <c r="C116" s="1824" t="s">
        <v>1000</v>
      </c>
      <c r="D116" s="197"/>
      <c r="E116" s="197"/>
      <c r="F116" s="197" t="s">
        <v>408</v>
      </c>
      <c r="G116" s="197">
        <v>2</v>
      </c>
      <c r="H116" s="197"/>
      <c r="I116" s="197"/>
      <c r="J116" s="1825">
        <f>SUM(J117:J125)</f>
        <v>173658035</v>
      </c>
      <c r="K116" s="1825">
        <f t="shared" ref="K116:R116" si="53">SUM(K117:K125)</f>
        <v>195400000</v>
      </c>
      <c r="L116" s="1825">
        <f t="shared" si="53"/>
        <v>0</v>
      </c>
      <c r="M116" s="1825">
        <f>SUM(M117:M125)</f>
        <v>86400</v>
      </c>
      <c r="N116" s="1825">
        <f t="shared" si="53"/>
        <v>369144435</v>
      </c>
      <c r="O116" s="1825">
        <f t="shared" si="53"/>
        <v>130200000</v>
      </c>
      <c r="P116" s="1825">
        <f t="shared" si="53"/>
        <v>130200000</v>
      </c>
      <c r="Q116" s="1825">
        <f t="shared" si="53"/>
        <v>21600000</v>
      </c>
      <c r="R116" s="1825">
        <f t="shared" si="53"/>
        <v>520944435</v>
      </c>
      <c r="S116" s="1825">
        <f t="shared" ref="S116:T116" si="54">SUM(S117:S125)</f>
        <v>0</v>
      </c>
      <c r="T116" s="1826">
        <f t="shared" si="54"/>
        <v>202062233</v>
      </c>
      <c r="U116" s="1025"/>
      <c r="V116" s="1025"/>
      <c r="W116" s="1025"/>
      <c r="X116" s="1025"/>
      <c r="Y116" s="1025"/>
      <c r="Z116" s="1025"/>
      <c r="AA116" s="1025"/>
      <c r="AB116" s="1025"/>
      <c r="AC116" s="1025"/>
      <c r="AD116" s="1025"/>
    </row>
    <row r="117" spans="1:32" s="1084" customFormat="1" ht="52.5" customHeight="1">
      <c r="A117"/>
      <c r="B117"/>
      <c r="C117" s="1610" t="s">
        <v>607</v>
      </c>
      <c r="D117" s="1214" t="s">
        <v>411</v>
      </c>
      <c r="E117" s="1089" t="s">
        <v>412</v>
      </c>
      <c r="F117" s="1214" t="s">
        <v>198</v>
      </c>
      <c r="G117" s="1305">
        <v>1</v>
      </c>
      <c r="H117" s="1616"/>
      <c r="I117" s="1616"/>
      <c r="J117" s="1215">
        <f>80000000-80000000</f>
        <v>0</v>
      </c>
      <c r="K117" s="1215">
        <v>80000000</v>
      </c>
      <c r="L117" s="1215"/>
      <c r="M117" s="1215"/>
      <c r="N117" s="1387">
        <f t="shared" ref="N117:N125" si="55">SUM(J117:M117)</f>
        <v>80000000</v>
      </c>
      <c r="O117" s="1215"/>
      <c r="P117" s="1387">
        <f>SUM(O117:O117)</f>
        <v>0</v>
      </c>
      <c r="Q117" s="1387"/>
      <c r="R117" s="1387">
        <f t="shared" ref="R117:R125" si="56">+N117+P117+Q117</f>
        <v>80000000</v>
      </c>
      <c r="S117" s="1387"/>
      <c r="T117" s="1586"/>
      <c r="U117" s="1085">
        <v>80000000</v>
      </c>
      <c r="V117" s="1085"/>
      <c r="W117" s="1085"/>
      <c r="X117" s="1085">
        <f>+U117-V117</f>
        <v>80000000</v>
      </c>
      <c r="Y117" s="1085"/>
      <c r="Z117" s="1085"/>
      <c r="AA117" s="1085"/>
      <c r="AB117" s="1085"/>
      <c r="AC117" s="1085"/>
      <c r="AD117" s="1085"/>
      <c r="AE117" s="1084" t="s">
        <v>33</v>
      </c>
      <c r="AF117" s="1084" t="s">
        <v>1315</v>
      </c>
    </row>
    <row r="118" spans="1:32" s="1084" customFormat="1" ht="37.5" customHeight="1">
      <c r="A118"/>
      <c r="B118"/>
      <c r="C118" s="1610" t="s">
        <v>608</v>
      </c>
      <c r="D118" s="1214" t="s">
        <v>411</v>
      </c>
      <c r="E118" s="1089" t="s">
        <v>412</v>
      </c>
      <c r="F118" s="1214" t="s">
        <v>198</v>
      </c>
      <c r="G118" s="1305">
        <v>1</v>
      </c>
      <c r="H118" s="1616"/>
      <c r="I118" s="1616"/>
      <c r="J118" s="1215">
        <f>50200000-50200000</f>
        <v>0</v>
      </c>
      <c r="K118" s="1215">
        <v>50200000</v>
      </c>
      <c r="L118" s="1215"/>
      <c r="M118" s="1215"/>
      <c r="N118" s="1387">
        <f t="shared" si="55"/>
        <v>50200000</v>
      </c>
      <c r="O118" s="1215">
        <v>50200000</v>
      </c>
      <c r="P118" s="1387">
        <f>SUM(O118:O118)</f>
        <v>50200000</v>
      </c>
      <c r="Q118" s="1387"/>
      <c r="R118" s="1387">
        <f t="shared" si="56"/>
        <v>100400000</v>
      </c>
      <c r="S118" s="1387"/>
      <c r="T118" s="1586"/>
      <c r="U118" s="1085">
        <v>100400000</v>
      </c>
      <c r="V118" s="1085"/>
      <c r="W118" s="1085"/>
      <c r="X118" s="1085">
        <f t="shared" ref="X118:X121" si="57">+U118-V118</f>
        <v>100400000</v>
      </c>
      <c r="Y118" s="1085"/>
      <c r="Z118" s="1085"/>
      <c r="AA118" s="1085"/>
      <c r="AB118" s="1085"/>
      <c r="AC118" s="1085"/>
      <c r="AD118" s="1085"/>
      <c r="AE118" s="1084" t="s">
        <v>33</v>
      </c>
      <c r="AF118" s="1084" t="s">
        <v>1315</v>
      </c>
    </row>
    <row r="119" spans="1:32" s="1084" customFormat="1" ht="29.25" customHeight="1">
      <c r="A119"/>
      <c r="B119"/>
      <c r="C119" s="1610" t="s">
        <v>784</v>
      </c>
      <c r="D119" s="1214" t="s">
        <v>211</v>
      </c>
      <c r="E119" s="1089">
        <v>83990</v>
      </c>
      <c r="F119" s="1214" t="s">
        <v>198</v>
      </c>
      <c r="G119" s="1305">
        <v>1</v>
      </c>
      <c r="H119" s="1616"/>
      <c r="I119" s="1616"/>
      <c r="J119" s="1215">
        <f>60000000+34827647</f>
        <v>94827647</v>
      </c>
      <c r="K119" s="1215"/>
      <c r="L119" s="1215"/>
      <c r="M119" s="1215"/>
      <c r="N119" s="1387">
        <f t="shared" si="55"/>
        <v>94827647</v>
      </c>
      <c r="O119" s="1386"/>
      <c r="P119" s="1387"/>
      <c r="Q119" s="1387"/>
      <c r="R119" s="1387">
        <f t="shared" si="56"/>
        <v>94827647</v>
      </c>
      <c r="S119" s="1387"/>
      <c r="T119" s="1586"/>
      <c r="U119" s="1085">
        <v>60000000</v>
      </c>
      <c r="V119" s="1085"/>
      <c r="W119" s="1085"/>
      <c r="X119" s="1085">
        <f t="shared" si="57"/>
        <v>60000000</v>
      </c>
      <c r="Y119" s="1085"/>
      <c r="Z119" s="1085"/>
      <c r="AA119" s="1085"/>
      <c r="AB119" s="1085"/>
      <c r="AC119" s="1085"/>
      <c r="AD119" s="1085"/>
      <c r="AE119" s="1084" t="s">
        <v>33</v>
      </c>
      <c r="AF119" s="1084" t="s">
        <v>1315</v>
      </c>
    </row>
    <row r="120" spans="1:32" s="1084" customFormat="1" ht="39.75" customHeight="1">
      <c r="A120"/>
      <c r="B120"/>
      <c r="C120" s="1610" t="s">
        <v>914</v>
      </c>
      <c r="D120" s="1214" t="s">
        <v>395</v>
      </c>
      <c r="E120" s="1089">
        <v>94900</v>
      </c>
      <c r="F120" s="1214" t="s">
        <v>198</v>
      </c>
      <c r="G120" s="1305">
        <v>1</v>
      </c>
      <c r="H120" s="1616"/>
      <c r="I120" s="1616"/>
      <c r="J120" s="1215">
        <f>50200000-50200000</f>
        <v>0</v>
      </c>
      <c r="K120" s="1215">
        <v>50200000</v>
      </c>
      <c r="L120" s="1215"/>
      <c r="M120" s="1215"/>
      <c r="N120" s="1387">
        <f t="shared" si="55"/>
        <v>50200000</v>
      </c>
      <c r="O120" s="1215"/>
      <c r="P120" s="1387">
        <f>SUM(O120:O120)</f>
        <v>0</v>
      </c>
      <c r="Q120" s="1387"/>
      <c r="R120" s="1387">
        <f t="shared" si="56"/>
        <v>50200000</v>
      </c>
      <c r="S120" s="1387"/>
      <c r="T120" s="1586">
        <v>202062233</v>
      </c>
      <c r="U120" s="1085">
        <v>50200000</v>
      </c>
      <c r="V120" s="1085"/>
      <c r="W120" s="1085"/>
      <c r="X120" s="1085">
        <f t="shared" si="57"/>
        <v>50200000</v>
      </c>
      <c r="Y120" s="1085"/>
      <c r="Z120" s="1085"/>
      <c r="AA120" s="1085"/>
      <c r="AB120" s="1085"/>
      <c r="AC120" s="1085"/>
      <c r="AD120" s="1085"/>
      <c r="AE120" s="1084" t="s">
        <v>33</v>
      </c>
      <c r="AF120" s="1084" t="s">
        <v>1315</v>
      </c>
    </row>
    <row r="121" spans="1:32" s="1084" customFormat="1" ht="54.75" customHeight="1">
      <c r="A121"/>
      <c r="B121"/>
      <c r="C121" s="1610" t="s">
        <v>561</v>
      </c>
      <c r="D121" s="1214" t="s">
        <v>374</v>
      </c>
      <c r="E121" s="1089">
        <v>196106.01961039999</v>
      </c>
      <c r="F121" s="1214" t="s">
        <v>198</v>
      </c>
      <c r="G121" s="1305">
        <v>1</v>
      </c>
      <c r="H121" s="1616"/>
      <c r="I121" s="1616"/>
      <c r="J121" s="1215"/>
      <c r="K121" s="1215">
        <v>15000000</v>
      </c>
      <c r="L121" s="1215"/>
      <c r="M121" s="1215"/>
      <c r="N121" s="1387">
        <f>SUM(J121:M121)</f>
        <v>15000000</v>
      </c>
      <c r="O121" s="1215">
        <v>80000000</v>
      </c>
      <c r="P121" s="1387">
        <f>SUM(O121:O121)</f>
        <v>80000000</v>
      </c>
      <c r="Q121" s="1387"/>
      <c r="R121" s="1387">
        <f t="shared" si="56"/>
        <v>95000000</v>
      </c>
      <c r="S121" s="1387"/>
      <c r="T121" s="1586"/>
      <c r="U121" s="1085">
        <v>95000000</v>
      </c>
      <c r="V121" s="1085"/>
      <c r="W121" s="1085"/>
      <c r="X121" s="1085">
        <f t="shared" si="57"/>
        <v>95000000</v>
      </c>
      <c r="Y121" s="1085"/>
      <c r="Z121" s="1085"/>
      <c r="AA121" s="1085"/>
      <c r="AB121" s="1085"/>
      <c r="AC121" s="1085"/>
      <c r="AD121" s="1085"/>
      <c r="AE121" s="1084" t="s">
        <v>33</v>
      </c>
      <c r="AF121" s="1084" t="s">
        <v>1315</v>
      </c>
    </row>
    <row r="122" spans="1:32" s="1080" customFormat="1" ht="31.5" customHeight="1">
      <c r="A122"/>
      <c r="B122"/>
      <c r="C122" s="1556" t="s">
        <v>720</v>
      </c>
      <c r="D122" s="1132" t="s">
        <v>211</v>
      </c>
      <c r="E122" s="1095">
        <v>83931</v>
      </c>
      <c r="F122" s="1132" t="s">
        <v>197</v>
      </c>
      <c r="G122" s="1312">
        <v>11</v>
      </c>
      <c r="H122" s="1557"/>
      <c r="I122" s="1557"/>
      <c r="J122" s="1110">
        <f>66264000-23640447</f>
        <v>42623553</v>
      </c>
      <c r="K122" s="1110"/>
      <c r="L122" s="1110"/>
      <c r="M122" s="1110"/>
      <c r="N122" s="1109">
        <f t="shared" si="55"/>
        <v>42623553</v>
      </c>
      <c r="O122" s="1110"/>
      <c r="P122" s="1109">
        <f>SUM(O122:O122)</f>
        <v>0</v>
      </c>
      <c r="Q122" s="1109"/>
      <c r="R122" s="1109">
        <f t="shared" si="56"/>
        <v>42623553</v>
      </c>
      <c r="S122" s="1109"/>
      <c r="T122" s="1554"/>
      <c r="U122" s="1083">
        <v>42623553</v>
      </c>
      <c r="V122" s="1083">
        <v>42623553</v>
      </c>
      <c r="W122" s="1083">
        <v>42623553</v>
      </c>
      <c r="X122" s="1083">
        <f>+U122-W122</f>
        <v>0</v>
      </c>
      <c r="Y122" s="1083"/>
      <c r="Z122" s="1083"/>
      <c r="AA122" s="1083"/>
      <c r="AB122" s="1083"/>
      <c r="AC122" s="1083"/>
      <c r="AD122" s="1083"/>
      <c r="AE122" s="1080" t="s">
        <v>33</v>
      </c>
      <c r="AF122" s="1080" t="s">
        <v>1315</v>
      </c>
    </row>
    <row r="123" spans="1:32" s="1080" customFormat="1" ht="31.5" customHeight="1">
      <c r="A123"/>
      <c r="B123"/>
      <c r="C123" s="1556" t="s">
        <v>844</v>
      </c>
      <c r="D123" s="1132" t="s">
        <v>211</v>
      </c>
      <c r="E123" s="1095">
        <v>83931</v>
      </c>
      <c r="F123" s="1132" t="s">
        <v>197</v>
      </c>
      <c r="G123" s="1312">
        <v>6</v>
      </c>
      <c r="H123" s="1557"/>
      <c r="I123" s="1557"/>
      <c r="J123" s="1110"/>
      <c r="K123" s="1110"/>
      <c r="L123" s="1110"/>
      <c r="M123" s="1110">
        <v>86400</v>
      </c>
      <c r="N123" s="1109">
        <f t="shared" si="55"/>
        <v>86400</v>
      </c>
      <c r="O123" s="1110"/>
      <c r="P123" s="1109"/>
      <c r="Q123" s="1109">
        <v>21600000</v>
      </c>
      <c r="R123" s="1109">
        <f t="shared" si="56"/>
        <v>21686400</v>
      </c>
      <c r="S123" s="1109"/>
      <c r="T123" s="1554"/>
      <c r="U123" s="1083">
        <v>21686400</v>
      </c>
      <c r="V123" s="1083">
        <v>21686400</v>
      </c>
      <c r="W123" s="1083">
        <v>21686400</v>
      </c>
      <c r="X123" s="1083">
        <f t="shared" ref="X123" si="58">+U123-W123</f>
        <v>0</v>
      </c>
      <c r="Y123" s="1083"/>
      <c r="Z123" s="1083"/>
      <c r="AA123" s="1083"/>
      <c r="AB123" s="1083"/>
      <c r="AC123" s="1083"/>
      <c r="AD123" s="1083"/>
      <c r="AE123" s="1080" t="s">
        <v>33</v>
      </c>
      <c r="AF123" s="1080" t="s">
        <v>1315</v>
      </c>
    </row>
    <row r="124" spans="1:32" s="1080" customFormat="1" ht="25.5">
      <c r="A124"/>
      <c r="B124"/>
      <c r="C124" s="1556" t="s">
        <v>562</v>
      </c>
      <c r="D124" s="1132" t="s">
        <v>211</v>
      </c>
      <c r="E124" s="1095">
        <v>83932</v>
      </c>
      <c r="F124" s="1132" t="s">
        <v>197</v>
      </c>
      <c r="G124" s="1312">
        <v>9</v>
      </c>
      <c r="H124" s="1557"/>
      <c r="I124" s="1557"/>
      <c r="J124" s="1110">
        <v>33943908</v>
      </c>
      <c r="K124" s="1110"/>
      <c r="L124" s="1110"/>
      <c r="M124" s="1110"/>
      <c r="N124" s="1109">
        <f t="shared" ref="N124" si="59">SUM(J124:M124)</f>
        <v>33943908</v>
      </c>
      <c r="O124" s="1110"/>
      <c r="P124" s="1109">
        <f>SUM(O124:O124)</f>
        <v>0</v>
      </c>
      <c r="Q124" s="1109"/>
      <c r="R124" s="1109">
        <f t="shared" ref="R124" si="60">+N124+P124+Q124</f>
        <v>33943908</v>
      </c>
      <c r="S124" s="1109"/>
      <c r="T124" s="1554"/>
      <c r="U124" s="1083">
        <v>36206835</v>
      </c>
      <c r="V124" s="1083">
        <v>33943908</v>
      </c>
      <c r="W124" s="1083"/>
      <c r="X124" s="1083">
        <f>+U124-V124</f>
        <v>2262927</v>
      </c>
      <c r="Y124" s="1083"/>
      <c r="Z124" s="1083"/>
      <c r="AA124" s="1083"/>
      <c r="AB124" s="1083"/>
      <c r="AC124" s="1083"/>
      <c r="AD124" s="1083"/>
      <c r="AE124" s="1080" t="s">
        <v>33</v>
      </c>
      <c r="AF124" s="1080" t="s">
        <v>1315</v>
      </c>
    </row>
    <row r="125" spans="1:32" s="1084" customFormat="1" ht="26.25" thickBot="1">
      <c r="A125"/>
      <c r="B125"/>
      <c r="C125" s="1562" t="s">
        <v>562</v>
      </c>
      <c r="D125" s="1234" t="s">
        <v>211</v>
      </c>
      <c r="E125" s="1102">
        <v>83932</v>
      </c>
      <c r="F125" s="1234" t="s">
        <v>197</v>
      </c>
      <c r="G125" s="1298">
        <v>9</v>
      </c>
      <c r="H125" s="1563"/>
      <c r="I125" s="1563"/>
      <c r="J125" s="1105">
        <f>36206835-J124</f>
        <v>2262927</v>
      </c>
      <c r="K125" s="1105"/>
      <c r="L125" s="1105"/>
      <c r="M125" s="1105"/>
      <c r="N125" s="1104">
        <f t="shared" si="55"/>
        <v>2262927</v>
      </c>
      <c r="O125" s="1105"/>
      <c r="P125" s="1104">
        <f>SUM(O125:O125)</f>
        <v>0</v>
      </c>
      <c r="Q125" s="1104"/>
      <c r="R125" s="1104">
        <f t="shared" si="56"/>
        <v>2262927</v>
      </c>
      <c r="S125" s="1104"/>
      <c r="T125" s="1564"/>
      <c r="U125" s="1085">
        <v>36206835</v>
      </c>
      <c r="V125" s="1085">
        <v>33943908</v>
      </c>
      <c r="W125" s="1085"/>
      <c r="X125" s="1085">
        <f>+U125-V125</f>
        <v>2262927</v>
      </c>
      <c r="Y125" s="1085"/>
      <c r="Z125" s="1085"/>
      <c r="AA125" s="1085"/>
      <c r="AB125" s="1085"/>
      <c r="AC125" s="1085"/>
      <c r="AD125" s="1085"/>
      <c r="AE125" s="1084" t="s">
        <v>33</v>
      </c>
      <c r="AF125" s="1084" t="s">
        <v>1315</v>
      </c>
    </row>
    <row r="126" spans="1:32" ht="13.5" thickBot="1">
      <c r="B126" s="285"/>
      <c r="C126" s="2242" t="s">
        <v>10</v>
      </c>
      <c r="D126" s="2243"/>
      <c r="E126" s="2243"/>
      <c r="F126" s="2243"/>
      <c r="G126" s="2244"/>
      <c r="H126" s="781"/>
      <c r="I126" s="781"/>
      <c r="J126" s="740">
        <f t="shared" ref="J126:T126" si="61">+J9+J85+J104+J115</f>
        <v>2328927348.4960003</v>
      </c>
      <c r="K126" s="740">
        <f t="shared" si="61"/>
        <v>245480000</v>
      </c>
      <c r="L126" s="740">
        <f t="shared" si="61"/>
        <v>56971612.535999991</v>
      </c>
      <c r="M126" s="740">
        <f t="shared" si="61"/>
        <v>216838879.94513398</v>
      </c>
      <c r="N126" s="740">
        <f t="shared" si="61"/>
        <v>2848217840.9771338</v>
      </c>
      <c r="O126" s="740">
        <f t="shared" si="61"/>
        <v>246959503</v>
      </c>
      <c r="P126" s="740">
        <f t="shared" si="61"/>
        <v>246959503</v>
      </c>
      <c r="Q126" s="740">
        <f t="shared" si="61"/>
        <v>21600000</v>
      </c>
      <c r="R126" s="740">
        <f t="shared" si="61"/>
        <v>3116777343.9771338</v>
      </c>
      <c r="S126" s="740">
        <f t="shared" si="61"/>
        <v>50000000</v>
      </c>
      <c r="T126" s="740">
        <f t="shared" si="61"/>
        <v>345062233</v>
      </c>
      <c r="U126" s="1025"/>
      <c r="V126" s="1025"/>
      <c r="W126" s="1025"/>
      <c r="X126" s="1025"/>
      <c r="Y126" s="1025"/>
      <c r="Z126" s="1025"/>
      <c r="AA126" s="1025"/>
      <c r="AB126" s="1025"/>
      <c r="AC126" s="1025"/>
      <c r="AD126" s="1025"/>
    </row>
    <row r="127" spans="1:32" ht="13.5" thickBot="1">
      <c r="B127" s="285"/>
      <c r="C127" s="162"/>
      <c r="D127" s="158"/>
      <c r="E127" s="158"/>
      <c r="N127" s="160"/>
      <c r="Q127" s="160"/>
      <c r="R127" s="160"/>
      <c r="S127" s="160"/>
      <c r="T127" s="160"/>
      <c r="U127" s="1025"/>
      <c r="V127" s="1025"/>
      <c r="W127" s="1025"/>
      <c r="X127" s="1025"/>
      <c r="Y127" s="1025"/>
      <c r="Z127" s="1025"/>
      <c r="AA127" s="1025"/>
      <c r="AB127" s="1025"/>
      <c r="AC127" s="1025"/>
      <c r="AD127" s="1025"/>
    </row>
    <row r="128" spans="1:32" ht="13.5" thickBot="1">
      <c r="C128" s="162"/>
      <c r="D128" s="158"/>
      <c r="E128" s="158"/>
      <c r="J128" s="1017">
        <v>2328927344.9505453</v>
      </c>
      <c r="K128" s="1017">
        <v>245480000</v>
      </c>
      <c r="L128" s="1017">
        <v>56971612.535999991</v>
      </c>
      <c r="M128" s="1017">
        <v>216838879.94513363</v>
      </c>
      <c r="N128" s="1018">
        <v>2848217837.4316788</v>
      </c>
      <c r="O128" s="1018">
        <v>246959503</v>
      </c>
      <c r="P128" s="1018">
        <v>246959503</v>
      </c>
      <c r="Q128" s="1018">
        <v>21600000</v>
      </c>
      <c r="R128" s="1018">
        <v>3116777340.4316788</v>
      </c>
      <c r="S128" s="1018">
        <v>50000000</v>
      </c>
      <c r="T128" s="1018">
        <v>345062233</v>
      </c>
    </row>
    <row r="129" spans="6:20">
      <c r="Q129" s="151"/>
      <c r="R129" s="151"/>
      <c r="S129" s="151"/>
      <c r="T129" s="151"/>
    </row>
    <row r="130" spans="6:20">
      <c r="J130" s="729">
        <f>+J126-J128</f>
        <v>3.5454549789428711</v>
      </c>
      <c r="K130" s="729">
        <f t="shared" ref="K130:T130" si="62">+K126-K128</f>
        <v>0</v>
      </c>
      <c r="L130" s="729">
        <f t="shared" si="62"/>
        <v>0</v>
      </c>
      <c r="M130" s="729">
        <f t="shared" si="62"/>
        <v>3.5762786865234375E-7</v>
      </c>
      <c r="N130" s="729">
        <f t="shared" si="62"/>
        <v>3.5454549789428711</v>
      </c>
      <c r="O130" s="729">
        <f t="shared" si="62"/>
        <v>0</v>
      </c>
      <c r="P130" s="729">
        <f t="shared" si="62"/>
        <v>0</v>
      </c>
      <c r="Q130" s="729">
        <f t="shared" si="62"/>
        <v>0</v>
      </c>
      <c r="R130" s="729">
        <f t="shared" si="62"/>
        <v>3.5454549789428711</v>
      </c>
      <c r="S130" s="729">
        <f t="shared" si="62"/>
        <v>0</v>
      </c>
      <c r="T130" s="729">
        <f t="shared" si="62"/>
        <v>0</v>
      </c>
    </row>
    <row r="131" spans="6:20">
      <c r="F131" s="150"/>
      <c r="G131" s="150"/>
      <c r="H131" s="150"/>
      <c r="I131" s="150"/>
      <c r="J131" s="400"/>
      <c r="K131" s="400"/>
      <c r="L131" s="400"/>
      <c r="M131" s="400"/>
    </row>
    <row r="132" spans="6:20">
      <c r="J132" s="729"/>
      <c r="R132" s="1025">
        <f>SUBTOTAL(9,R12:R124)</f>
        <v>5671707894.7691345</v>
      </c>
    </row>
    <row r="133" spans="6:20">
      <c r="J133" s="729"/>
      <c r="K133" s="729"/>
      <c r="R133" s="150">
        <v>422988116.27999997</v>
      </c>
    </row>
    <row r="134" spans="6:20">
      <c r="J134" s="729"/>
      <c r="K134" s="729"/>
      <c r="R134" s="1025">
        <v>122436024</v>
      </c>
    </row>
    <row r="135" spans="6:20">
      <c r="J135" s="729"/>
      <c r="K135" s="729"/>
      <c r="R135" s="1025"/>
    </row>
  </sheetData>
  <mergeCells count="32">
    <mergeCell ref="C126:G126"/>
    <mergeCell ref="N6:N8"/>
    <mergeCell ref="J7:J8"/>
    <mergeCell ref="K7:K8"/>
    <mergeCell ref="L7:L8"/>
    <mergeCell ref="M7:M8"/>
    <mergeCell ref="C5:T5"/>
    <mergeCell ref="D1:R3"/>
    <mergeCell ref="A6:A8"/>
    <mergeCell ref="B6:B8"/>
    <mergeCell ref="C6:C8"/>
    <mergeCell ref="D6:D8"/>
    <mergeCell ref="E6:E8"/>
    <mergeCell ref="C1:C3"/>
    <mergeCell ref="S1:T1"/>
    <mergeCell ref="S2:T2"/>
    <mergeCell ref="S3:T3"/>
    <mergeCell ref="C4:T4"/>
    <mergeCell ref="AE7:AF7"/>
    <mergeCell ref="AD7:AD8"/>
    <mergeCell ref="Y7:AB7"/>
    <mergeCell ref="Y6:AD6"/>
    <mergeCell ref="F6:F8"/>
    <mergeCell ref="G6:G8"/>
    <mergeCell ref="H6:H8"/>
    <mergeCell ref="J6:M6"/>
    <mergeCell ref="Q6:Q8"/>
    <mergeCell ref="R6:R8"/>
    <mergeCell ref="T6:T8"/>
    <mergeCell ref="P6:P8"/>
    <mergeCell ref="O7:O8"/>
    <mergeCell ref="S6:S8"/>
  </mergeCells>
  <pageMargins left="0.7" right="0.7" top="0.75" bottom="0.75" header="0.3" footer="0.3"/>
  <pageSetup orientation="portrait" verticalDpi="597"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AC137"/>
  <sheetViews>
    <sheetView workbookViewId="0">
      <selection activeCell="H32" sqref="H32"/>
    </sheetView>
  </sheetViews>
  <sheetFormatPr baseColWidth="10" defaultColWidth="11.42578125" defaultRowHeight="12.75"/>
  <cols>
    <col min="1" max="1" width="12" style="150" customWidth="1"/>
    <col min="2" max="2" width="47.140625" style="150" customWidth="1"/>
    <col min="3" max="3" width="11" style="159" customWidth="1"/>
    <col min="4" max="4" width="8.28515625" style="159" customWidth="1"/>
    <col min="5" max="5" width="16.85546875" style="159" customWidth="1"/>
    <col min="6" max="6" width="14.5703125" style="159" customWidth="1"/>
    <col min="7" max="8" width="16.85546875" style="400" customWidth="1"/>
    <col min="9" max="9" width="16.42578125" style="150" bestFit="1" customWidth="1"/>
    <col min="10" max="10" width="14" style="150" bestFit="1" customWidth="1"/>
    <col min="11" max="11" width="13.85546875" style="150" customWidth="1"/>
    <col min="12" max="12" width="16.85546875" style="150" bestFit="1" customWidth="1"/>
    <col min="13" max="13" width="16.42578125" style="150" bestFit="1" customWidth="1"/>
    <col min="14" max="14" width="21.7109375" style="150" bestFit="1" customWidth="1"/>
    <col min="15" max="17" width="11.42578125" style="150"/>
    <col min="18" max="18" width="14.42578125" style="150" customWidth="1"/>
    <col min="19" max="16384" width="11.42578125" style="150"/>
  </cols>
  <sheetData>
    <row r="1" spans="1:13" ht="15.75" customHeight="1" thickBot="1">
      <c r="B1" s="2166" t="s">
        <v>434</v>
      </c>
      <c r="C1" s="2167"/>
      <c r="D1" s="2167"/>
      <c r="E1" s="2167"/>
      <c r="F1" s="2168"/>
      <c r="G1" s="2260" t="s">
        <v>980</v>
      </c>
      <c r="H1" s="2261"/>
      <c r="J1" s="1"/>
      <c r="K1" s="1"/>
      <c r="L1" s="1"/>
      <c r="M1" s="1"/>
    </row>
    <row r="2" spans="1:13" ht="15.75" customHeight="1" thickBot="1">
      <c r="B2" s="2166"/>
      <c r="C2" s="2167"/>
      <c r="D2" s="2167"/>
      <c r="E2" s="2167"/>
      <c r="F2" s="2168"/>
      <c r="G2" s="2260" t="s">
        <v>365</v>
      </c>
      <c r="H2" s="2261"/>
      <c r="J2" s="1"/>
      <c r="K2" s="1"/>
      <c r="L2" s="1"/>
      <c r="M2" s="1"/>
    </row>
    <row r="3" spans="1:13" ht="15.75" customHeight="1" thickBot="1">
      <c r="B3" s="2166"/>
      <c r="C3" s="2167"/>
      <c r="D3" s="2167"/>
      <c r="E3" s="2167"/>
      <c r="F3" s="2168"/>
      <c r="G3" s="2260" t="s">
        <v>366</v>
      </c>
      <c r="H3" s="2261"/>
      <c r="J3" s="1"/>
      <c r="K3" s="1"/>
      <c r="L3" s="1"/>
      <c r="M3" s="1"/>
    </row>
    <row r="4" spans="1:13" s="1" customFormat="1" ht="15" customHeight="1" thickBot="1">
      <c r="B4" s="2145" t="s">
        <v>177</v>
      </c>
      <c r="C4" s="2146"/>
      <c r="D4" s="2146"/>
      <c r="E4" s="2146"/>
      <c r="F4" s="2146"/>
      <c r="G4" s="2146"/>
      <c r="H4" s="2147"/>
      <c r="I4" s="150"/>
    </row>
    <row r="5" spans="1:13" s="1" customFormat="1" ht="19.5" customHeight="1" thickBot="1">
      <c r="B5" s="2145" t="s">
        <v>1392</v>
      </c>
      <c r="C5" s="2146"/>
      <c r="D5" s="2146"/>
      <c r="E5" s="2146"/>
      <c r="F5" s="2146"/>
      <c r="G5" s="2146"/>
      <c r="H5" s="2147"/>
      <c r="I5" s="150"/>
    </row>
    <row r="6" spans="1:13" ht="15" customHeight="1" thickBot="1">
      <c r="A6" s="2247" t="s">
        <v>278</v>
      </c>
      <c r="B6" s="2247" t="s">
        <v>311</v>
      </c>
      <c r="C6" s="2247" t="s">
        <v>313</v>
      </c>
      <c r="D6" s="2247" t="s">
        <v>191</v>
      </c>
      <c r="E6" s="2247" t="s">
        <v>189</v>
      </c>
      <c r="F6" s="2247"/>
      <c r="G6" s="2174" t="s">
        <v>965</v>
      </c>
      <c r="H6" s="2174" t="s">
        <v>1267</v>
      </c>
    </row>
    <row r="7" spans="1:13" ht="15" customHeight="1" thickBot="1">
      <c r="A7" s="2159"/>
      <c r="B7" s="2159"/>
      <c r="C7" s="2159"/>
      <c r="D7" s="2159"/>
      <c r="E7" s="2159" t="s">
        <v>192</v>
      </c>
      <c r="F7" s="2159" t="s">
        <v>208</v>
      </c>
      <c r="G7" s="2245"/>
      <c r="H7" s="2245"/>
    </row>
    <row r="8" spans="1:13" ht="15" customHeight="1" thickBot="1">
      <c r="A8" s="2200"/>
      <c r="B8" s="2200"/>
      <c r="C8" s="2200"/>
      <c r="D8" s="2200"/>
      <c r="E8" s="2200"/>
      <c r="F8" s="2200"/>
      <c r="G8" s="2173"/>
      <c r="H8" s="2173"/>
    </row>
    <row r="9" spans="1:13" ht="50.25" customHeight="1" thickBot="1">
      <c r="A9" s="487" t="s">
        <v>1449</v>
      </c>
      <c r="B9" s="201" t="s">
        <v>1428</v>
      </c>
      <c r="C9" s="1677" t="s">
        <v>1098</v>
      </c>
      <c r="D9" s="1677">
        <v>100</v>
      </c>
      <c r="E9" s="431">
        <f>+'ACCIONES 320202'!I10</f>
        <v>550056367.27999997</v>
      </c>
      <c r="F9" s="431">
        <f>+'ACCIONES 320202'!J10</f>
        <v>452158475.90737772</v>
      </c>
      <c r="G9" s="431">
        <f>+'ACCIONES 320202'!K10</f>
        <v>1002214843.1873777</v>
      </c>
      <c r="H9" s="432">
        <f>+'ACCIONES 320202'!L10</f>
        <v>40172833</v>
      </c>
    </row>
    <row r="10" spans="1:13" ht="25.5">
      <c r="A10" s="881"/>
      <c r="B10" s="882" t="s">
        <v>1067</v>
      </c>
      <c r="C10" s="381" t="s">
        <v>1098</v>
      </c>
      <c r="D10" s="1683">
        <v>100</v>
      </c>
      <c r="E10" s="483">
        <f>+'ACCIONES 320202'!I11</f>
        <v>54733723.280000001</v>
      </c>
      <c r="F10" s="483">
        <f>+'ACCIONES 320202'!J11</f>
        <v>0</v>
      </c>
      <c r="G10" s="483">
        <f>+'ACCIONES 320202'!K11</f>
        <v>54733723.280000001</v>
      </c>
      <c r="H10" s="593">
        <f>+'ACCIONES 320202'!L11</f>
        <v>0</v>
      </c>
    </row>
    <row r="11" spans="1:13" ht="25.5">
      <c r="B11" s="35" t="s">
        <v>1068</v>
      </c>
      <c r="C11" s="1652" t="s">
        <v>1098</v>
      </c>
      <c r="D11" s="1684">
        <v>100</v>
      </c>
      <c r="E11" s="481">
        <f>+'ACCIONES 320202'!I13</f>
        <v>313310097</v>
      </c>
      <c r="F11" s="481">
        <f>+'ACCIONES 320202'!J13</f>
        <v>452158475.90737772</v>
      </c>
      <c r="G11" s="481">
        <f>+'ACCIONES 320202'!K13</f>
        <v>765468572.90737772</v>
      </c>
      <c r="H11" s="594">
        <f>+'ACCIONES 320202'!L13</f>
        <v>40172833</v>
      </c>
    </row>
    <row r="12" spans="1:13" ht="26.25" thickBot="1">
      <c r="A12" s="881"/>
      <c r="B12" s="386" t="s">
        <v>1066</v>
      </c>
      <c r="C12" s="1675" t="s">
        <v>1101</v>
      </c>
      <c r="D12" s="1675">
        <v>3</v>
      </c>
      <c r="E12" s="879">
        <f>+'ACCIONES 320202'!I27</f>
        <v>182012547</v>
      </c>
      <c r="F12" s="879">
        <f>+'ACCIONES 320202'!J27</f>
        <v>0</v>
      </c>
      <c r="G12" s="879">
        <f>+'ACCIONES 320202'!K27</f>
        <v>182012547</v>
      </c>
      <c r="H12" s="880">
        <f>+'ACCIONES 320202'!L27</f>
        <v>0</v>
      </c>
    </row>
    <row r="13" spans="1:13" ht="29.25" customHeight="1" thickBot="1">
      <c r="A13" s="487" t="s">
        <v>1449</v>
      </c>
      <c r="B13" s="201" t="s">
        <v>1429</v>
      </c>
      <c r="C13" s="1677" t="s">
        <v>1098</v>
      </c>
      <c r="D13" s="1677">
        <v>100</v>
      </c>
      <c r="E13" s="431">
        <f>+'ACCIONES 320202'!I33</f>
        <v>51230681</v>
      </c>
      <c r="F13" s="431">
        <f>+'ACCIONES 320202'!J33</f>
        <v>0</v>
      </c>
      <c r="G13" s="431">
        <f>+'ACCIONES 320202'!K33</f>
        <v>51230681</v>
      </c>
      <c r="H13" s="432">
        <f>+'ACCIONES 320202'!L33</f>
        <v>0</v>
      </c>
    </row>
    <row r="14" spans="1:13" ht="45.75" customHeight="1" thickBot="1">
      <c r="A14" s="881"/>
      <c r="B14" s="883" t="s">
        <v>1005</v>
      </c>
      <c r="C14" s="1685" t="s">
        <v>1098</v>
      </c>
      <c r="D14" s="1686">
        <v>100</v>
      </c>
      <c r="E14" s="591">
        <f>+'ACCIONES 320202'!I34</f>
        <v>51230681</v>
      </c>
      <c r="F14" s="591">
        <f>+'ACCIONES 320202'!J34</f>
        <v>0</v>
      </c>
      <c r="G14" s="591">
        <f>+'ACCIONES 320202'!K34</f>
        <v>51230681</v>
      </c>
      <c r="H14" s="592">
        <f>+'ACCIONES 320202'!L34</f>
        <v>0</v>
      </c>
    </row>
    <row r="15" spans="1:13" ht="13.5" thickBot="1">
      <c r="A15" s="285"/>
      <c r="B15" s="2257" t="s">
        <v>10</v>
      </c>
      <c r="C15" s="2258"/>
      <c r="D15" s="2259"/>
      <c r="E15" s="1828">
        <f>+E9+E13</f>
        <v>601287048.27999997</v>
      </c>
      <c r="F15" s="1828">
        <f>+F9+F13</f>
        <v>452158475.90737772</v>
      </c>
      <c r="G15" s="1829">
        <f>+G9+G13</f>
        <v>1053445524.1873777</v>
      </c>
      <c r="H15" s="1829">
        <f>+H9+H13</f>
        <v>40172833</v>
      </c>
    </row>
    <row r="16" spans="1:13" ht="13.5" thickBot="1">
      <c r="A16" s="285"/>
      <c r="B16" s="162"/>
      <c r="G16" s="1680"/>
      <c r="H16" s="1680"/>
    </row>
    <row r="17" spans="2:8" ht="13.5" thickBot="1">
      <c r="B17" s="162"/>
      <c r="E17" s="1681">
        <v>601287049.55999994</v>
      </c>
      <c r="F17" s="1681">
        <v>452158475.90737772</v>
      </c>
      <c r="G17" s="1682">
        <v>1053445525.4673777</v>
      </c>
      <c r="H17" s="1682">
        <v>40172833</v>
      </c>
    </row>
    <row r="19" spans="2:8">
      <c r="E19" s="729">
        <f>+E15-E17</f>
        <v>-1.2799999713897705</v>
      </c>
      <c r="F19" s="729">
        <f t="shared" ref="F19:H19" si="0">+F15-F17</f>
        <v>0</v>
      </c>
      <c r="G19" s="729">
        <f t="shared" si="0"/>
        <v>-1.2799999713897705</v>
      </c>
      <c r="H19" s="729">
        <f t="shared" si="0"/>
        <v>0</v>
      </c>
    </row>
    <row r="20" spans="2:8">
      <c r="B20" s="295"/>
      <c r="F20" s="729"/>
    </row>
    <row r="22" spans="2:8">
      <c r="G22" s="730"/>
      <c r="H22" s="730"/>
    </row>
    <row r="23" spans="2:8">
      <c r="E23" s="731"/>
    </row>
    <row r="25" spans="2:8">
      <c r="E25" s="729"/>
      <c r="G25" s="730"/>
      <c r="H25" s="730"/>
    </row>
    <row r="35" spans="1:29" customFormat="1" ht="15"/>
    <row r="36" spans="1:29" customFormat="1" ht="15"/>
    <row r="45" spans="1:29" s="400" customFormat="1">
      <c r="A45" s="150"/>
      <c r="B45" s="1"/>
      <c r="C45" s="1"/>
      <c r="D45" s="1"/>
      <c r="E45" s="316"/>
      <c r="F45" s="316"/>
      <c r="I45" s="150"/>
      <c r="J45" s="150"/>
      <c r="K45" s="150"/>
      <c r="L45" s="150"/>
      <c r="M45" s="150"/>
      <c r="N45" s="150"/>
      <c r="O45" s="150"/>
      <c r="P45" s="150"/>
      <c r="Q45" s="150"/>
      <c r="R45" s="150"/>
      <c r="S45" s="150"/>
      <c r="T45" s="150"/>
      <c r="U45" s="150"/>
      <c r="V45" s="150"/>
      <c r="W45" s="150"/>
      <c r="X45" s="150"/>
      <c r="Y45" s="150"/>
      <c r="Z45" s="150"/>
      <c r="AA45" s="150"/>
      <c r="AB45" s="150"/>
      <c r="AC45" s="150"/>
    </row>
    <row r="46" spans="1:29" s="400" customFormat="1">
      <c r="A46" s="150"/>
      <c r="B46" s="732"/>
      <c r="C46" s="732"/>
      <c r="D46" s="732"/>
      <c r="E46" s="733"/>
      <c r="F46" s="734"/>
      <c r="I46" s="150"/>
      <c r="J46" s="150"/>
      <c r="K46" s="150">
        <f>+K11+K13+K14+K22+K23+K24+K27+K28+K29+K31+K34</f>
        <v>0</v>
      </c>
      <c r="L46" s="150"/>
      <c r="M46" s="150"/>
      <c r="N46" s="150"/>
      <c r="O46" s="150"/>
      <c r="P46" s="150"/>
      <c r="Q46" s="150"/>
      <c r="R46" s="150"/>
      <c r="S46" s="150"/>
      <c r="T46" s="150"/>
      <c r="U46" s="150"/>
      <c r="V46" s="150"/>
      <c r="W46" s="150"/>
      <c r="X46" s="150"/>
      <c r="Y46" s="150"/>
      <c r="Z46" s="150"/>
      <c r="AA46" s="150"/>
      <c r="AB46" s="150"/>
      <c r="AC46" s="150"/>
    </row>
    <row r="47" spans="1:29" s="400" customFormat="1">
      <c r="A47" s="150"/>
      <c r="B47" s="735"/>
      <c r="C47" s="735"/>
      <c r="D47" s="735"/>
      <c r="E47" s="736"/>
      <c r="F47" s="737"/>
      <c r="I47" s="150"/>
      <c r="J47" s="150"/>
      <c r="K47" s="150"/>
      <c r="L47" s="150"/>
      <c r="M47" s="150"/>
      <c r="N47" s="150"/>
      <c r="O47" s="150"/>
      <c r="P47" s="150"/>
      <c r="Q47" s="150"/>
      <c r="R47" s="150"/>
      <c r="S47" s="150"/>
      <c r="T47" s="150"/>
      <c r="U47" s="150"/>
      <c r="V47" s="150"/>
      <c r="W47" s="150"/>
      <c r="X47" s="150"/>
      <c r="Y47" s="150"/>
      <c r="Z47" s="150"/>
      <c r="AA47" s="150"/>
      <c r="AB47" s="150"/>
      <c r="AC47" s="150"/>
    </row>
    <row r="136" spans="18:18">
      <c r="R136" s="150">
        <f>+R12+R13+R24+R25+R29+R30+R31+R32+R33+R37+R41+R42+R43+R44+R45+R46+R47+R48+R49+R51+R52+R53+R54+R56+R59+R60+R62+R63+R64+R71+R81+R82+R83+R91+R92+R96+R98+R103+R108+R109+R110+R112+R113+R124+R125+R126</f>
        <v>0</v>
      </c>
    </row>
    <row r="137" spans="18:18">
      <c r="R137" s="150">
        <f>+R136+'ACCIONES 320202'!K47</f>
        <v>2093388006.0947554</v>
      </c>
    </row>
  </sheetData>
  <mergeCells count="16">
    <mergeCell ref="A6:A8"/>
    <mergeCell ref="B6:B8"/>
    <mergeCell ref="C6:C8"/>
    <mergeCell ref="D6:D8"/>
    <mergeCell ref="E6:F6"/>
    <mergeCell ref="B4:H4"/>
    <mergeCell ref="B1:F3"/>
    <mergeCell ref="G1:H1"/>
    <mergeCell ref="G2:H2"/>
    <mergeCell ref="G3:H3"/>
    <mergeCell ref="B15:D15"/>
    <mergeCell ref="G6:G8"/>
    <mergeCell ref="E7:E8"/>
    <mergeCell ref="F7:F8"/>
    <mergeCell ref="B5:H5"/>
    <mergeCell ref="H6:H8"/>
  </mergeCells>
  <pageMargins left="0.7" right="0.7" top="0.75" bottom="0.75" header="0.3" footer="0.3"/>
  <pageSetup orientation="portrait" verticalDpi="597"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0" tint="-4.9989318521683403E-2"/>
  </sheetPr>
  <dimension ref="A1:T138"/>
  <sheetViews>
    <sheetView zoomScale="80" zoomScaleNormal="80" workbookViewId="0">
      <pane xSplit="8" ySplit="9" topLeftCell="I10" activePane="bottomRight" state="frozen"/>
      <selection activeCell="F55" sqref="F55"/>
      <selection pane="topRight" activeCell="F55" sqref="F55"/>
      <selection pane="bottomLeft" activeCell="F55" sqref="F55"/>
      <selection pane="bottomRight" activeCell="E30" sqref="E30"/>
    </sheetView>
  </sheetViews>
  <sheetFormatPr baseColWidth="10" defaultColWidth="11.42578125" defaultRowHeight="12.75"/>
  <cols>
    <col min="1" max="1" width="9.85546875" style="150" customWidth="1"/>
    <col min="2" max="2" width="10.85546875" style="150" customWidth="1"/>
    <col min="3" max="3" width="47.140625" style="150" customWidth="1"/>
    <col min="4" max="4" width="22" style="150" customWidth="1"/>
    <col min="5" max="5" width="18.140625" style="150" customWidth="1"/>
    <col min="6" max="6" width="10.140625" style="159" customWidth="1"/>
    <col min="7" max="7" width="6.85546875" style="159" customWidth="1"/>
    <col min="8" max="8" width="8.140625" style="159" customWidth="1"/>
    <col min="9" max="9" width="16.85546875" style="159" customWidth="1"/>
    <col min="10" max="10" width="19.85546875" style="159" customWidth="1"/>
    <col min="11" max="11" width="16.7109375" style="400" customWidth="1"/>
    <col min="12" max="12" width="18.140625" style="400" customWidth="1"/>
    <col min="13" max="13" width="14.28515625" style="150" bestFit="1" customWidth="1"/>
    <col min="14" max="14" width="13.85546875" style="150" customWidth="1"/>
    <col min="15" max="15" width="14.140625" style="150" customWidth="1"/>
    <col min="16" max="16" width="14.42578125" style="150" customWidth="1"/>
    <col min="17" max="17" width="21.7109375" style="150" bestFit="1" customWidth="1"/>
    <col min="18" max="18" width="12.7109375" style="150" bestFit="1" customWidth="1"/>
    <col min="19" max="19" width="21.28515625" style="150" bestFit="1" customWidth="1"/>
    <col min="20" max="20" width="11.42578125" style="150"/>
    <col min="21" max="21" width="14.42578125" style="150" customWidth="1"/>
    <col min="22" max="16384" width="11.42578125" style="150"/>
  </cols>
  <sheetData>
    <row r="1" spans="1:20" ht="15.75" customHeight="1" thickBot="1">
      <c r="A1" s="728"/>
      <c r="C1" s="2263" t="s">
        <v>434</v>
      </c>
      <c r="D1" s="2264"/>
      <c r="E1" s="2264"/>
      <c r="F1" s="2264"/>
      <c r="G1" s="2264"/>
      <c r="H1" s="2264"/>
      <c r="I1" s="2265"/>
      <c r="J1" s="2248" t="s">
        <v>364</v>
      </c>
      <c r="K1" s="2249"/>
      <c r="L1" s="150"/>
    </row>
    <row r="2" spans="1:20" ht="15.75" customHeight="1">
      <c r="C2" s="2236"/>
      <c r="D2" s="2237"/>
      <c r="E2" s="2237"/>
      <c r="F2" s="2237"/>
      <c r="G2" s="2237"/>
      <c r="H2" s="2237"/>
      <c r="I2" s="2254"/>
      <c r="J2" s="2250" t="s">
        <v>365</v>
      </c>
      <c r="K2" s="2251"/>
      <c r="L2" s="150"/>
    </row>
    <row r="3" spans="1:20" ht="15.75" customHeight="1" thickBot="1">
      <c r="C3" s="2206"/>
      <c r="D3" s="2207"/>
      <c r="E3" s="2207"/>
      <c r="F3" s="2207"/>
      <c r="G3" s="2207"/>
      <c r="H3" s="2207"/>
      <c r="I3" s="2208"/>
      <c r="J3" s="2252" t="s">
        <v>366</v>
      </c>
      <c r="K3" s="2253"/>
      <c r="L3" s="150"/>
    </row>
    <row r="4" spans="1:20" ht="4.5" customHeight="1" thickBot="1"/>
    <row r="5" spans="1:20" ht="15" customHeight="1" thickBot="1">
      <c r="C5" s="2266" t="s">
        <v>177</v>
      </c>
      <c r="D5" s="2266"/>
      <c r="E5" s="2266"/>
      <c r="F5" s="2266"/>
      <c r="G5" s="2266"/>
      <c r="H5" s="2266"/>
      <c r="I5" s="2266"/>
      <c r="J5" s="2266"/>
      <c r="K5" s="2266"/>
      <c r="L5" s="150"/>
    </row>
    <row r="6" spans="1:20" ht="19.5" customHeight="1" thickBot="1">
      <c r="C6" s="2266" t="s">
        <v>1392</v>
      </c>
      <c r="D6" s="2266"/>
      <c r="E6" s="2266"/>
      <c r="F6" s="2266"/>
      <c r="G6" s="2266"/>
      <c r="H6" s="2266"/>
      <c r="I6" s="2266"/>
      <c r="J6" s="2266"/>
      <c r="K6" s="2266"/>
      <c r="L6" s="150"/>
    </row>
    <row r="7" spans="1:20" ht="15" customHeight="1" thickBot="1">
      <c r="A7" s="2211" t="s">
        <v>368</v>
      </c>
      <c r="B7" s="2213" t="s">
        <v>369</v>
      </c>
      <c r="C7" s="2247" t="s">
        <v>311</v>
      </c>
      <c r="D7" s="2247" t="s">
        <v>312</v>
      </c>
      <c r="E7" s="2247" t="s">
        <v>350</v>
      </c>
      <c r="F7" s="2247" t="s">
        <v>313</v>
      </c>
      <c r="G7" s="2247" t="s">
        <v>191</v>
      </c>
      <c r="H7" s="2172" t="s">
        <v>387</v>
      </c>
      <c r="I7" s="2247" t="s">
        <v>189</v>
      </c>
      <c r="J7" s="2247"/>
      <c r="K7" s="2174" t="s">
        <v>965</v>
      </c>
      <c r="L7" s="2174" t="s">
        <v>1267</v>
      </c>
    </row>
    <row r="8" spans="1:20" ht="30.75" customHeight="1" thickBot="1">
      <c r="A8" s="2211"/>
      <c r="B8" s="2213"/>
      <c r="C8" s="2159"/>
      <c r="D8" s="2159"/>
      <c r="E8" s="2159"/>
      <c r="F8" s="2159"/>
      <c r="G8" s="2159"/>
      <c r="H8" s="2172"/>
      <c r="I8" s="2159" t="s">
        <v>192</v>
      </c>
      <c r="J8" s="2159" t="s">
        <v>208</v>
      </c>
      <c r="K8" s="2245"/>
      <c r="L8" s="2245"/>
      <c r="M8" s="745" t="s">
        <v>1280</v>
      </c>
      <c r="N8" s="1024" t="s">
        <v>1276</v>
      </c>
      <c r="O8" s="1024" t="s">
        <v>1277</v>
      </c>
      <c r="P8" s="1024" t="s">
        <v>1278</v>
      </c>
      <c r="Q8" s="2262" t="s">
        <v>1285</v>
      </c>
      <c r="R8" s="2262"/>
      <c r="S8" s="2262" t="s">
        <v>1302</v>
      </c>
      <c r="T8" s="2262"/>
    </row>
    <row r="9" spans="1:20" ht="15" customHeight="1" thickBot="1">
      <c r="A9" s="2211"/>
      <c r="B9" s="2213"/>
      <c r="C9" s="2200"/>
      <c r="D9" s="2200"/>
      <c r="E9" s="2200"/>
      <c r="F9" s="2200"/>
      <c r="G9" s="2200"/>
      <c r="H9" s="2247"/>
      <c r="I9" s="2200"/>
      <c r="J9" s="2200"/>
      <c r="K9" s="2173"/>
      <c r="L9" s="2173"/>
      <c r="Q9" s="1026" t="s">
        <v>192</v>
      </c>
      <c r="R9" s="1026" t="s">
        <v>208</v>
      </c>
      <c r="S9" s="1606" t="s">
        <v>1288</v>
      </c>
      <c r="T9" s="1606" t="s">
        <v>1289</v>
      </c>
    </row>
    <row r="10" spans="1:20" ht="50.25" customHeight="1" thickBot="1">
      <c r="A10" s="152">
        <v>208</v>
      </c>
      <c r="B10" s="487"/>
      <c r="C10" s="201" t="s">
        <v>1428</v>
      </c>
      <c r="D10" s="198"/>
      <c r="E10" s="198"/>
      <c r="F10" s="169" t="s">
        <v>1098</v>
      </c>
      <c r="G10" s="170">
        <v>100</v>
      </c>
      <c r="H10" s="170"/>
      <c r="I10" s="431">
        <f>+I11+I13+I27</f>
        <v>550056367.27999997</v>
      </c>
      <c r="J10" s="431">
        <f>+J11+J13+J27</f>
        <v>452158475.90737772</v>
      </c>
      <c r="K10" s="432">
        <f>+K11+K13+K27</f>
        <v>1002214843.1873777</v>
      </c>
      <c r="L10" s="432">
        <f>+L11+L13+L27</f>
        <v>40172833</v>
      </c>
      <c r="M10" s="1025"/>
      <c r="N10" s="1025"/>
      <c r="O10" s="1025"/>
      <c r="P10" s="1025"/>
      <c r="Q10" s="1025"/>
      <c r="R10" s="1025"/>
    </row>
    <row r="11" spans="1:20" ht="25.5">
      <c r="A11" s="152"/>
      <c r="B11" s="487" t="s">
        <v>1475</v>
      </c>
      <c r="C11" s="724" t="s">
        <v>1067</v>
      </c>
      <c r="D11" s="725"/>
      <c r="E11" s="725"/>
      <c r="F11" s="725" t="s">
        <v>1098</v>
      </c>
      <c r="G11" s="725">
        <v>100</v>
      </c>
      <c r="H11" s="725"/>
      <c r="I11" s="726">
        <f>SUM(I12:I12)</f>
        <v>54733723.280000001</v>
      </c>
      <c r="J11" s="726">
        <f>SUM(J12:J12)</f>
        <v>0</v>
      </c>
      <c r="K11" s="727">
        <f>SUM(K12:K12)</f>
        <v>54733723.280000001</v>
      </c>
      <c r="L11" s="727">
        <f>SUM(L12:L12)</f>
        <v>0</v>
      </c>
      <c r="M11" s="1025"/>
      <c r="N11" s="1025"/>
      <c r="O11" s="1025"/>
      <c r="P11" s="1025"/>
      <c r="Q11" s="1025"/>
      <c r="R11" s="1025"/>
    </row>
    <row r="12" spans="1:20" s="1080" customFormat="1" ht="26.25" thickBot="1">
      <c r="A12"/>
      <c r="B12"/>
      <c r="C12" s="1591" t="s">
        <v>628</v>
      </c>
      <c r="D12" s="1561" t="s">
        <v>211</v>
      </c>
      <c r="E12" s="1098">
        <v>83990</v>
      </c>
      <c r="F12" s="1561" t="s">
        <v>197</v>
      </c>
      <c r="G12" s="1561">
        <v>10</v>
      </c>
      <c r="H12" s="1098"/>
      <c r="I12" s="1409">
        <f>55286585.28-552863+1</f>
        <v>54733723.280000001</v>
      </c>
      <c r="J12" s="1274"/>
      <c r="K12" s="1330">
        <f>SUM(I12:J12)</f>
        <v>54733723.280000001</v>
      </c>
      <c r="L12" s="1330"/>
      <c r="M12" s="1083">
        <v>54733723.280000001</v>
      </c>
      <c r="N12" s="1083">
        <v>54733723</v>
      </c>
      <c r="O12" s="1083">
        <v>54733723</v>
      </c>
      <c r="P12" s="1083">
        <f>+M12-O12</f>
        <v>0.2800000011920929</v>
      </c>
      <c r="Q12" s="1083"/>
      <c r="R12" s="1083"/>
      <c r="S12" s="1080" t="s">
        <v>37</v>
      </c>
      <c r="T12" s="1080" t="s">
        <v>1327</v>
      </c>
    </row>
    <row r="13" spans="1:20" ht="26.25" thickBot="1">
      <c r="A13" s="152"/>
      <c r="B13" s="487" t="s">
        <v>1476</v>
      </c>
      <c r="C13" s="724" t="s">
        <v>1068</v>
      </c>
      <c r="D13" s="725"/>
      <c r="E13" s="725"/>
      <c r="F13" s="725" t="s">
        <v>1098</v>
      </c>
      <c r="G13" s="725">
        <v>100</v>
      </c>
      <c r="H13" s="725"/>
      <c r="I13" s="726">
        <f>SUM(I14:I26)</f>
        <v>313310097</v>
      </c>
      <c r="J13" s="726">
        <f t="shared" ref="J13:K13" si="0">SUM(J14:J26)</f>
        <v>452158475.90737772</v>
      </c>
      <c r="K13" s="726">
        <f t="shared" si="0"/>
        <v>765468572.90737772</v>
      </c>
      <c r="L13" s="727">
        <f t="shared" ref="L13" si="1">SUM(L14:L22)</f>
        <v>40172833</v>
      </c>
      <c r="M13" s="1025"/>
      <c r="N13" s="1025"/>
      <c r="O13" s="1025"/>
      <c r="P13" s="1025"/>
      <c r="Q13" s="1025"/>
      <c r="R13" s="1025"/>
    </row>
    <row r="14" spans="1:20" s="1080" customFormat="1" ht="26.25" thickBot="1">
      <c r="A14"/>
      <c r="B14"/>
      <c r="C14" s="1580" t="s">
        <v>431</v>
      </c>
      <c r="D14" s="1154" t="s">
        <v>211</v>
      </c>
      <c r="E14" s="1161">
        <v>83990</v>
      </c>
      <c r="F14" s="1154" t="s">
        <v>197</v>
      </c>
      <c r="G14" s="1154">
        <v>10</v>
      </c>
      <c r="H14" s="1161"/>
      <c r="I14" s="1364">
        <v>54733722</v>
      </c>
      <c r="J14" s="1582"/>
      <c r="K14" s="1367">
        <f t="shared" ref="K14:K26" si="2">SUM(I14:J14)</f>
        <v>54733722</v>
      </c>
      <c r="L14" s="1590"/>
      <c r="M14" s="1083">
        <v>54733723.280000001</v>
      </c>
      <c r="N14" s="1083">
        <v>54733722</v>
      </c>
      <c r="O14" s="1083">
        <v>54733722</v>
      </c>
      <c r="P14" s="1083">
        <f>+M14-O14</f>
        <v>1.2800000011920929</v>
      </c>
      <c r="Q14" s="1083"/>
      <c r="R14" s="1083"/>
      <c r="S14" s="1080" t="s">
        <v>37</v>
      </c>
      <c r="T14" s="1080" t="s">
        <v>1327</v>
      </c>
    </row>
    <row r="15" spans="1:20" s="1080" customFormat="1" ht="25.5">
      <c r="A15"/>
      <c r="B15"/>
      <c r="C15" s="1580" t="s">
        <v>721</v>
      </c>
      <c r="D15" s="1154" t="s">
        <v>211</v>
      </c>
      <c r="E15" s="1161">
        <v>83990</v>
      </c>
      <c r="F15" s="1154" t="s">
        <v>197</v>
      </c>
      <c r="G15" s="1154">
        <v>11</v>
      </c>
      <c r="H15" s="1161"/>
      <c r="I15" s="1364">
        <f>(35893000+2603375)</f>
        <v>38496375</v>
      </c>
      <c r="J15" s="1582"/>
      <c r="K15" s="1367">
        <f t="shared" ref="K15" si="3">SUM(I15:J15)</f>
        <v>38496375</v>
      </c>
      <c r="L15" s="1590"/>
      <c r="M15" s="1083">
        <v>38496375</v>
      </c>
      <c r="N15" s="1083">
        <v>38496375</v>
      </c>
      <c r="O15" s="1083">
        <v>38496375</v>
      </c>
      <c r="P15" s="1083">
        <f>+M15-O15</f>
        <v>0</v>
      </c>
      <c r="Q15" s="1083"/>
      <c r="R15" s="1083"/>
      <c r="S15" s="1080" t="s">
        <v>37</v>
      </c>
      <c r="T15" s="1080" t="s">
        <v>1327</v>
      </c>
    </row>
    <row r="16" spans="1:20" s="1084" customFormat="1" ht="30" customHeight="1">
      <c r="A16"/>
      <c r="B16"/>
      <c r="C16" s="1212" t="s">
        <v>432</v>
      </c>
      <c r="D16" s="1214" t="s">
        <v>603</v>
      </c>
      <c r="E16" s="1089" t="s">
        <v>604</v>
      </c>
      <c r="F16" s="1214" t="s">
        <v>198</v>
      </c>
      <c r="G16" s="1214">
        <v>5</v>
      </c>
      <c r="H16" s="1089"/>
      <c r="I16" s="1231"/>
      <c r="J16" s="1231">
        <v>78000000</v>
      </c>
      <c r="K16" s="1586">
        <f t="shared" si="2"/>
        <v>78000000</v>
      </c>
      <c r="L16" s="1587">
        <f>25172833+15000000</f>
        <v>40172833</v>
      </c>
      <c r="M16" s="1085">
        <v>78000000</v>
      </c>
      <c r="N16" s="1085"/>
      <c r="O16" s="1085"/>
      <c r="P16" s="1085">
        <f>+M16-N16</f>
        <v>78000000</v>
      </c>
      <c r="Q16" s="1085"/>
      <c r="R16" s="1085"/>
      <c r="S16" s="1084" t="s">
        <v>37</v>
      </c>
      <c r="T16" s="1084" t="s">
        <v>1328</v>
      </c>
    </row>
    <row r="17" spans="1:20" s="1084" customFormat="1" ht="15" customHeight="1">
      <c r="A17"/>
      <c r="B17"/>
      <c r="C17" s="1212" t="s">
        <v>629</v>
      </c>
      <c r="D17" s="1214" t="s">
        <v>605</v>
      </c>
      <c r="E17" s="1089" t="s">
        <v>606</v>
      </c>
      <c r="F17" s="1214" t="s">
        <v>198</v>
      </c>
      <c r="G17" s="1214">
        <v>1</v>
      </c>
      <c r="H17" s="1089"/>
      <c r="I17" s="1231">
        <v>100000000</v>
      </c>
      <c r="J17" s="1231"/>
      <c r="K17" s="1586">
        <f t="shared" si="2"/>
        <v>100000000</v>
      </c>
      <c r="L17" s="1587"/>
      <c r="M17" s="1085">
        <v>100000000</v>
      </c>
      <c r="N17" s="1085"/>
      <c r="O17" s="1085"/>
      <c r="P17" s="1085">
        <f>+M17-N17</f>
        <v>100000000</v>
      </c>
      <c r="Q17" s="1085"/>
      <c r="R17" s="1085"/>
      <c r="S17" s="1084" t="s">
        <v>37</v>
      </c>
      <c r="T17" s="1084" t="s">
        <v>1328</v>
      </c>
    </row>
    <row r="18" spans="1:20" s="1084" customFormat="1" ht="18" customHeight="1">
      <c r="A18"/>
      <c r="B18"/>
      <c r="C18" s="1212" t="s">
        <v>630</v>
      </c>
      <c r="D18" s="1214" t="s">
        <v>211</v>
      </c>
      <c r="E18" s="1089">
        <v>7490</v>
      </c>
      <c r="F18" s="1214" t="s">
        <v>198</v>
      </c>
      <c r="G18" s="1214">
        <v>1</v>
      </c>
      <c r="H18" s="1089"/>
      <c r="I18" s="1231"/>
      <c r="J18" s="1231">
        <f>200000000-20080000-10000000</f>
        <v>169920000</v>
      </c>
      <c r="K18" s="1586">
        <f t="shared" si="2"/>
        <v>169920000</v>
      </c>
      <c r="L18" s="1587"/>
      <c r="M18" s="1085">
        <v>179920000</v>
      </c>
      <c r="N18" s="1085"/>
      <c r="O18" s="1085"/>
      <c r="P18" s="1085">
        <f t="shared" ref="P18:P26" si="4">+M18-N18</f>
        <v>179920000</v>
      </c>
      <c r="Q18" s="1085"/>
      <c r="R18" s="1085"/>
      <c r="S18" s="1084" t="s">
        <v>37</v>
      </c>
      <c r="T18" s="1084" t="s">
        <v>1328</v>
      </c>
    </row>
    <row r="19" spans="1:20" s="1084" customFormat="1" ht="23.25" customHeight="1">
      <c r="A19"/>
      <c r="B19"/>
      <c r="C19" s="1212" t="s">
        <v>631</v>
      </c>
      <c r="D19" s="1214" t="s">
        <v>211</v>
      </c>
      <c r="E19" s="1089">
        <v>83990</v>
      </c>
      <c r="F19" s="1214" t="s">
        <v>198</v>
      </c>
      <c r="G19" s="1214">
        <v>1</v>
      </c>
      <c r="H19" s="1089"/>
      <c r="I19" s="1231"/>
      <c r="J19" s="1599">
        <f>50200000-3008000</f>
        <v>47192000</v>
      </c>
      <c r="K19" s="1586">
        <f t="shared" si="2"/>
        <v>47192000</v>
      </c>
      <c r="L19" s="1587"/>
      <c r="M19" s="1085">
        <v>47192000</v>
      </c>
      <c r="N19" s="1085"/>
      <c r="O19" s="1085"/>
      <c r="P19" s="1085">
        <f t="shared" si="4"/>
        <v>47192000</v>
      </c>
      <c r="Q19" s="1085"/>
      <c r="R19" s="1085"/>
      <c r="S19" s="1084" t="s">
        <v>37</v>
      </c>
      <c r="T19" s="1084" t="s">
        <v>1328</v>
      </c>
    </row>
    <row r="20" spans="1:20" s="1084" customFormat="1" ht="27" customHeight="1">
      <c r="A20"/>
      <c r="B20"/>
      <c r="C20" s="1212" t="s">
        <v>632</v>
      </c>
      <c r="D20" s="1214" t="s">
        <v>603</v>
      </c>
      <c r="E20" s="1089" t="s">
        <v>604</v>
      </c>
      <c r="F20" s="1214" t="s">
        <v>198</v>
      </c>
      <c r="G20" s="1214">
        <v>1</v>
      </c>
      <c r="H20" s="1089"/>
      <c r="I20" s="1231"/>
      <c r="J20" s="1231">
        <v>30000000</v>
      </c>
      <c r="K20" s="1586">
        <f t="shared" si="2"/>
        <v>30000000</v>
      </c>
      <c r="L20" s="1587"/>
      <c r="M20" s="1085">
        <v>30000000</v>
      </c>
      <c r="N20" s="1085"/>
      <c r="O20" s="1085"/>
      <c r="P20" s="1085">
        <f t="shared" si="4"/>
        <v>30000000</v>
      </c>
      <c r="Q20" s="1085"/>
      <c r="R20" s="1085"/>
      <c r="S20" s="1084" t="s">
        <v>37</v>
      </c>
      <c r="T20" s="1084" t="s">
        <v>1328</v>
      </c>
    </row>
    <row r="21" spans="1:20" s="1084" customFormat="1" ht="21.75" customHeight="1">
      <c r="A21"/>
      <c r="B21"/>
      <c r="C21" s="1212" t="s">
        <v>633</v>
      </c>
      <c r="D21" s="1214" t="s">
        <v>211</v>
      </c>
      <c r="E21" s="1089">
        <v>83931</v>
      </c>
      <c r="F21" s="1214" t="s">
        <v>198</v>
      </c>
      <c r="G21" s="1214">
        <v>1</v>
      </c>
      <c r="H21" s="1089"/>
      <c r="I21" s="1231">
        <v>100000000</v>
      </c>
      <c r="J21" s="1231"/>
      <c r="K21" s="1586">
        <f t="shared" si="2"/>
        <v>100000000</v>
      </c>
      <c r="L21" s="1587"/>
      <c r="M21" s="1085">
        <v>100000000</v>
      </c>
      <c r="N21" s="1085"/>
      <c r="O21" s="1085"/>
      <c r="P21" s="1085">
        <f t="shared" si="4"/>
        <v>100000000</v>
      </c>
      <c r="Q21" s="1085"/>
      <c r="R21" s="1085"/>
      <c r="S21" s="1084" t="s">
        <v>37</v>
      </c>
      <c r="T21" s="1084" t="s">
        <v>1328</v>
      </c>
    </row>
    <row r="22" spans="1:20" s="1084" customFormat="1" ht="34.5" customHeight="1">
      <c r="A22"/>
      <c r="B22"/>
      <c r="C22" s="1600" t="s">
        <v>722</v>
      </c>
      <c r="D22" s="1576" t="s">
        <v>211</v>
      </c>
      <c r="E22" s="1279">
        <v>83931</v>
      </c>
      <c r="F22" s="1576" t="s">
        <v>198</v>
      </c>
      <c r="G22" s="1576">
        <v>1</v>
      </c>
      <c r="H22" s="1279"/>
      <c r="I22" s="1280">
        <v>20080000</v>
      </c>
      <c r="J22" s="1280">
        <v>20080000</v>
      </c>
      <c r="K22" s="1601">
        <f t="shared" si="2"/>
        <v>40160000</v>
      </c>
      <c r="L22" s="1602"/>
      <c r="M22" s="1085">
        <v>40160000</v>
      </c>
      <c r="N22" s="1085"/>
      <c r="O22" s="1085"/>
      <c r="P22" s="1085">
        <f t="shared" si="4"/>
        <v>40160000</v>
      </c>
      <c r="Q22" s="1085"/>
      <c r="R22" s="1085"/>
      <c r="S22" s="1084" t="s">
        <v>37</v>
      </c>
      <c r="T22" s="1084" t="s">
        <v>1328</v>
      </c>
    </row>
    <row r="23" spans="1:20" s="1080" customFormat="1" ht="25.5">
      <c r="A23"/>
      <c r="B23"/>
      <c r="C23" s="1138" t="s">
        <v>1369</v>
      </c>
      <c r="D23" s="1132" t="s">
        <v>381</v>
      </c>
      <c r="E23" s="1132" t="s">
        <v>403</v>
      </c>
      <c r="F23" s="1132"/>
      <c r="G23" s="1132"/>
      <c r="H23" s="1132"/>
      <c r="I23" s="1132"/>
      <c r="J23" s="1274">
        <v>20000000</v>
      </c>
      <c r="K23" s="1592">
        <f t="shared" si="2"/>
        <v>20000000</v>
      </c>
      <c r="L23" s="1271"/>
      <c r="M23" s="1083">
        <v>20000000</v>
      </c>
      <c r="N23" s="1083"/>
      <c r="O23" s="1083"/>
      <c r="P23" s="1083">
        <f t="shared" si="4"/>
        <v>20000000</v>
      </c>
      <c r="Q23" s="1083"/>
      <c r="R23" s="1083"/>
    </row>
    <row r="24" spans="1:20" s="1080" customFormat="1" ht="15">
      <c r="A24"/>
      <c r="B24"/>
      <c r="C24" s="1094" t="s">
        <v>1370</v>
      </c>
      <c r="D24" s="1095" t="s">
        <v>381</v>
      </c>
      <c r="E24" s="1095">
        <v>63391</v>
      </c>
      <c r="F24" s="1095"/>
      <c r="G24" s="1095"/>
      <c r="H24" s="1095"/>
      <c r="I24" s="1095"/>
      <c r="J24" s="1274">
        <v>10000000</v>
      </c>
      <c r="K24" s="1592">
        <f t="shared" si="2"/>
        <v>10000000</v>
      </c>
      <c r="L24" s="1271"/>
      <c r="M24" s="1083">
        <v>10000000</v>
      </c>
      <c r="N24" s="1083"/>
      <c r="O24" s="1083"/>
      <c r="P24" s="1083">
        <f t="shared" si="4"/>
        <v>10000000</v>
      </c>
      <c r="Q24" s="1083"/>
      <c r="R24" s="1083"/>
    </row>
    <row r="25" spans="1:20" s="1080" customFormat="1" ht="15.75" thickBot="1">
      <c r="A25"/>
      <c r="B25"/>
      <c r="C25" s="1265" t="s">
        <v>204</v>
      </c>
      <c r="D25" s="1100"/>
      <c r="E25" s="1100"/>
      <c r="F25" s="1100"/>
      <c r="G25" s="1100">
        <v>1</v>
      </c>
      <c r="H25" s="1100"/>
      <c r="I25" s="1100"/>
      <c r="J25" s="1129">
        <f>8771734+13009336</f>
        <v>21781070</v>
      </c>
      <c r="K25" s="1186">
        <f t="shared" ref="K25" si="5">SUM(I25:J25)</f>
        <v>21781070</v>
      </c>
      <c r="L25" s="1271"/>
      <c r="M25" s="1083">
        <v>76966475.90737775</v>
      </c>
      <c r="N25" s="1083"/>
      <c r="O25" s="1083"/>
      <c r="P25" s="1083">
        <f t="shared" ref="P25" si="6">+M25-N25</f>
        <v>76966475.90737775</v>
      </c>
      <c r="Q25" s="1083"/>
      <c r="R25" s="1083"/>
    </row>
    <row r="26" spans="1:20" s="1084" customFormat="1" ht="15.75" thickBot="1">
      <c r="A26"/>
      <c r="B26"/>
      <c r="C26" s="1268" t="s">
        <v>204</v>
      </c>
      <c r="D26" s="1102"/>
      <c r="E26" s="1102"/>
      <c r="F26" s="1102"/>
      <c r="G26" s="1102">
        <v>1</v>
      </c>
      <c r="H26" s="1102"/>
      <c r="I26" s="1102"/>
      <c r="J26" s="1127">
        <f>76966475.9073777-J25</f>
        <v>55185405.907377705</v>
      </c>
      <c r="K26" s="1188">
        <f t="shared" si="2"/>
        <v>55185405.907377705</v>
      </c>
      <c r="L26" s="1270"/>
      <c r="M26" s="1085">
        <v>76966475.90737775</v>
      </c>
      <c r="N26" s="1085"/>
      <c r="O26" s="1085"/>
      <c r="P26" s="1085">
        <f t="shared" si="4"/>
        <v>76966475.90737775</v>
      </c>
      <c r="Q26" s="1085"/>
      <c r="R26" s="1085"/>
    </row>
    <row r="27" spans="1:20" ht="26.25" thickBot="1">
      <c r="A27" s="152"/>
      <c r="B27" s="487" t="s">
        <v>1477</v>
      </c>
      <c r="C27" s="724" t="s">
        <v>1066</v>
      </c>
      <c r="D27" s="725"/>
      <c r="E27" s="725"/>
      <c r="F27" s="725" t="s">
        <v>1101</v>
      </c>
      <c r="G27" s="725">
        <v>3</v>
      </c>
      <c r="H27" s="725"/>
      <c r="I27" s="726">
        <f>SUM(I28:I32)</f>
        <v>182012547</v>
      </c>
      <c r="J27" s="726">
        <f>SUM(J28:J32)</f>
        <v>0</v>
      </c>
      <c r="K27" s="726">
        <f>SUM(K28:K32)</f>
        <v>182012547</v>
      </c>
      <c r="L27" s="726">
        <f>SUM(L28:L32)</f>
        <v>0</v>
      </c>
      <c r="M27" s="1025"/>
      <c r="N27" s="1025"/>
      <c r="O27" s="1025"/>
      <c r="P27" s="1025"/>
      <c r="Q27" s="1025"/>
      <c r="R27" s="1025"/>
    </row>
    <row r="28" spans="1:20" s="1080" customFormat="1" ht="25.5">
      <c r="A28"/>
      <c r="B28"/>
      <c r="C28" s="1565" t="s">
        <v>415</v>
      </c>
      <c r="D28" s="1566" t="s">
        <v>211</v>
      </c>
      <c r="E28" s="1566">
        <v>83990</v>
      </c>
      <c r="F28" s="1566" t="s">
        <v>197</v>
      </c>
      <c r="G28" s="1567">
        <v>10.5</v>
      </c>
      <c r="H28" s="1568"/>
      <c r="I28" s="1569">
        <f>60815243.808-3344834.808-2736686</f>
        <v>54733723</v>
      </c>
      <c r="J28" s="1570"/>
      <c r="K28" s="1571">
        <f t="shared" ref="K28:K32" si="7">SUM(I28:J28)</f>
        <v>54733723</v>
      </c>
      <c r="L28" s="1571"/>
      <c r="M28" s="1083">
        <v>54733723</v>
      </c>
      <c r="N28" s="1083">
        <v>54733723</v>
      </c>
      <c r="O28" s="1083">
        <v>54733723</v>
      </c>
      <c r="P28" s="1083">
        <f>+M28-O28</f>
        <v>0</v>
      </c>
      <c r="Q28" s="1083"/>
      <c r="R28" s="1083"/>
      <c r="S28" s="1080" t="s">
        <v>200</v>
      </c>
      <c r="T28" s="1080" t="s">
        <v>1316</v>
      </c>
    </row>
    <row r="29" spans="1:20" s="1080" customFormat="1" ht="25.5">
      <c r="A29"/>
      <c r="B29"/>
      <c r="C29" s="1560" t="s">
        <v>416</v>
      </c>
      <c r="D29" s="1561" t="s">
        <v>211</v>
      </c>
      <c r="E29" s="1561">
        <v>83990</v>
      </c>
      <c r="F29" s="1561" t="s">
        <v>197</v>
      </c>
      <c r="G29" s="1572">
        <v>10.5</v>
      </c>
      <c r="H29" s="1098"/>
      <c r="I29" s="1573">
        <f>60815243.808-3344834.808-2736686</f>
        <v>54733723</v>
      </c>
      <c r="J29" s="1274"/>
      <c r="K29" s="1574">
        <f t="shared" si="7"/>
        <v>54733723</v>
      </c>
      <c r="L29" s="1574"/>
      <c r="M29" s="1083">
        <v>54733723</v>
      </c>
      <c r="N29" s="1083">
        <v>54733723</v>
      </c>
      <c r="O29" s="1083">
        <v>54733723</v>
      </c>
      <c r="P29" s="1083">
        <f t="shared" ref="P29:P31" si="8">+M29-O29</f>
        <v>0</v>
      </c>
      <c r="Q29" s="1083"/>
      <c r="R29" s="1083"/>
      <c r="S29" s="1080" t="s">
        <v>200</v>
      </c>
      <c r="T29" s="1080" t="s">
        <v>1316</v>
      </c>
    </row>
    <row r="30" spans="1:20" s="1080" customFormat="1" ht="25.5">
      <c r="A30"/>
      <c r="B30"/>
      <c r="C30" s="1560" t="s">
        <v>609</v>
      </c>
      <c r="D30" s="1561" t="s">
        <v>211</v>
      </c>
      <c r="E30" s="1561">
        <v>83990</v>
      </c>
      <c r="F30" s="1561" t="s">
        <v>197</v>
      </c>
      <c r="G30" s="1572">
        <v>10.5</v>
      </c>
      <c r="H30" s="1098"/>
      <c r="I30" s="1573">
        <v>25516960</v>
      </c>
      <c r="J30" s="1274"/>
      <c r="K30" s="1574">
        <f t="shared" ref="K30" si="9">SUM(I30:J30)</f>
        <v>25516960</v>
      </c>
      <c r="L30" s="1574"/>
      <c r="M30" s="1083">
        <v>25516962</v>
      </c>
      <c r="N30" s="1083">
        <v>25516960</v>
      </c>
      <c r="O30" s="1083">
        <v>25516960</v>
      </c>
      <c r="P30" s="1083">
        <f t="shared" ref="P30" si="10">+M30-O30</f>
        <v>2</v>
      </c>
      <c r="Q30" s="1083"/>
      <c r="R30" s="1083"/>
      <c r="S30" s="1080" t="s">
        <v>200</v>
      </c>
      <c r="T30" s="1080" t="s">
        <v>1316</v>
      </c>
    </row>
    <row r="31" spans="1:20" s="1084" customFormat="1" ht="25.5">
      <c r="A31"/>
      <c r="B31"/>
      <c r="C31" s="1575" t="s">
        <v>609</v>
      </c>
      <c r="D31" s="1576" t="s">
        <v>211</v>
      </c>
      <c r="E31" s="1576">
        <v>83990</v>
      </c>
      <c r="F31" s="1576" t="s">
        <v>197</v>
      </c>
      <c r="G31" s="1577">
        <v>10.5</v>
      </c>
      <c r="H31" s="1279"/>
      <c r="I31" s="1578">
        <f>25516962-I30</f>
        <v>2</v>
      </c>
      <c r="J31" s="1280"/>
      <c r="K31" s="1579">
        <f t="shared" si="7"/>
        <v>2</v>
      </c>
      <c r="L31" s="1579"/>
      <c r="M31" s="1085">
        <v>25516962</v>
      </c>
      <c r="N31" s="1085">
        <v>25516960</v>
      </c>
      <c r="O31" s="1085">
        <v>25516960</v>
      </c>
      <c r="P31" s="1085">
        <f t="shared" si="8"/>
        <v>2</v>
      </c>
      <c r="Q31" s="1085"/>
      <c r="R31" s="1085"/>
      <c r="S31" s="1084" t="s">
        <v>200</v>
      </c>
      <c r="T31" s="1084" t="s">
        <v>1316</v>
      </c>
    </row>
    <row r="32" spans="1:20" s="1080" customFormat="1" ht="26.25" thickBot="1">
      <c r="A32"/>
      <c r="B32"/>
      <c r="C32" s="1560" t="s">
        <v>610</v>
      </c>
      <c r="D32" s="1561" t="s">
        <v>211</v>
      </c>
      <c r="E32" s="1561">
        <v>83990</v>
      </c>
      <c r="F32" s="1561" t="s">
        <v>197</v>
      </c>
      <c r="G32" s="1572">
        <v>7</v>
      </c>
      <c r="H32" s="1098"/>
      <c r="I32" s="1573">
        <f>30407621.904-9578400.904+26198918</f>
        <v>47028139</v>
      </c>
      <c r="J32" s="1274"/>
      <c r="K32" s="1574">
        <f t="shared" si="7"/>
        <v>47028139</v>
      </c>
      <c r="L32" s="1574"/>
      <c r="M32" s="1083">
        <v>47028139</v>
      </c>
      <c r="N32" s="1083">
        <v>47028139</v>
      </c>
      <c r="O32" s="1083">
        <v>47028139</v>
      </c>
      <c r="P32" s="1083">
        <f>+M32-O32</f>
        <v>0</v>
      </c>
      <c r="Q32" s="1083"/>
      <c r="R32" s="1083"/>
      <c r="S32" s="1080" t="s">
        <v>200</v>
      </c>
      <c r="T32" s="1080" t="s">
        <v>1316</v>
      </c>
    </row>
    <row r="33" spans="1:20" ht="29.25" customHeight="1" thickBot="1">
      <c r="A33" s="152">
        <v>209</v>
      </c>
      <c r="B33" s="487"/>
      <c r="C33" s="201" t="s">
        <v>1429</v>
      </c>
      <c r="D33" s="198"/>
      <c r="E33" s="198"/>
      <c r="F33" s="198" t="s">
        <v>1098</v>
      </c>
      <c r="G33" s="169">
        <v>100</v>
      </c>
      <c r="H33" s="169"/>
      <c r="I33" s="432">
        <f t="shared" ref="I33:L33" si="11">+I34</f>
        <v>51230681</v>
      </c>
      <c r="J33" s="432">
        <f t="shared" si="11"/>
        <v>0</v>
      </c>
      <c r="K33" s="432">
        <f t="shared" si="11"/>
        <v>51230681</v>
      </c>
      <c r="L33" s="432">
        <f t="shared" si="11"/>
        <v>0</v>
      </c>
      <c r="M33" s="1025"/>
      <c r="N33" s="1025"/>
      <c r="O33" s="1025"/>
      <c r="P33" s="1025"/>
      <c r="Q33" s="1025"/>
      <c r="R33" s="1025"/>
    </row>
    <row r="34" spans="1:20" ht="45.75" customHeight="1" thickBot="1">
      <c r="A34" s="152"/>
      <c r="B34" s="487" t="s">
        <v>1478</v>
      </c>
      <c r="C34" s="724" t="s">
        <v>1005</v>
      </c>
      <c r="D34" s="725"/>
      <c r="E34" s="725"/>
      <c r="F34" s="725" t="s">
        <v>1098</v>
      </c>
      <c r="G34" s="725">
        <v>100</v>
      </c>
      <c r="H34" s="725"/>
      <c r="I34" s="726">
        <f t="shared" ref="I34:K34" si="12">SUM(I35:I37)</f>
        <v>51230681</v>
      </c>
      <c r="J34" s="726">
        <f t="shared" si="12"/>
        <v>0</v>
      </c>
      <c r="K34" s="727">
        <f t="shared" si="12"/>
        <v>51230681</v>
      </c>
      <c r="L34" s="727">
        <f t="shared" ref="L34" si="13">SUM(L35:L37)</f>
        <v>0</v>
      </c>
      <c r="M34" s="1025"/>
      <c r="N34" s="1025"/>
      <c r="O34" s="1025"/>
      <c r="P34" s="1025"/>
      <c r="Q34" s="1025"/>
      <c r="R34" s="1025"/>
    </row>
    <row r="35" spans="1:20" s="1080" customFormat="1" ht="29.25" customHeight="1">
      <c r="A35"/>
      <c r="B35"/>
      <c r="C35" s="1580" t="s">
        <v>612</v>
      </c>
      <c r="D35" s="1154" t="s">
        <v>211</v>
      </c>
      <c r="E35" s="1154">
        <v>83990</v>
      </c>
      <c r="F35" s="1154" t="s">
        <v>197</v>
      </c>
      <c r="G35" s="1581">
        <v>10</v>
      </c>
      <c r="H35" s="1161"/>
      <c r="I35" s="1582">
        <f>45827007-2534792-2061534</f>
        <v>41230681</v>
      </c>
      <c r="J35" s="1583"/>
      <c r="K35" s="1584">
        <f>SUM(I35:J35)</f>
        <v>41230681</v>
      </c>
      <c r="L35" s="1584"/>
      <c r="M35" s="1083">
        <v>41230681</v>
      </c>
      <c r="N35" s="1083">
        <v>41230681</v>
      </c>
      <c r="O35" s="1083">
        <v>41230681</v>
      </c>
      <c r="P35" s="1083">
        <f>+M35-O35</f>
        <v>0</v>
      </c>
      <c r="Q35" s="1083"/>
      <c r="R35" s="1083"/>
      <c r="S35" s="1080" t="s">
        <v>35</v>
      </c>
      <c r="T35" s="1080" t="s">
        <v>1318</v>
      </c>
    </row>
    <row r="36" spans="1:20" s="1084" customFormat="1" ht="29.25" customHeight="1">
      <c r="A36"/>
      <c r="B36"/>
      <c r="C36" s="1212" t="s">
        <v>613</v>
      </c>
      <c r="D36" s="1214" t="s">
        <v>411</v>
      </c>
      <c r="E36" s="1214" t="s">
        <v>412</v>
      </c>
      <c r="F36" s="1214" t="s">
        <v>198</v>
      </c>
      <c r="G36" s="1516">
        <v>1</v>
      </c>
      <c r="H36" s="1089"/>
      <c r="I36" s="1231">
        <v>10000000</v>
      </c>
      <c r="J36" s="1603"/>
      <c r="K36" s="1604">
        <f>SUM(I36:J36)</f>
        <v>10000000</v>
      </c>
      <c r="L36" s="1604"/>
      <c r="M36" s="1085">
        <v>10000000</v>
      </c>
      <c r="N36" s="1085"/>
      <c r="O36" s="1085"/>
      <c r="P36" s="1085">
        <f>+M36-N36</f>
        <v>10000000</v>
      </c>
      <c r="Q36" s="1085"/>
      <c r="R36" s="1085"/>
      <c r="S36" s="1084" t="s">
        <v>35</v>
      </c>
      <c r="T36" s="1084" t="s">
        <v>1318</v>
      </c>
    </row>
    <row r="37" spans="1:20" s="1084" customFormat="1" ht="29.25" customHeight="1" thickBot="1">
      <c r="A37"/>
      <c r="B37"/>
      <c r="C37" s="1232" t="s">
        <v>614</v>
      </c>
      <c r="D37" s="1234"/>
      <c r="E37" s="1234"/>
      <c r="F37" s="1234" t="s">
        <v>198</v>
      </c>
      <c r="G37" s="1234">
        <v>1</v>
      </c>
      <c r="H37" s="1102"/>
      <c r="I37" s="1127"/>
      <c r="J37" s="1605"/>
      <c r="K37" s="1564">
        <f>SUM(I37:J37)</f>
        <v>0</v>
      </c>
      <c r="L37" s="1564"/>
      <c r="M37" s="1085"/>
      <c r="N37" s="1085"/>
      <c r="O37" s="1085"/>
      <c r="P37" s="1085"/>
      <c r="Q37" s="1085"/>
      <c r="R37" s="1085"/>
      <c r="S37" s="1084" t="s">
        <v>35</v>
      </c>
      <c r="T37" s="1084" t="s">
        <v>1318</v>
      </c>
    </row>
    <row r="38" spans="1:20" ht="13.5" thickBot="1">
      <c r="B38" s="285"/>
      <c r="C38" s="2148" t="s">
        <v>10</v>
      </c>
      <c r="D38" s="2149"/>
      <c r="E38" s="2149"/>
      <c r="F38" s="2149"/>
      <c r="G38" s="2150"/>
      <c r="H38" s="779"/>
      <c r="I38" s="485">
        <f>+I10+I33</f>
        <v>601287048.27999997</v>
      </c>
      <c r="J38" s="485">
        <f>+J10+J33</f>
        <v>452158475.90737772</v>
      </c>
      <c r="K38" s="485">
        <f>+K10+K33</f>
        <v>1053445524.1873777</v>
      </c>
      <c r="L38" s="485">
        <f>+L10+L33</f>
        <v>40172833</v>
      </c>
      <c r="M38" s="1025"/>
      <c r="N38" s="1025"/>
      <c r="O38" s="1025"/>
      <c r="P38" s="1025"/>
      <c r="Q38" s="1025"/>
      <c r="R38" s="1025"/>
    </row>
    <row r="39" spans="1:20" ht="13.5" thickBot="1">
      <c r="B39" s="285"/>
      <c r="C39" s="162"/>
      <c r="D39" s="158"/>
      <c r="E39" s="158"/>
      <c r="K39" s="160"/>
      <c r="L39" s="160"/>
      <c r="M39" s="1025"/>
      <c r="N39" s="1025"/>
      <c r="O39" s="1025"/>
      <c r="P39" s="1025"/>
      <c r="Q39" s="1025"/>
      <c r="R39" s="1025"/>
    </row>
    <row r="40" spans="1:20" ht="13.5" thickBot="1">
      <c r="C40" s="162"/>
      <c r="D40" s="158"/>
      <c r="E40" s="158"/>
      <c r="I40" s="385">
        <v>601287049.55999994</v>
      </c>
      <c r="J40" s="385">
        <v>452158475.90737772</v>
      </c>
      <c r="K40" s="486">
        <v>1053445525.4673777</v>
      </c>
      <c r="L40" s="486">
        <v>40172833</v>
      </c>
      <c r="M40" s="1025"/>
      <c r="N40" s="1025"/>
      <c r="O40" s="1025"/>
      <c r="P40" s="1025"/>
      <c r="Q40" s="1025"/>
      <c r="R40" s="1025"/>
    </row>
    <row r="41" spans="1:20">
      <c r="M41" s="1025"/>
      <c r="N41" s="1025"/>
      <c r="O41" s="1025"/>
      <c r="P41" s="1025"/>
      <c r="Q41" s="1025"/>
      <c r="R41" s="1025"/>
    </row>
    <row r="42" spans="1:20">
      <c r="I42" s="729">
        <f>+I38-I40</f>
        <v>-1.2799999713897705</v>
      </c>
      <c r="J42" s="729">
        <f t="shared" ref="J42:L42" si="14">+J38-J40</f>
        <v>0</v>
      </c>
      <c r="K42" s="729">
        <f t="shared" si="14"/>
        <v>-1.2799999713897705</v>
      </c>
      <c r="L42" s="729">
        <f t="shared" si="14"/>
        <v>0</v>
      </c>
      <c r="M42" s="1025"/>
      <c r="N42" s="1025"/>
      <c r="O42" s="1025"/>
      <c r="P42" s="1025"/>
      <c r="Q42" s="1025"/>
      <c r="R42" s="1025"/>
    </row>
    <row r="43" spans="1:20">
      <c r="C43" s="295"/>
      <c r="J43" s="729"/>
      <c r="K43" s="778"/>
      <c r="L43" s="778"/>
      <c r="M43" s="1025"/>
      <c r="N43" s="1025"/>
      <c r="O43" s="1025"/>
      <c r="P43" s="1025"/>
      <c r="Q43" s="1025"/>
      <c r="R43" s="1025"/>
    </row>
    <row r="44" spans="1:20">
      <c r="K44" s="778"/>
      <c r="L44" s="778"/>
      <c r="M44" s="1025"/>
      <c r="N44" s="1025"/>
      <c r="O44" s="1025"/>
      <c r="P44" s="1025"/>
      <c r="Q44" s="1025"/>
      <c r="R44" s="1025"/>
    </row>
    <row r="45" spans="1:20">
      <c r="K45" s="778"/>
      <c r="L45" s="778"/>
      <c r="M45" s="1025"/>
      <c r="N45" s="1025"/>
      <c r="O45" s="1025"/>
      <c r="P45" s="1025"/>
      <c r="Q45" s="1025"/>
      <c r="R45" s="1025"/>
    </row>
    <row r="46" spans="1:20">
      <c r="M46" s="1025"/>
      <c r="N46" s="1025"/>
      <c r="O46" s="1025"/>
      <c r="P46" s="1025"/>
      <c r="Q46" s="1025"/>
      <c r="R46" s="1025"/>
    </row>
    <row r="47" spans="1:20">
      <c r="J47" s="1358"/>
      <c r="K47" s="778">
        <f>SUBTOTAL(9,K12:K35)</f>
        <v>2093388006.0947554</v>
      </c>
      <c r="M47" s="1025"/>
      <c r="N47" s="1025"/>
      <c r="O47" s="1025"/>
      <c r="P47" s="1025"/>
      <c r="Q47" s="1025"/>
      <c r="R47" s="1025"/>
    </row>
    <row r="48" spans="1:20">
      <c r="M48" s="1025"/>
      <c r="N48" s="1025"/>
      <c r="O48" s="1025"/>
      <c r="P48" s="1025"/>
      <c r="Q48" s="1025"/>
      <c r="R48" s="1025"/>
    </row>
    <row r="49" spans="3:18">
      <c r="M49" s="1025"/>
      <c r="N49" s="1025"/>
      <c r="O49" s="1025"/>
      <c r="P49" s="1025"/>
      <c r="Q49" s="1025"/>
      <c r="R49" s="1025"/>
    </row>
    <row r="50" spans="3:18">
      <c r="K50" s="778"/>
      <c r="L50" s="778"/>
      <c r="M50" s="1025"/>
      <c r="N50" s="1025"/>
      <c r="O50" s="1025"/>
      <c r="P50" s="1025"/>
      <c r="Q50" s="1025"/>
      <c r="R50" s="1025"/>
    </row>
    <row r="51" spans="3:18">
      <c r="M51" s="1025"/>
      <c r="N51" s="1025"/>
      <c r="O51" s="1025"/>
      <c r="P51" s="1025"/>
      <c r="Q51" s="1025"/>
      <c r="R51" s="1025"/>
    </row>
    <row r="52" spans="3:18">
      <c r="M52" s="1025"/>
      <c r="N52" s="1025"/>
      <c r="O52" s="1025"/>
      <c r="P52" s="1025"/>
      <c r="Q52" s="1025"/>
      <c r="R52" s="1025"/>
    </row>
    <row r="53" spans="3:18">
      <c r="M53" s="1025"/>
      <c r="N53" s="1025"/>
      <c r="O53" s="1025"/>
      <c r="P53" s="1025"/>
      <c r="Q53" s="1025"/>
      <c r="R53" s="1025"/>
    </row>
    <row r="54" spans="3:18">
      <c r="M54" s="1025"/>
      <c r="N54" s="1025"/>
      <c r="O54" s="1025"/>
      <c r="P54" s="1025"/>
      <c r="Q54" s="1025"/>
      <c r="R54" s="1025"/>
    </row>
    <row r="55" spans="3:18">
      <c r="M55" s="1025"/>
      <c r="N55" s="1025"/>
      <c r="O55" s="1025"/>
      <c r="P55" s="1025"/>
      <c r="Q55" s="1025"/>
      <c r="R55" s="1025"/>
    </row>
    <row r="56" spans="3:18">
      <c r="M56" s="1025"/>
      <c r="N56" s="1025"/>
      <c r="O56" s="1025"/>
      <c r="P56" s="1025"/>
      <c r="Q56" s="1025"/>
      <c r="R56" s="1025"/>
    </row>
    <row r="57" spans="3:18">
      <c r="M57" s="1025"/>
      <c r="N57" s="1025"/>
      <c r="O57" s="1025"/>
      <c r="P57" s="1025"/>
      <c r="Q57" s="1025"/>
      <c r="R57" s="1025"/>
    </row>
    <row r="58" spans="3:18">
      <c r="M58" s="1025"/>
      <c r="N58" s="1025"/>
      <c r="O58" s="1025"/>
      <c r="P58" s="1025"/>
      <c r="Q58" s="1025"/>
      <c r="R58" s="1025"/>
    </row>
    <row r="59" spans="3:18">
      <c r="M59" s="1025"/>
      <c r="N59" s="1025"/>
      <c r="O59" s="1025"/>
      <c r="P59" s="1025"/>
      <c r="Q59" s="1025"/>
      <c r="R59" s="1025"/>
    </row>
    <row r="60" spans="3:18">
      <c r="M60" s="1025"/>
      <c r="N60" s="1025"/>
      <c r="O60" s="1025"/>
      <c r="P60" s="1025"/>
      <c r="Q60" s="1025"/>
      <c r="R60" s="1025"/>
    </row>
    <row r="63" spans="3:18">
      <c r="F63" s="150"/>
      <c r="G63" s="150"/>
      <c r="H63" s="150"/>
      <c r="I63" s="400"/>
      <c r="J63" s="400"/>
    </row>
    <row r="64" spans="3:18">
      <c r="C64" s="158"/>
      <c r="D64" s="158"/>
      <c r="E64" s="158"/>
      <c r="F64" s="158"/>
      <c r="G64" s="158"/>
      <c r="H64" s="158"/>
      <c r="I64" s="744"/>
      <c r="J64" s="745"/>
    </row>
    <row r="65" spans="3:10">
      <c r="C65" s="746"/>
      <c r="D65" s="158"/>
      <c r="E65" s="746"/>
      <c r="F65" s="746"/>
      <c r="G65" s="746"/>
      <c r="H65" s="746"/>
      <c r="I65" s="747"/>
      <c r="J65" s="748"/>
    </row>
    <row r="137" spans="18:18">
      <c r="R137" s="1025">
        <f>+R13+R14+R25+R26+R30+R31+R32+R33+R34+R38+R42+R43+R44+R45+R46+R47+R48+R49+R50+R52+R53+R54+R55+R57+R60+R61+R63+R64+R65+R72+R82+R83+R84+R92+R93+R97+R99+R104+R109+R110+R111+R113+R114+R125+R126+R127</f>
        <v>0</v>
      </c>
    </row>
    <row r="138" spans="18:18">
      <c r="R138" s="1025">
        <f>+R137+'ACCIONES 320202'!K47</f>
        <v>2093388006.0947554</v>
      </c>
    </row>
  </sheetData>
  <mergeCells count="22">
    <mergeCell ref="A7:A9"/>
    <mergeCell ref="B7:B9"/>
    <mergeCell ref="L7:L9"/>
    <mergeCell ref="C38:G38"/>
    <mergeCell ref="I8:I9"/>
    <mergeCell ref="G7:G9"/>
    <mergeCell ref="I7:J7"/>
    <mergeCell ref="C7:C9"/>
    <mergeCell ref="D7:D9"/>
    <mergeCell ref="E7:E9"/>
    <mergeCell ref="F7:F9"/>
    <mergeCell ref="H7:H9"/>
    <mergeCell ref="S8:T8"/>
    <mergeCell ref="Q8:R8"/>
    <mergeCell ref="C1:I3"/>
    <mergeCell ref="J1:K1"/>
    <mergeCell ref="J2:K2"/>
    <mergeCell ref="J3:K3"/>
    <mergeCell ref="C5:K5"/>
    <mergeCell ref="C6:K6"/>
    <mergeCell ref="J8:J9"/>
    <mergeCell ref="K7:K9"/>
  </mergeCells>
  <pageMargins left="0.7" right="0.7" top="0.75" bottom="0.75" header="0.3" footer="0.3"/>
  <pageSetup orientation="portrait" verticalDpi="597"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5"/>
  <sheetViews>
    <sheetView workbookViewId="0">
      <selection activeCell="I7" sqref="I7:I9"/>
    </sheetView>
  </sheetViews>
  <sheetFormatPr baseColWidth="10" defaultRowHeight="15"/>
  <cols>
    <col min="1" max="1" width="12.5703125" customWidth="1"/>
    <col min="2" max="2" width="43.42578125" bestFit="1" customWidth="1"/>
    <col min="3" max="3" width="9.85546875" bestFit="1" customWidth="1"/>
    <col min="4" max="4" width="10.42578125" bestFit="1" customWidth="1"/>
    <col min="5" max="5" width="12.7109375" style="99" bestFit="1" customWidth="1"/>
    <col min="6" max="6" width="17.7109375" style="99" bestFit="1" customWidth="1"/>
    <col min="7" max="7" width="12.7109375" style="99" bestFit="1" customWidth="1"/>
    <col min="8" max="8" width="13.42578125" style="99" bestFit="1" customWidth="1"/>
    <col min="9" max="9" width="20.28515625" bestFit="1" customWidth="1"/>
    <col min="10" max="11" width="12.7109375" bestFit="1" customWidth="1"/>
    <col min="12" max="12" width="11.7109375" bestFit="1" customWidth="1"/>
    <col min="13" max="13" width="21.42578125" bestFit="1" customWidth="1"/>
    <col min="14" max="14" width="17.5703125" bestFit="1" customWidth="1"/>
    <col min="15" max="15" width="16.42578125" customWidth="1"/>
    <col min="16" max="16" width="20.140625" customWidth="1"/>
    <col min="17" max="17" width="18.85546875" customWidth="1"/>
    <col min="20" max="20" width="17.7109375" bestFit="1" customWidth="1"/>
    <col min="21" max="21" width="20.140625" customWidth="1"/>
  </cols>
  <sheetData>
    <row r="1" spans="1:15" s="1" customFormat="1" ht="23.25" customHeight="1">
      <c r="B1" s="2201"/>
      <c r="C1" s="788"/>
      <c r="D1" s="788"/>
      <c r="E1" s="2186"/>
      <c r="F1" s="2186"/>
      <c r="G1" s="2186"/>
      <c r="H1" s="2186"/>
      <c r="I1" s="2186"/>
      <c r="J1" s="2186"/>
      <c r="K1" s="2187"/>
      <c r="L1" s="494"/>
      <c r="M1" s="2248" t="s">
        <v>980</v>
      </c>
      <c r="N1" s="2249"/>
      <c r="O1"/>
    </row>
    <row r="2" spans="1:15" s="1" customFormat="1" ht="23.25" customHeight="1">
      <c r="B2" s="2202"/>
      <c r="C2" s="789"/>
      <c r="D2" s="789"/>
      <c r="E2" s="2189"/>
      <c r="F2" s="2189"/>
      <c r="G2" s="2189"/>
      <c r="H2" s="2189"/>
      <c r="I2" s="2189"/>
      <c r="J2" s="2189"/>
      <c r="K2" s="2190"/>
      <c r="L2" s="492"/>
      <c r="M2" s="2250" t="s">
        <v>365</v>
      </c>
      <c r="N2" s="2251"/>
      <c r="O2"/>
    </row>
    <row r="3" spans="1:15" s="1" customFormat="1" ht="23.25" customHeight="1" thickBot="1">
      <c r="B3" s="2203"/>
      <c r="C3" s="790"/>
      <c r="D3" s="790"/>
      <c r="E3" s="2192"/>
      <c r="F3" s="2192"/>
      <c r="G3" s="2192"/>
      <c r="H3" s="2192"/>
      <c r="I3" s="2192"/>
      <c r="J3" s="2192"/>
      <c r="K3" s="2193"/>
      <c r="L3" s="495"/>
      <c r="M3" s="2252" t="s">
        <v>366</v>
      </c>
      <c r="N3" s="2253"/>
      <c r="O3"/>
    </row>
    <row r="4" spans="1:15" s="1" customFormat="1" ht="13.5" customHeight="1" thickBot="1">
      <c r="O4"/>
    </row>
    <row r="5" spans="1:15" s="1" customFormat="1" ht="24.75" customHeight="1" thickBot="1">
      <c r="B5" s="2278" t="s">
        <v>179</v>
      </c>
      <c r="C5" s="2279"/>
      <c r="D5" s="2279"/>
      <c r="E5" s="2279"/>
      <c r="F5" s="2279"/>
      <c r="G5" s="2279"/>
      <c r="H5" s="2279"/>
      <c r="I5" s="2279"/>
      <c r="J5" s="2279"/>
      <c r="K5" s="2279"/>
      <c r="L5" s="2279"/>
      <c r="M5" s="2279"/>
      <c r="N5" s="2280"/>
      <c r="O5"/>
    </row>
    <row r="6" spans="1:15" ht="15.75" thickBot="1">
      <c r="B6" s="2276" t="s">
        <v>1393</v>
      </c>
      <c r="C6" s="2277"/>
      <c r="D6" s="2277"/>
      <c r="E6" s="2277"/>
      <c r="F6" s="2277"/>
      <c r="G6" s="2277"/>
      <c r="H6" s="2277"/>
      <c r="I6" s="2277"/>
      <c r="J6" s="2277"/>
      <c r="K6" s="2277"/>
      <c r="L6" s="2277"/>
      <c r="M6" s="2277"/>
      <c r="N6" s="2277"/>
    </row>
    <row r="7" spans="1:15" ht="20.25" customHeight="1" thickBot="1">
      <c r="A7" s="2270" t="s">
        <v>278</v>
      </c>
      <c r="B7" s="2135" t="s">
        <v>311</v>
      </c>
      <c r="C7" s="2247" t="s">
        <v>313</v>
      </c>
      <c r="D7" s="2247" t="s">
        <v>191</v>
      </c>
      <c r="E7" s="2269" t="s">
        <v>192</v>
      </c>
      <c r="F7" s="2269" t="s">
        <v>215</v>
      </c>
      <c r="G7" s="2269" t="s">
        <v>193</v>
      </c>
      <c r="H7" s="2269" t="s">
        <v>194</v>
      </c>
      <c r="I7" s="2135" t="s">
        <v>1045</v>
      </c>
      <c r="J7" s="2273" t="s">
        <v>527</v>
      </c>
      <c r="K7" s="2274"/>
      <c r="L7" s="2275"/>
      <c r="M7" s="2135" t="s">
        <v>1044</v>
      </c>
      <c r="N7" s="2135" t="s">
        <v>987</v>
      </c>
    </row>
    <row r="8" spans="1:15" ht="15" customHeight="1" thickBot="1">
      <c r="A8" s="2271"/>
      <c r="B8" s="2135"/>
      <c r="C8" s="2159"/>
      <c r="D8" s="2159"/>
      <c r="E8" s="2269"/>
      <c r="F8" s="2269"/>
      <c r="G8" s="2269"/>
      <c r="H8" s="2269"/>
      <c r="I8" s="2273"/>
      <c r="J8" s="2267" t="s">
        <v>277</v>
      </c>
      <c r="K8" s="2267" t="s">
        <v>192</v>
      </c>
      <c r="L8" s="2267" t="s">
        <v>193</v>
      </c>
      <c r="M8" s="2135"/>
      <c r="N8" s="2135"/>
    </row>
    <row r="9" spans="1:15" ht="18.75" customHeight="1" thickBot="1">
      <c r="A9" s="2272"/>
      <c r="B9" s="2210"/>
      <c r="C9" s="2200"/>
      <c r="D9" s="2200"/>
      <c r="E9" s="2267"/>
      <c r="F9" s="2267"/>
      <c r="G9" s="2267"/>
      <c r="H9" s="2267"/>
      <c r="I9" s="2139"/>
      <c r="J9" s="2268"/>
      <c r="K9" s="2268"/>
      <c r="L9" s="2268"/>
      <c r="M9" s="2210"/>
      <c r="N9" s="2210"/>
    </row>
    <row r="10" spans="1:15" ht="39" thickBot="1">
      <c r="A10" s="290" t="s">
        <v>1450</v>
      </c>
      <c r="B10" s="862" t="s">
        <v>1430</v>
      </c>
      <c r="C10" s="1677" t="s">
        <v>1098</v>
      </c>
      <c r="D10" s="1677">
        <v>15</v>
      </c>
      <c r="E10" s="863">
        <f>SUM(E11)</f>
        <v>7028000</v>
      </c>
      <c r="F10" s="863">
        <f t="shared" ref="F10:N10" si="0">SUM(F11)</f>
        <v>0</v>
      </c>
      <c r="G10" s="863">
        <f t="shared" si="0"/>
        <v>151251173.49640009</v>
      </c>
      <c r="H10" s="863">
        <f t="shared" si="0"/>
        <v>0</v>
      </c>
      <c r="I10" s="863">
        <f t="shared" si="0"/>
        <v>158279173.49640009</v>
      </c>
      <c r="J10" s="863">
        <f t="shared" si="0"/>
        <v>0</v>
      </c>
      <c r="K10" s="863">
        <f t="shared" si="0"/>
        <v>0</v>
      </c>
      <c r="L10" s="863">
        <f t="shared" si="0"/>
        <v>51000000</v>
      </c>
      <c r="M10" s="863">
        <f t="shared" si="0"/>
        <v>51000000</v>
      </c>
      <c r="N10" s="863">
        <f t="shared" si="0"/>
        <v>209279173.49640009</v>
      </c>
    </row>
    <row r="11" spans="1:15" ht="39" thickBot="1">
      <c r="A11" s="864"/>
      <c r="B11" s="477" t="s">
        <v>1081</v>
      </c>
      <c r="C11" s="1678" t="s">
        <v>1115</v>
      </c>
      <c r="D11" s="1685">
        <v>15</v>
      </c>
      <c r="E11" s="868">
        <f>+'ACCIONES 320301'!I11</f>
        <v>7028000</v>
      </c>
      <c r="F11" s="868">
        <f>+'ACCIONES 320301'!J11</f>
        <v>0</v>
      </c>
      <c r="G11" s="868">
        <f>+'ACCIONES 320301'!K11</f>
        <v>151251173.49640009</v>
      </c>
      <c r="H11" s="868">
        <f>+'ACCIONES 320301'!L11</f>
        <v>0</v>
      </c>
      <c r="I11" s="868">
        <f>+'ACCIONES 320301'!M11</f>
        <v>158279173.49640009</v>
      </c>
      <c r="J11" s="868">
        <f>+'ACCIONES 320301'!N11</f>
        <v>0</v>
      </c>
      <c r="K11" s="868">
        <f>+'ACCIONES 320301'!O11</f>
        <v>0</v>
      </c>
      <c r="L11" s="868">
        <f>+'ACCIONES 320301'!P11</f>
        <v>51000000</v>
      </c>
      <c r="M11" s="868">
        <f>+'ACCIONES 320301'!Q11</f>
        <v>51000000</v>
      </c>
      <c r="N11" s="869">
        <f>+'ACCIONES 320301'!R11</f>
        <v>209279173.49640009</v>
      </c>
    </row>
    <row r="12" spans="1:15" ht="26.25" thickBot="1">
      <c r="A12" s="290">
        <v>3203002</v>
      </c>
      <c r="B12" s="866" t="s">
        <v>1431</v>
      </c>
      <c r="C12" s="1690" t="s">
        <v>1098</v>
      </c>
      <c r="D12" s="1690"/>
      <c r="E12" s="867">
        <f>SUM(E13)</f>
        <v>7028000</v>
      </c>
      <c r="F12" s="867">
        <f t="shared" ref="F12:M12" si="1">SUM(F13)</f>
        <v>0</v>
      </c>
      <c r="G12" s="867">
        <f t="shared" si="1"/>
        <v>0</v>
      </c>
      <c r="H12" s="867">
        <f t="shared" si="1"/>
        <v>0</v>
      </c>
      <c r="I12" s="867">
        <f t="shared" si="1"/>
        <v>7028000</v>
      </c>
      <c r="J12" s="867">
        <f t="shared" si="1"/>
        <v>0</v>
      </c>
      <c r="K12" s="867">
        <f t="shared" si="1"/>
        <v>0</v>
      </c>
      <c r="L12" s="867">
        <f t="shared" si="1"/>
        <v>0</v>
      </c>
      <c r="M12" s="867">
        <f t="shared" si="1"/>
        <v>0</v>
      </c>
      <c r="N12" s="867">
        <f>SUM(N13)</f>
        <v>7028000</v>
      </c>
    </row>
    <row r="13" spans="1:15" ht="26.25" thickBot="1">
      <c r="A13" s="864"/>
      <c r="B13" s="477" t="s">
        <v>1083</v>
      </c>
      <c r="C13" s="1691" t="s">
        <v>408</v>
      </c>
      <c r="D13" s="1686"/>
      <c r="E13" s="868">
        <f>+'ACCIONES 320301'!I15</f>
        <v>7028000</v>
      </c>
      <c r="F13" s="868">
        <f>+'ACCIONES 320301'!J15</f>
        <v>0</v>
      </c>
      <c r="G13" s="868">
        <f>+'ACCIONES 320301'!K15</f>
        <v>0</v>
      </c>
      <c r="H13" s="868">
        <f>+'ACCIONES 320301'!L15</f>
        <v>0</v>
      </c>
      <c r="I13" s="868">
        <f>+'ACCIONES 320301'!M15</f>
        <v>7028000</v>
      </c>
      <c r="J13" s="868">
        <f>+'ACCIONES 320301'!N15</f>
        <v>0</v>
      </c>
      <c r="K13" s="868">
        <f>+'ACCIONES 320301'!O15</f>
        <v>0</v>
      </c>
      <c r="L13" s="868">
        <f>+'ACCIONES 320301'!P15</f>
        <v>0</v>
      </c>
      <c r="M13" s="868">
        <f>+'ACCIONES 320301'!Q15</f>
        <v>0</v>
      </c>
      <c r="N13" s="869">
        <f>+'ACCIONES 320301'!R15</f>
        <v>7028000</v>
      </c>
    </row>
    <row r="14" spans="1:15" ht="26.25" thickBot="1">
      <c r="A14" s="290" t="s">
        <v>1450</v>
      </c>
      <c r="B14" s="499" t="s">
        <v>1084</v>
      </c>
      <c r="C14" s="1692" t="s">
        <v>1098</v>
      </c>
      <c r="D14" s="1692">
        <v>100</v>
      </c>
      <c r="E14" s="870">
        <f>SUM(E15)</f>
        <v>868274622.50999975</v>
      </c>
      <c r="F14" s="870">
        <f t="shared" ref="F14:M14" si="2">SUM(F15)</f>
        <v>0</v>
      </c>
      <c r="G14" s="870">
        <f t="shared" si="2"/>
        <v>302392451.40000027</v>
      </c>
      <c r="H14" s="870">
        <f t="shared" si="2"/>
        <v>133162476.111065</v>
      </c>
      <c r="I14" s="870">
        <f t="shared" si="2"/>
        <v>1303829550.0210648</v>
      </c>
      <c r="J14" s="870">
        <f t="shared" si="2"/>
        <v>0</v>
      </c>
      <c r="K14" s="870">
        <f t="shared" si="2"/>
        <v>303804038.98999995</v>
      </c>
      <c r="L14" s="870">
        <f t="shared" si="2"/>
        <v>0</v>
      </c>
      <c r="M14" s="870">
        <f t="shared" si="2"/>
        <v>303804038.98999995</v>
      </c>
      <c r="N14" s="870">
        <f>SUM(N15)</f>
        <v>1607633589.011065</v>
      </c>
    </row>
    <row r="15" spans="1:15" ht="26.25" thickBot="1">
      <c r="A15" s="865"/>
      <c r="B15" s="477" t="s">
        <v>1085</v>
      </c>
      <c r="C15" s="1693" t="s">
        <v>1098</v>
      </c>
      <c r="D15" s="1686">
        <v>100</v>
      </c>
      <c r="E15" s="868">
        <f>+'ACCIONES 320301'!I19</f>
        <v>868274622.50999975</v>
      </c>
      <c r="F15" s="868">
        <f>+'ACCIONES 320301'!J19</f>
        <v>0</v>
      </c>
      <c r="G15" s="868">
        <f>+'ACCIONES 320301'!K19</f>
        <v>302392451.40000027</v>
      </c>
      <c r="H15" s="868">
        <f>+'ACCIONES 320301'!L19</f>
        <v>133162476.111065</v>
      </c>
      <c r="I15" s="868">
        <f>+'ACCIONES 320301'!M19</f>
        <v>1303829550.0210648</v>
      </c>
      <c r="J15" s="868">
        <f>+'ACCIONES 320301'!N19</f>
        <v>0</v>
      </c>
      <c r="K15" s="868">
        <f>+'ACCIONES 320301'!O19</f>
        <v>303804038.98999995</v>
      </c>
      <c r="L15" s="868">
        <f>+'ACCIONES 320301'!P19</f>
        <v>0</v>
      </c>
      <c r="M15" s="868">
        <f>+'ACCIONES 320301'!Q19</f>
        <v>303804038.98999995</v>
      </c>
      <c r="N15" s="869">
        <f>+'ACCIONES 320301'!R19</f>
        <v>1607633589.011065</v>
      </c>
    </row>
    <row r="16" spans="1:15" ht="15.75" thickBot="1">
      <c r="A16" s="290">
        <v>3203045</v>
      </c>
      <c r="B16" s="872" t="s">
        <v>1120</v>
      </c>
      <c r="C16" s="1692" t="s">
        <v>1098</v>
      </c>
      <c r="D16" s="1692">
        <v>100</v>
      </c>
      <c r="E16" s="871">
        <f>SUM(E17:E19)</f>
        <v>55938964.399999999</v>
      </c>
      <c r="F16" s="871">
        <f t="shared" ref="F16:M16" si="3">SUM(F17:F19)</f>
        <v>733345587.449</v>
      </c>
      <c r="G16" s="871">
        <f>SUM(G17:G19)</f>
        <v>77124804.551000029</v>
      </c>
      <c r="H16" s="871">
        <f>SUM(H17:H19)</f>
        <v>0</v>
      </c>
      <c r="I16" s="871">
        <f t="shared" si="3"/>
        <v>866409356.39999998</v>
      </c>
      <c r="J16" s="871">
        <f t="shared" si="3"/>
        <v>200000000</v>
      </c>
      <c r="K16" s="871">
        <f t="shared" si="3"/>
        <v>347571638.71359992</v>
      </c>
      <c r="L16" s="871">
        <f t="shared" si="3"/>
        <v>0</v>
      </c>
      <c r="M16" s="871">
        <f t="shared" si="3"/>
        <v>547571638.71359992</v>
      </c>
      <c r="N16" s="871">
        <f>SUM(N17:N19)</f>
        <v>1413980995.1136</v>
      </c>
    </row>
    <row r="17" spans="1:22" ht="43.5" customHeight="1">
      <c r="A17" s="865"/>
      <c r="B17" s="473" t="s">
        <v>1119</v>
      </c>
      <c r="C17" s="1687" t="s">
        <v>1098</v>
      </c>
      <c r="D17" s="1687">
        <v>100</v>
      </c>
      <c r="E17" s="758">
        <f>+'ACCIONES 320301'!I69</f>
        <v>55938964.399999999</v>
      </c>
      <c r="F17" s="758">
        <f>+'ACCIONES 320301'!J69</f>
        <v>230735665.84899998</v>
      </c>
      <c r="G17" s="758">
        <f>+'ACCIONES 320301'!K69</f>
        <v>46602366.551000021</v>
      </c>
      <c r="H17" s="758">
        <f>+'ACCIONES 320301'!L69</f>
        <v>0</v>
      </c>
      <c r="I17" s="758">
        <f>SUM(E17:G17)</f>
        <v>333276996.79999995</v>
      </c>
      <c r="J17" s="758">
        <f>+'ACCIONES 320301'!N69</f>
        <v>0</v>
      </c>
      <c r="K17" s="758">
        <f>+'ACCIONES 320301'!O69</f>
        <v>0</v>
      </c>
      <c r="L17" s="758">
        <f>+'ACCIONES 320301'!P69</f>
        <v>0</v>
      </c>
      <c r="M17" s="758">
        <f>SUM(J17:L17)</f>
        <v>0</v>
      </c>
      <c r="N17" s="873">
        <f>+M17+I17</f>
        <v>333276996.79999995</v>
      </c>
    </row>
    <row r="18" spans="1:22" ht="35.25" customHeight="1">
      <c r="A18" s="865"/>
      <c r="B18" s="384" t="s">
        <v>1121</v>
      </c>
      <c r="C18" s="1688" t="s">
        <v>1098</v>
      </c>
      <c r="D18" s="1688">
        <v>100</v>
      </c>
      <c r="E18" s="312">
        <f>+'ACCIONES 320301'!I75</f>
        <v>0</v>
      </c>
      <c r="F18" s="312">
        <f>+'ACCIONES 320301'!J75</f>
        <v>502609921.60000002</v>
      </c>
      <c r="G18" s="312">
        <f>+'ACCIONES 320301'!K75</f>
        <v>30522438</v>
      </c>
      <c r="H18" s="312">
        <f>+'ACCIONES 320301'!L75</f>
        <v>0</v>
      </c>
      <c r="I18" s="758">
        <f>SUM(E18:G18)</f>
        <v>533132359.60000002</v>
      </c>
      <c r="J18" s="312">
        <f>+'ACCIONES 320301'!N75</f>
        <v>200000000</v>
      </c>
      <c r="K18" s="312">
        <f>+'ACCIONES 320301'!O75</f>
        <v>347571638.71359992</v>
      </c>
      <c r="L18" s="312">
        <f>+'ACCIONES 320301'!P75</f>
        <v>0</v>
      </c>
      <c r="M18" s="758">
        <f t="shared" ref="M18:M19" si="4">SUM(J18:L18)</f>
        <v>547571638.71359992</v>
      </c>
      <c r="N18" s="873">
        <f t="shared" ref="N18:N19" si="5">+M18+I18</f>
        <v>1080703998.3136001</v>
      </c>
    </row>
    <row r="19" spans="1:22" ht="41.25" customHeight="1" thickBot="1">
      <c r="A19" s="865"/>
      <c r="B19" s="280" t="s">
        <v>1412</v>
      </c>
      <c r="C19" s="1689" t="s">
        <v>1115</v>
      </c>
      <c r="D19" s="1689">
        <v>100</v>
      </c>
      <c r="E19" s="874">
        <f>+'ACCIONES 320301'!I78</f>
        <v>0</v>
      </c>
      <c r="F19" s="874">
        <f>+'ACCIONES 320301'!J78</f>
        <v>0</v>
      </c>
      <c r="G19" s="874">
        <f>+'ACCIONES 320301'!K78</f>
        <v>0</v>
      </c>
      <c r="H19" s="874">
        <f>+'ACCIONES 320301'!L78</f>
        <v>0</v>
      </c>
      <c r="I19" s="868">
        <f>SUM(E19:G19)</f>
        <v>0</v>
      </c>
      <c r="J19" s="874">
        <f>+'ACCIONES 320301'!N78</f>
        <v>0</v>
      </c>
      <c r="K19" s="874">
        <f>+'ACCIONES 320301'!O78</f>
        <v>0</v>
      </c>
      <c r="L19" s="874">
        <f>+'ACCIONES 320301'!P78</f>
        <v>0</v>
      </c>
      <c r="M19" s="868">
        <f t="shared" si="4"/>
        <v>0</v>
      </c>
      <c r="N19" s="869">
        <f t="shared" si="5"/>
        <v>0</v>
      </c>
    </row>
    <row r="20" spans="1:22" ht="15.75" thickBot="1">
      <c r="A20" s="289"/>
      <c r="B20" s="615" t="s">
        <v>10</v>
      </c>
      <c r="C20" s="615"/>
      <c r="D20" s="615"/>
      <c r="E20" s="206">
        <f>+E10+E12+E14+E16</f>
        <v>938269586.90999973</v>
      </c>
      <c r="F20" s="206">
        <f t="shared" ref="F20:N20" si="6">+F10+F12+F14+F16</f>
        <v>733345587.449</v>
      </c>
      <c r="G20" s="206">
        <f t="shared" si="6"/>
        <v>530768429.44740033</v>
      </c>
      <c r="H20" s="206">
        <f t="shared" si="6"/>
        <v>133162476.111065</v>
      </c>
      <c r="I20" s="206">
        <f t="shared" si="6"/>
        <v>2335546079.9174647</v>
      </c>
      <c r="J20" s="206">
        <f t="shared" si="6"/>
        <v>200000000</v>
      </c>
      <c r="K20" s="206">
        <f t="shared" si="6"/>
        <v>651375677.70359993</v>
      </c>
      <c r="L20" s="206">
        <f t="shared" si="6"/>
        <v>51000000</v>
      </c>
      <c r="M20" s="206">
        <f t="shared" si="6"/>
        <v>902375677.70359993</v>
      </c>
      <c r="N20" s="206">
        <f t="shared" si="6"/>
        <v>3237921757.6210651</v>
      </c>
    </row>
    <row r="21" spans="1:22" ht="15.75" thickBot="1">
      <c r="A21" s="289"/>
      <c r="B21" s="125"/>
      <c r="C21" s="125"/>
      <c r="D21" s="125"/>
      <c r="I21" s="99"/>
      <c r="J21" s="99"/>
      <c r="K21" s="99"/>
      <c r="L21" s="99"/>
      <c r="M21" s="99"/>
      <c r="N21" s="99"/>
      <c r="P21" s="76"/>
      <c r="Q21" s="256"/>
    </row>
    <row r="22" spans="1:22" ht="15.75" thickBot="1">
      <c r="B22" s="125"/>
      <c r="C22" s="125"/>
      <c r="D22" s="125"/>
      <c r="E22" s="183">
        <v>938269586.90999973</v>
      </c>
      <c r="F22" s="183">
        <v>733345587.449</v>
      </c>
      <c r="G22" s="183">
        <v>530768429.44740045</v>
      </c>
      <c r="H22" s="183">
        <v>133162476.111065</v>
      </c>
      <c r="I22" s="223">
        <v>2335546079.9174647</v>
      </c>
      <c r="J22" s="183">
        <v>200000000</v>
      </c>
      <c r="K22" s="183">
        <v>651375677.70359993</v>
      </c>
      <c r="L22" s="183">
        <v>51000000</v>
      </c>
      <c r="M22" s="223">
        <v>902375677.70359993</v>
      </c>
      <c r="N22" s="223">
        <v>3237921757.6210651</v>
      </c>
    </row>
    <row r="23" spans="1:22">
      <c r="B23" s="125"/>
      <c r="C23" s="125"/>
      <c r="D23" s="125"/>
      <c r="I23" s="99"/>
      <c r="J23" s="125"/>
      <c r="K23" s="125"/>
      <c r="L23" s="125"/>
      <c r="M23" s="125"/>
      <c r="P23" s="25"/>
    </row>
    <row r="24" spans="1:22">
      <c r="B24" s="125"/>
      <c r="C24" s="125"/>
      <c r="D24" s="125"/>
      <c r="E24" s="182">
        <f t="shared" ref="E24:K24" si="7">+E22-E20</f>
        <v>0</v>
      </c>
      <c r="F24" s="182">
        <f t="shared" si="7"/>
        <v>0</v>
      </c>
      <c r="G24" s="182">
        <f t="shared" si="7"/>
        <v>0</v>
      </c>
      <c r="H24" s="182"/>
      <c r="I24" s="182">
        <f t="shared" si="7"/>
        <v>0</v>
      </c>
      <c r="J24" s="182">
        <f t="shared" si="7"/>
        <v>0</v>
      </c>
      <c r="K24" s="182">
        <f t="shared" si="7"/>
        <v>0</v>
      </c>
      <c r="L24" s="182"/>
      <c r="M24" s="182">
        <f>+M22-M20</f>
        <v>0</v>
      </c>
      <c r="N24" s="182">
        <f>+N22-N20</f>
        <v>0</v>
      </c>
    </row>
    <row r="25" spans="1:22" s="99" customFormat="1">
      <c r="A25"/>
      <c r="B25"/>
      <c r="C25"/>
      <c r="D25"/>
      <c r="E25"/>
      <c r="F25"/>
      <c r="I25"/>
      <c r="J25"/>
      <c r="K25"/>
      <c r="L25"/>
      <c r="M25"/>
      <c r="N25"/>
      <c r="O25"/>
      <c r="P25"/>
      <c r="Q25"/>
      <c r="R25"/>
      <c r="S25"/>
      <c r="T25"/>
      <c r="U25"/>
      <c r="V25"/>
    </row>
  </sheetData>
  <mergeCells count="22">
    <mergeCell ref="M7:M9"/>
    <mergeCell ref="A7:A9"/>
    <mergeCell ref="B7:B9"/>
    <mergeCell ref="E7:E9"/>
    <mergeCell ref="B1:B3"/>
    <mergeCell ref="E1:K3"/>
    <mergeCell ref="G7:G9"/>
    <mergeCell ref="I7:I9"/>
    <mergeCell ref="J7:L7"/>
    <mergeCell ref="B6:N6"/>
    <mergeCell ref="M1:N1"/>
    <mergeCell ref="M2:N2"/>
    <mergeCell ref="M3:N3"/>
    <mergeCell ref="B5:N5"/>
    <mergeCell ref="N7:N9"/>
    <mergeCell ref="J8:J9"/>
    <mergeCell ref="K8:K9"/>
    <mergeCell ref="L8:L9"/>
    <mergeCell ref="F7:F9"/>
    <mergeCell ref="C7:C9"/>
    <mergeCell ref="D7:D9"/>
    <mergeCell ref="H7:H9"/>
  </mergeCells>
  <pageMargins left="0.7" right="0.7" top="0.75" bottom="0.75" header="0.3" footer="0.3"/>
  <pageSetup paperSize="9" orientation="portrait" verticalDpi="597"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AD85"/>
  <sheetViews>
    <sheetView zoomScale="80" zoomScaleNormal="80" workbookViewId="0">
      <pane xSplit="8" ySplit="9" topLeftCell="I52" activePane="bottomRight" state="frozen"/>
      <selection activeCell="F55" sqref="F55"/>
      <selection pane="topRight" activeCell="F55" sqref="F55"/>
      <selection pane="bottomLeft" activeCell="F55" sqref="F55"/>
      <selection pane="bottomRight" activeCell="P77" sqref="P77"/>
    </sheetView>
  </sheetViews>
  <sheetFormatPr baseColWidth="10" defaultColWidth="11.42578125" defaultRowHeight="24.95" customHeight="1"/>
  <cols>
    <col min="1" max="1" width="6.85546875" style="1874" customWidth="1"/>
    <col min="2" max="2" width="7.42578125" style="1874" customWidth="1"/>
    <col min="3" max="3" width="49" style="1975" customWidth="1"/>
    <col min="4" max="4" width="24.140625" style="1974" hidden="1" customWidth="1"/>
    <col min="5" max="5" width="19.7109375" style="1974" hidden="1" customWidth="1"/>
    <col min="6" max="6" width="9.85546875" style="1974" hidden="1" customWidth="1"/>
    <col min="7" max="7" width="10.42578125" style="1974" hidden="1" customWidth="1"/>
    <col min="8" max="8" width="17.140625" style="1974" hidden="1" customWidth="1"/>
    <col min="9" max="9" width="15.85546875" style="1974" customWidth="1"/>
    <col min="10" max="10" width="14.42578125" style="1974" hidden="1" customWidth="1"/>
    <col min="11" max="12" width="16.7109375" style="1974" customWidth="1"/>
    <col min="13" max="13" width="15.85546875" style="1975" hidden="1" customWidth="1"/>
    <col min="14" max="14" width="14.28515625" style="1975" hidden="1" customWidth="1"/>
    <col min="15" max="15" width="14" style="1975" customWidth="1"/>
    <col min="16" max="16" width="15.5703125" style="1975" customWidth="1"/>
    <col min="17" max="17" width="16.5703125" style="1975" customWidth="1"/>
    <col min="18" max="18" width="17.5703125" style="1975" customWidth="1"/>
    <col min="19" max="19" width="16.42578125" style="161" customWidth="1"/>
    <col min="20" max="20" width="17" style="161" customWidth="1"/>
    <col min="21" max="21" width="16.85546875" style="161" customWidth="1"/>
    <col min="22" max="22" width="14.140625" style="161" customWidth="1"/>
    <col min="23" max="23" width="11.42578125" style="161" customWidth="1"/>
    <col min="24" max="24" width="16.42578125" style="161" customWidth="1"/>
    <col min="25" max="25" width="11.85546875" style="161" customWidth="1"/>
    <col min="26" max="27" width="12.5703125" style="161" customWidth="1"/>
    <col min="28" max="28" width="11.42578125" style="161" customWidth="1"/>
    <col min="29" max="16384" width="11.42578125" style="161"/>
  </cols>
  <sheetData>
    <row r="1" spans="1:30" s="150" customFormat="1" ht="12" customHeight="1">
      <c r="A1" s="295"/>
      <c r="B1" s="295"/>
      <c r="C1" s="2282"/>
      <c r="D1" s="2185" t="s">
        <v>367</v>
      </c>
      <c r="E1" s="2186"/>
      <c r="F1" s="2186"/>
      <c r="G1" s="2186"/>
      <c r="H1" s="2186"/>
      <c r="I1" s="2186"/>
      <c r="J1" s="2186"/>
      <c r="K1" s="2186"/>
      <c r="L1" s="2186"/>
      <c r="M1" s="2186"/>
      <c r="N1" s="2186"/>
      <c r="O1" s="2187"/>
      <c r="P1" s="1843"/>
      <c r="Q1" s="2285" t="s">
        <v>980</v>
      </c>
      <c r="R1" s="2286"/>
      <c r="S1" s="161"/>
    </row>
    <row r="2" spans="1:30" s="150" customFormat="1" ht="12" customHeight="1">
      <c r="A2" s="295"/>
      <c r="B2" s="295"/>
      <c r="C2" s="2283"/>
      <c r="D2" s="2188"/>
      <c r="E2" s="2189"/>
      <c r="F2" s="2189"/>
      <c r="G2" s="2189"/>
      <c r="H2" s="2189"/>
      <c r="I2" s="2189"/>
      <c r="J2" s="2189"/>
      <c r="K2" s="2189"/>
      <c r="L2" s="2189"/>
      <c r="M2" s="2189"/>
      <c r="N2" s="2189"/>
      <c r="O2" s="2190"/>
      <c r="P2" s="1844"/>
      <c r="Q2" s="2287" t="s">
        <v>365</v>
      </c>
      <c r="R2" s="2288"/>
      <c r="S2" s="161"/>
    </row>
    <row r="3" spans="1:30" s="150" customFormat="1" ht="12" customHeight="1" thickBot="1">
      <c r="A3" s="295"/>
      <c r="B3" s="295"/>
      <c r="C3" s="2284"/>
      <c r="D3" s="2191"/>
      <c r="E3" s="2192"/>
      <c r="F3" s="2192"/>
      <c r="G3" s="2192"/>
      <c r="H3" s="2192"/>
      <c r="I3" s="2192"/>
      <c r="J3" s="2192"/>
      <c r="K3" s="2192"/>
      <c r="L3" s="2192"/>
      <c r="M3" s="2192"/>
      <c r="N3" s="2192"/>
      <c r="O3" s="2193"/>
      <c r="P3" s="1845"/>
      <c r="Q3" s="2289" t="s">
        <v>366</v>
      </c>
      <c r="R3" s="2290"/>
      <c r="S3" s="161"/>
    </row>
    <row r="4" spans="1:30" s="150" customFormat="1" ht="12" customHeight="1" thickBot="1">
      <c r="A4" s="295"/>
      <c r="B4" s="295"/>
      <c r="C4" s="1"/>
      <c r="D4" s="1"/>
      <c r="E4" s="1"/>
      <c r="F4" s="1"/>
      <c r="G4" s="1"/>
      <c r="H4" s="1"/>
      <c r="I4" s="1"/>
      <c r="J4" s="1"/>
      <c r="K4" s="1"/>
      <c r="L4" s="1"/>
      <c r="M4" s="1"/>
      <c r="N4" s="1"/>
      <c r="O4" s="1"/>
      <c r="P4" s="1"/>
      <c r="Q4" s="1"/>
      <c r="R4" s="1"/>
      <c r="S4" s="161"/>
    </row>
    <row r="5" spans="1:30" s="150" customFormat="1" ht="20.25" customHeight="1" thickBot="1">
      <c r="A5" s="295"/>
      <c r="B5" s="295"/>
      <c r="C5" s="2278" t="s">
        <v>179</v>
      </c>
      <c r="D5" s="2279"/>
      <c r="E5" s="2279"/>
      <c r="F5" s="2279"/>
      <c r="G5" s="2279"/>
      <c r="H5" s="2279"/>
      <c r="I5" s="2279"/>
      <c r="J5" s="2279"/>
      <c r="K5" s="2279"/>
      <c r="L5" s="2279"/>
      <c r="M5" s="2279"/>
      <c r="N5" s="2279"/>
      <c r="O5" s="2279"/>
      <c r="P5" s="2279"/>
      <c r="Q5" s="2279"/>
      <c r="R5" s="2280"/>
      <c r="S5" s="861">
        <f>+R20+R21+R22+R23+R24+R25+R26+R27+R28+R29+R30+R31+R32+R33+R36+R40+R38+R41+R42+R43+R44+R45+R46+R47+R48+R49+R50+R51+R52+R53+R54+R55+R56+R57+R58+R59+R60+R61+R62+R63+R64+R65+R70+R71+R72+R73+R74</f>
        <v>1785716534.5000007</v>
      </c>
      <c r="T5" s="150">
        <v>404964103.14999986</v>
      </c>
    </row>
    <row r="6" spans="1:30" ht="21" customHeight="1" thickBot="1">
      <c r="C6" s="2276" t="s">
        <v>1393</v>
      </c>
      <c r="D6" s="2277"/>
      <c r="E6" s="2277"/>
      <c r="F6" s="2277"/>
      <c r="G6" s="2277"/>
      <c r="H6" s="2277"/>
      <c r="I6" s="2277"/>
      <c r="J6" s="2277"/>
      <c r="K6" s="2277"/>
      <c r="L6" s="2277"/>
      <c r="M6" s="2277"/>
      <c r="N6" s="2277"/>
      <c r="O6" s="2277"/>
      <c r="P6" s="2277"/>
      <c r="Q6" s="2277"/>
      <c r="R6" s="2277"/>
    </row>
    <row r="7" spans="1:30" ht="24.95" customHeight="1" thickBot="1">
      <c r="A7" s="2211" t="s">
        <v>368</v>
      </c>
      <c r="B7" s="2213" t="s">
        <v>369</v>
      </c>
      <c r="C7" s="2135" t="s">
        <v>311</v>
      </c>
      <c r="D7" s="2135" t="s">
        <v>312</v>
      </c>
      <c r="E7" s="2135" t="s">
        <v>350</v>
      </c>
      <c r="F7" s="2135" t="s">
        <v>313</v>
      </c>
      <c r="G7" s="2135" t="s">
        <v>191</v>
      </c>
      <c r="H7" s="2135" t="s">
        <v>387</v>
      </c>
      <c r="I7" s="2269" t="s">
        <v>192</v>
      </c>
      <c r="J7" s="2269" t="s">
        <v>215</v>
      </c>
      <c r="K7" s="2269" t="s">
        <v>193</v>
      </c>
      <c r="L7" s="2269" t="s">
        <v>1388</v>
      </c>
      <c r="M7" s="2135" t="s">
        <v>1045</v>
      </c>
      <c r="N7" s="2273" t="s">
        <v>527</v>
      </c>
      <c r="O7" s="2274"/>
      <c r="P7" s="2275"/>
      <c r="Q7" s="2135" t="s">
        <v>1044</v>
      </c>
      <c r="R7" s="2135" t="s">
        <v>987</v>
      </c>
      <c r="S7" s="1"/>
      <c r="T7" s="1"/>
      <c r="U7" s="1"/>
      <c r="V7" s="1"/>
      <c r="W7" s="2155" t="s">
        <v>1279</v>
      </c>
      <c r="X7" s="2155"/>
      <c r="Y7" s="2155"/>
      <c r="Z7" s="2155"/>
      <c r="AA7" s="2155"/>
    </row>
    <row r="8" spans="1:30" ht="24.95" customHeight="1" thickBot="1">
      <c r="A8" s="2211"/>
      <c r="B8" s="2213"/>
      <c r="C8" s="2135"/>
      <c r="D8" s="2135"/>
      <c r="E8" s="2135"/>
      <c r="F8" s="2135"/>
      <c r="G8" s="2135"/>
      <c r="H8" s="2135"/>
      <c r="I8" s="2269"/>
      <c r="J8" s="2269"/>
      <c r="K8" s="2269"/>
      <c r="L8" s="2269"/>
      <c r="M8" s="2273"/>
      <c r="N8" s="2267" t="s">
        <v>277</v>
      </c>
      <c r="O8" s="2267" t="s">
        <v>192</v>
      </c>
      <c r="P8" s="2267" t="s">
        <v>193</v>
      </c>
      <c r="Q8" s="2135"/>
      <c r="R8" s="2135"/>
      <c r="S8" s="745" t="s">
        <v>1280</v>
      </c>
      <c r="T8" s="1024" t="s">
        <v>1276</v>
      </c>
      <c r="U8" s="1024" t="s">
        <v>1277</v>
      </c>
      <c r="V8" s="2156" t="s">
        <v>1278</v>
      </c>
      <c r="W8" s="2281" t="s">
        <v>1286</v>
      </c>
      <c r="X8" s="2281"/>
      <c r="Y8" s="2281"/>
      <c r="Z8" s="2281" t="s">
        <v>1284</v>
      </c>
      <c r="AA8" s="2281"/>
      <c r="AB8" s="2281"/>
      <c r="AC8" s="2154" t="s">
        <v>1302</v>
      </c>
      <c r="AD8" s="2154"/>
    </row>
    <row r="9" spans="1:30" ht="33" customHeight="1" thickBot="1">
      <c r="A9" s="2211"/>
      <c r="B9" s="2213"/>
      <c r="C9" s="2210"/>
      <c r="D9" s="2210"/>
      <c r="E9" s="2210"/>
      <c r="F9" s="2210"/>
      <c r="G9" s="2210"/>
      <c r="H9" s="2210"/>
      <c r="I9" s="2267"/>
      <c r="J9" s="2267"/>
      <c r="K9" s="2267"/>
      <c r="L9" s="2267"/>
      <c r="M9" s="2139"/>
      <c r="N9" s="2268"/>
      <c r="O9" s="2268"/>
      <c r="P9" s="2268"/>
      <c r="Q9" s="2210"/>
      <c r="R9" s="2210"/>
      <c r="S9" s="1030"/>
      <c r="T9" s="1030"/>
      <c r="U9" s="1030"/>
      <c r="V9" s="2156"/>
      <c r="W9" s="745" t="s">
        <v>192</v>
      </c>
      <c r="X9" s="1029" t="s">
        <v>215</v>
      </c>
      <c r="Y9" s="254" t="s">
        <v>193</v>
      </c>
      <c r="Z9" s="745" t="s">
        <v>277</v>
      </c>
      <c r="AA9" s="254" t="s">
        <v>192</v>
      </c>
      <c r="AB9" s="161" t="s">
        <v>193</v>
      </c>
      <c r="AC9" s="157" t="s">
        <v>1288</v>
      </c>
      <c r="AD9" s="157" t="s">
        <v>1289</v>
      </c>
    </row>
    <row r="10" spans="1:30" ht="35.25" customHeight="1" thickBot="1">
      <c r="A10" s="1875">
        <v>210</v>
      </c>
      <c r="B10" s="1876"/>
      <c r="C10" s="1914" t="s">
        <v>1430</v>
      </c>
      <c r="D10" s="1915"/>
      <c r="E10" s="1916"/>
      <c r="F10" s="1916" t="s">
        <v>1098</v>
      </c>
      <c r="G10" s="1916">
        <v>15</v>
      </c>
      <c r="H10" s="1916"/>
      <c r="I10" s="1917">
        <f>+I11</f>
        <v>7028000</v>
      </c>
      <c r="J10" s="1917">
        <f>+J11</f>
        <v>0</v>
      </c>
      <c r="K10" s="1917">
        <f t="shared" ref="K10:P10" si="0">+K11</f>
        <v>151251173.49640009</v>
      </c>
      <c r="L10" s="1917">
        <f t="shared" si="0"/>
        <v>0</v>
      </c>
      <c r="M10" s="1917">
        <f t="shared" si="0"/>
        <v>158279173.49640009</v>
      </c>
      <c r="N10" s="1917">
        <f t="shared" si="0"/>
        <v>0</v>
      </c>
      <c r="O10" s="1917">
        <f t="shared" si="0"/>
        <v>0</v>
      </c>
      <c r="P10" s="1917">
        <f t="shared" si="0"/>
        <v>51000000</v>
      </c>
      <c r="Q10" s="1918">
        <f t="shared" ref="Q10:Q17" si="1">SUM(N10:P10)</f>
        <v>51000000</v>
      </c>
      <c r="R10" s="1919">
        <f t="shared" ref="R10:R17" si="2">+Q10+M10</f>
        <v>209279173.49640009</v>
      </c>
      <c r="S10" s="861"/>
      <c r="T10" s="861"/>
      <c r="U10" s="861"/>
      <c r="V10" s="861"/>
      <c r="W10" s="861"/>
      <c r="X10" s="861"/>
      <c r="Y10" s="861"/>
      <c r="Z10" s="861"/>
      <c r="AA10" s="861"/>
      <c r="AB10" s="861"/>
      <c r="AC10" s="861"/>
      <c r="AD10" s="861"/>
    </row>
    <row r="11" spans="1:30" ht="24.95" customHeight="1">
      <c r="A11" s="1875"/>
      <c r="B11" s="1876" t="s">
        <v>1479</v>
      </c>
      <c r="C11" s="1920" t="s">
        <v>1081</v>
      </c>
      <c r="D11" s="1921"/>
      <c r="E11" s="1922"/>
      <c r="F11" s="1922" t="s">
        <v>1115</v>
      </c>
      <c r="G11" s="1922">
        <v>15</v>
      </c>
      <c r="H11" s="1922"/>
      <c r="I11" s="1923">
        <f>SUM(I12:I13)</f>
        <v>7028000</v>
      </c>
      <c r="J11" s="1923">
        <f>SUM(J12:J13)</f>
        <v>0</v>
      </c>
      <c r="K11" s="1923">
        <f>SUM(K12:K13)</f>
        <v>151251173.49640009</v>
      </c>
      <c r="L11" s="1923">
        <f>SUM(L12:L13)</f>
        <v>0</v>
      </c>
      <c r="M11" s="1923">
        <f>SUM(M12:M13)</f>
        <v>158279173.49640009</v>
      </c>
      <c r="N11" s="1923">
        <f>SUM(N12:N12)</f>
        <v>0</v>
      </c>
      <c r="O11" s="1923">
        <f>SUM(O12:O12)</f>
        <v>0</v>
      </c>
      <c r="P11" s="1923">
        <f>SUM(P12:P12)</f>
        <v>51000000</v>
      </c>
      <c r="Q11" s="1924">
        <f t="shared" si="1"/>
        <v>51000000</v>
      </c>
      <c r="R11" s="1925">
        <f t="shared" si="2"/>
        <v>209279173.49640009</v>
      </c>
      <c r="S11" s="861"/>
      <c r="T11" s="861"/>
      <c r="U11" s="861"/>
      <c r="V11" s="861"/>
      <c r="W11" s="861"/>
      <c r="X11" s="861"/>
      <c r="Y11" s="861"/>
      <c r="Z11" s="861"/>
      <c r="AA11" s="861"/>
      <c r="AB11" s="861"/>
      <c r="AC11" s="861"/>
      <c r="AD11" s="861"/>
    </row>
    <row r="12" spans="1:30" s="150" customFormat="1" ht="24.95" customHeight="1">
      <c r="A12" s="294"/>
      <c r="B12" s="294"/>
      <c r="C12" s="384" t="s">
        <v>1118</v>
      </c>
      <c r="D12" s="10" t="s">
        <v>211</v>
      </c>
      <c r="E12" s="10" t="s">
        <v>466</v>
      </c>
      <c r="F12" s="10" t="s">
        <v>202</v>
      </c>
      <c r="G12" s="10">
        <v>1</v>
      </c>
      <c r="H12" s="10"/>
      <c r="I12" s="175"/>
      <c r="J12" s="175"/>
      <c r="K12" s="1926">
        <f>250000000+12857258-6131682.50359991-70000000-35751397+276995</f>
        <v>151251173.49640009</v>
      </c>
      <c r="L12" s="175"/>
      <c r="M12" s="1927">
        <f t="shared" ref="M12:M13" si="3">SUM(I12:L12)</f>
        <v>151251173.49640009</v>
      </c>
      <c r="N12" s="175"/>
      <c r="O12" s="175"/>
      <c r="P12" s="175">
        <v>51000000</v>
      </c>
      <c r="Q12" s="1928">
        <f t="shared" si="1"/>
        <v>51000000</v>
      </c>
      <c r="R12" s="1929">
        <f t="shared" si="2"/>
        <v>202251173.49640009</v>
      </c>
      <c r="S12" s="1025">
        <v>201974178</v>
      </c>
      <c r="T12" s="1025">
        <v>201974178</v>
      </c>
      <c r="U12" s="1025"/>
      <c r="V12" s="1025">
        <f>+S12-T12</f>
        <v>0</v>
      </c>
      <c r="W12" s="1025"/>
      <c r="X12" s="1025"/>
      <c r="Y12" s="1025"/>
      <c r="Z12" s="1025"/>
      <c r="AA12" s="1025"/>
      <c r="AB12" s="1025"/>
      <c r="AC12" s="1025" t="s">
        <v>56</v>
      </c>
      <c r="AD12" s="1025" t="s">
        <v>1344</v>
      </c>
    </row>
    <row r="13" spans="1:30" s="1080" customFormat="1" ht="40.5" customHeight="1" thickBot="1">
      <c r="A13" s="294"/>
      <c r="B13" s="294"/>
      <c r="C13" s="1930" t="s">
        <v>894</v>
      </c>
      <c r="D13" s="1178" t="s">
        <v>211</v>
      </c>
      <c r="E13" s="1178" t="s">
        <v>466</v>
      </c>
      <c r="F13" s="1178"/>
      <c r="G13" s="1178"/>
      <c r="H13" s="1178"/>
      <c r="I13" s="1179">
        <f>7000000*1.004</f>
        <v>7028000</v>
      </c>
      <c r="J13" s="1179"/>
      <c r="K13" s="1179"/>
      <c r="L13" s="1179"/>
      <c r="M13" s="1180">
        <f t="shared" si="3"/>
        <v>7028000</v>
      </c>
      <c r="N13" s="1179"/>
      <c r="O13" s="1179"/>
      <c r="P13" s="1179"/>
      <c r="Q13" s="1931">
        <f t="shared" si="1"/>
        <v>0</v>
      </c>
      <c r="R13" s="1932">
        <f t="shared" si="2"/>
        <v>7028000</v>
      </c>
      <c r="S13" s="1083">
        <v>7028000</v>
      </c>
      <c r="T13" s="1083">
        <v>7028000</v>
      </c>
      <c r="U13" s="1083">
        <v>7028000</v>
      </c>
      <c r="V13" s="1083">
        <f>+S13-U13</f>
        <v>0</v>
      </c>
      <c r="W13" s="1083"/>
      <c r="X13" s="1083"/>
      <c r="Y13" s="1083"/>
      <c r="Z13" s="1083"/>
      <c r="AA13" s="1083"/>
      <c r="AB13" s="1083"/>
      <c r="AC13" s="1083" t="s">
        <v>56</v>
      </c>
      <c r="AD13" s="1083" t="s">
        <v>1344</v>
      </c>
    </row>
    <row r="14" spans="1:30" ht="28.5" customHeight="1" thickBot="1">
      <c r="A14" s="1875">
        <v>211</v>
      </c>
      <c r="B14" s="1876"/>
      <c r="C14" s="1914" t="s">
        <v>1431</v>
      </c>
      <c r="D14" s="1915"/>
      <c r="E14" s="1916"/>
      <c r="F14" s="1916" t="s">
        <v>1098</v>
      </c>
      <c r="G14" s="1916"/>
      <c r="H14" s="1916"/>
      <c r="I14" s="1917">
        <f>+I15</f>
        <v>7028000</v>
      </c>
      <c r="J14" s="1917">
        <f t="shared" ref="J14:P14" si="4">+J15</f>
        <v>0</v>
      </c>
      <c r="K14" s="1917">
        <f t="shared" si="4"/>
        <v>0</v>
      </c>
      <c r="L14" s="1917">
        <f t="shared" si="4"/>
        <v>0</v>
      </c>
      <c r="M14" s="1917">
        <f t="shared" si="4"/>
        <v>7028000</v>
      </c>
      <c r="N14" s="1917">
        <f t="shared" si="4"/>
        <v>0</v>
      </c>
      <c r="O14" s="1917">
        <f t="shared" si="4"/>
        <v>0</v>
      </c>
      <c r="P14" s="1917">
        <f t="shared" si="4"/>
        <v>0</v>
      </c>
      <c r="Q14" s="1918">
        <f t="shared" si="1"/>
        <v>0</v>
      </c>
      <c r="R14" s="1919">
        <f t="shared" si="2"/>
        <v>7028000</v>
      </c>
      <c r="S14" s="861"/>
      <c r="T14" s="861"/>
      <c r="U14" s="861"/>
      <c r="V14" s="861"/>
      <c r="W14" s="861"/>
      <c r="X14" s="861"/>
      <c r="Y14" s="861"/>
      <c r="Z14" s="861"/>
      <c r="AA14" s="861"/>
      <c r="AB14" s="861"/>
      <c r="AC14" s="861"/>
      <c r="AD14" s="861"/>
    </row>
    <row r="15" spans="1:30" ht="24.95" customHeight="1">
      <c r="A15" s="1875"/>
      <c r="B15" s="1876" t="s">
        <v>1480</v>
      </c>
      <c r="C15" s="1920" t="s">
        <v>1083</v>
      </c>
      <c r="D15" s="1921"/>
      <c r="E15" s="1922"/>
      <c r="F15" s="1922" t="s">
        <v>408</v>
      </c>
      <c r="G15" s="1922"/>
      <c r="H15" s="1922"/>
      <c r="I15" s="1923">
        <f>SUM(I16:I17)</f>
        <v>7028000</v>
      </c>
      <c r="J15" s="1923">
        <f>SUM(J16:J17)</f>
        <v>0</v>
      </c>
      <c r="K15" s="1923">
        <f>SUM(K16:K17)</f>
        <v>0</v>
      </c>
      <c r="L15" s="1923">
        <f>SUM(L16:L17)</f>
        <v>0</v>
      </c>
      <c r="M15" s="1923">
        <f>SUM(M16:M17)</f>
        <v>7028000</v>
      </c>
      <c r="N15" s="1923">
        <f>SUM(N16:N16)</f>
        <v>0</v>
      </c>
      <c r="O15" s="1923">
        <f>SUM(O16:O16)</f>
        <v>0</v>
      </c>
      <c r="P15" s="1923">
        <f>SUM(P16:P16)</f>
        <v>0</v>
      </c>
      <c r="Q15" s="1924">
        <f t="shared" si="1"/>
        <v>0</v>
      </c>
      <c r="R15" s="1925">
        <f t="shared" si="2"/>
        <v>7028000</v>
      </c>
      <c r="S15" s="861"/>
      <c r="T15" s="861"/>
      <c r="U15" s="861"/>
      <c r="V15" s="861"/>
      <c r="W15" s="861"/>
      <c r="X15" s="861"/>
      <c r="Y15" s="861"/>
      <c r="Z15" s="861"/>
      <c r="AA15" s="861"/>
      <c r="AB15" s="861"/>
      <c r="AC15" s="861"/>
      <c r="AD15" s="861"/>
    </row>
    <row r="16" spans="1:30" s="150" customFormat="1" ht="24.95" customHeight="1">
      <c r="A16" s="294"/>
      <c r="B16" s="294"/>
      <c r="C16" s="384" t="s">
        <v>360</v>
      </c>
      <c r="D16" s="10" t="s">
        <v>211</v>
      </c>
      <c r="E16" s="10" t="s">
        <v>466</v>
      </c>
      <c r="F16" s="10" t="s">
        <v>202</v>
      </c>
      <c r="G16" s="10">
        <v>1</v>
      </c>
      <c r="H16" s="10"/>
      <c r="I16" s="175"/>
      <c r="J16" s="175"/>
      <c r="K16" s="175"/>
      <c r="L16" s="175"/>
      <c r="M16" s="1927">
        <f t="shared" ref="M16:M17" si="5">SUM(I16:L16)</f>
        <v>0</v>
      </c>
      <c r="N16" s="175"/>
      <c r="O16" s="175"/>
      <c r="P16" s="175"/>
      <c r="Q16" s="1928">
        <f t="shared" si="1"/>
        <v>0</v>
      </c>
      <c r="R16" s="1933">
        <f t="shared" si="2"/>
        <v>0</v>
      </c>
      <c r="S16" s="1025"/>
      <c r="T16" s="1025"/>
      <c r="U16" s="1025"/>
      <c r="V16" s="1025"/>
      <c r="W16" s="1025"/>
      <c r="X16" s="1025"/>
      <c r="Y16" s="1025"/>
      <c r="Z16" s="1025"/>
      <c r="AA16" s="1025"/>
      <c r="AB16" s="1025"/>
      <c r="AC16" s="1025" t="s">
        <v>57</v>
      </c>
      <c r="AD16" s="1025" t="s">
        <v>1345</v>
      </c>
    </row>
    <row r="17" spans="1:30" s="1080" customFormat="1" ht="31.5" customHeight="1" thickBot="1">
      <c r="A17" s="294"/>
      <c r="B17" s="294"/>
      <c r="C17" s="1930" t="s">
        <v>894</v>
      </c>
      <c r="D17" s="1178" t="s">
        <v>211</v>
      </c>
      <c r="E17" s="1178" t="s">
        <v>466</v>
      </c>
      <c r="F17" s="1178"/>
      <c r="G17" s="1178"/>
      <c r="H17" s="1178"/>
      <c r="I17" s="1179">
        <f>7000000*1.004</f>
        <v>7028000</v>
      </c>
      <c r="J17" s="1179"/>
      <c r="K17" s="1179"/>
      <c r="L17" s="1179"/>
      <c r="M17" s="1180">
        <f t="shared" si="5"/>
        <v>7028000</v>
      </c>
      <c r="N17" s="1179"/>
      <c r="O17" s="1179"/>
      <c r="P17" s="1179"/>
      <c r="Q17" s="1931">
        <f t="shared" si="1"/>
        <v>0</v>
      </c>
      <c r="R17" s="1932">
        <f t="shared" si="2"/>
        <v>7028000</v>
      </c>
      <c r="S17" s="1083">
        <v>7028000</v>
      </c>
      <c r="T17" s="1083">
        <v>7028000</v>
      </c>
      <c r="U17" s="1083">
        <v>7028000</v>
      </c>
      <c r="V17" s="1083">
        <f>+S17-U17</f>
        <v>0</v>
      </c>
      <c r="W17" s="1083"/>
      <c r="X17" s="1083"/>
      <c r="Y17" s="1083"/>
      <c r="Z17" s="1083"/>
      <c r="AA17" s="1083"/>
      <c r="AB17" s="1083"/>
      <c r="AC17" s="1083" t="s">
        <v>57</v>
      </c>
      <c r="AD17" s="1083" t="s">
        <v>1345</v>
      </c>
    </row>
    <row r="18" spans="1:30" ht="24.95" customHeight="1" thickBot="1">
      <c r="A18" s="1875">
        <v>212</v>
      </c>
      <c r="B18" s="1876"/>
      <c r="C18" s="1934" t="s">
        <v>1084</v>
      </c>
      <c r="D18" s="1935"/>
      <c r="E18" s="1936"/>
      <c r="F18" s="1937" t="s">
        <v>1098</v>
      </c>
      <c r="G18" s="1936">
        <v>100</v>
      </c>
      <c r="H18" s="1936"/>
      <c r="I18" s="1938">
        <f>+I19</f>
        <v>868274622.50999975</v>
      </c>
      <c r="J18" s="1938">
        <f t="shared" ref="J18:R18" si="6">+J19</f>
        <v>0</v>
      </c>
      <c r="K18" s="1938">
        <f t="shared" si="6"/>
        <v>302392451.40000027</v>
      </c>
      <c r="L18" s="1938">
        <f t="shared" si="6"/>
        <v>133162476.111065</v>
      </c>
      <c r="M18" s="1938">
        <f t="shared" si="6"/>
        <v>1303829550.0210648</v>
      </c>
      <c r="N18" s="1938">
        <f t="shared" si="6"/>
        <v>0</v>
      </c>
      <c r="O18" s="1938">
        <f t="shared" si="6"/>
        <v>303804038.98999995</v>
      </c>
      <c r="P18" s="1938">
        <f t="shared" si="6"/>
        <v>0</v>
      </c>
      <c r="Q18" s="1938">
        <f t="shared" si="6"/>
        <v>303804038.98999995</v>
      </c>
      <c r="R18" s="1939">
        <f t="shared" si="6"/>
        <v>1607633589.011065</v>
      </c>
      <c r="S18" s="861"/>
      <c r="T18" s="861"/>
      <c r="U18" s="861"/>
      <c r="V18" s="861"/>
      <c r="W18" s="861"/>
      <c r="X18" s="861"/>
      <c r="Y18" s="861"/>
      <c r="Z18" s="861"/>
      <c r="AA18" s="861"/>
      <c r="AB18" s="861"/>
      <c r="AC18" s="861"/>
      <c r="AD18" s="861"/>
    </row>
    <row r="19" spans="1:30" ht="29.25" customHeight="1">
      <c r="A19" s="1875"/>
      <c r="B19" s="1876" t="s">
        <v>1481</v>
      </c>
      <c r="C19" s="1920" t="s">
        <v>1085</v>
      </c>
      <c r="D19" s="1921"/>
      <c r="E19" s="1922"/>
      <c r="F19" s="1922" t="s">
        <v>1098</v>
      </c>
      <c r="G19" s="1922">
        <v>100</v>
      </c>
      <c r="H19" s="1922"/>
      <c r="I19" s="1923">
        <f t="shared" ref="I19:R19" si="7">SUM(I20:I67)</f>
        <v>868274622.50999975</v>
      </c>
      <c r="J19" s="1923">
        <f t="shared" si="7"/>
        <v>0</v>
      </c>
      <c r="K19" s="1923">
        <f t="shared" si="7"/>
        <v>302392451.40000027</v>
      </c>
      <c r="L19" s="1923">
        <f>SUM(L20:L67)</f>
        <v>133162476.111065</v>
      </c>
      <c r="M19" s="1923">
        <f t="shared" si="7"/>
        <v>1303829550.0210648</v>
      </c>
      <c r="N19" s="1923">
        <f t="shared" si="7"/>
        <v>0</v>
      </c>
      <c r="O19" s="1923">
        <f t="shared" si="7"/>
        <v>303804038.98999995</v>
      </c>
      <c r="P19" s="1923">
        <f t="shared" si="7"/>
        <v>0</v>
      </c>
      <c r="Q19" s="1923">
        <f t="shared" si="7"/>
        <v>303804038.98999995</v>
      </c>
      <c r="R19" s="1925">
        <f t="shared" si="7"/>
        <v>1607633589.011065</v>
      </c>
      <c r="S19" s="1637">
        <f>+R20+R21+R22+R23+R24+R25+R27+R28+R29+R30+R31+R32+R40+R41+R43+R44+R46+R54+R56+R59+R63+R64+R26+R36+R38+R42+R45+R47+R48+R49+R50+R51+R52+R53+R55+R57+R58+R60+R61+R65+R70+R71+R72+R73+R74+R33+R62</f>
        <v>1785716534.5000012</v>
      </c>
      <c r="T19" s="861" t="s">
        <v>1407</v>
      </c>
      <c r="U19" s="861"/>
      <c r="V19" s="861"/>
      <c r="W19" s="861"/>
      <c r="X19" s="861"/>
      <c r="Y19" s="861"/>
      <c r="Z19" s="861"/>
      <c r="AA19" s="861"/>
      <c r="AB19" s="861"/>
      <c r="AC19" s="861"/>
      <c r="AD19" s="861"/>
    </row>
    <row r="20" spans="1:30" s="1638" customFormat="1" ht="24.95" customHeight="1">
      <c r="A20" s="294"/>
      <c r="B20" s="294"/>
      <c r="C20" s="1733" t="s">
        <v>513</v>
      </c>
      <c r="D20" s="1940" t="s">
        <v>211</v>
      </c>
      <c r="E20" s="1194" t="s">
        <v>466</v>
      </c>
      <c r="F20" s="1165" t="s">
        <v>521</v>
      </c>
      <c r="G20" s="1165"/>
      <c r="H20" s="1165"/>
      <c r="I20" s="1133">
        <v>55938964.400000006</v>
      </c>
      <c r="J20" s="1133"/>
      <c r="K20" s="1133"/>
      <c r="L20" s="1133"/>
      <c r="M20" s="1134">
        <f t="shared" ref="M20:M67" si="8">SUM(I20:L20)</f>
        <v>55938964.400000006</v>
      </c>
      <c r="N20" s="1133"/>
      <c r="O20" s="1133"/>
      <c r="P20" s="1133"/>
      <c r="Q20" s="1941">
        <f t="shared" ref="Q20:Q33" si="9">SUM(N20:P20)</f>
        <v>0</v>
      </c>
      <c r="R20" s="1135">
        <f t="shared" ref="R20:R33" si="10">+Q20+M20</f>
        <v>55938964.400000006</v>
      </c>
      <c r="S20" s="1637">
        <v>55938964.400000006</v>
      </c>
      <c r="T20" s="1637">
        <v>55938965</v>
      </c>
      <c r="U20" s="1637"/>
      <c r="V20" s="1637">
        <f>+S20-T20</f>
        <v>-0.59999999403953552</v>
      </c>
      <c r="W20" s="1637"/>
      <c r="X20" s="1637"/>
      <c r="Y20" s="1637"/>
      <c r="Z20" s="1637"/>
      <c r="AA20" s="1637"/>
      <c r="AB20" s="1637"/>
      <c r="AC20" s="1637" t="s">
        <v>45</v>
      </c>
      <c r="AD20" s="1637" t="s">
        <v>1348</v>
      </c>
    </row>
    <row r="21" spans="1:30" s="1638" customFormat="1" ht="24.95" customHeight="1">
      <c r="A21" s="294"/>
      <c r="B21" s="294"/>
      <c r="C21" s="1733" t="s">
        <v>514</v>
      </c>
      <c r="D21" s="1940" t="s">
        <v>211</v>
      </c>
      <c r="E21" s="1194" t="s">
        <v>466</v>
      </c>
      <c r="F21" s="1165" t="s">
        <v>521</v>
      </c>
      <c r="G21" s="1165"/>
      <c r="H21" s="1165"/>
      <c r="I21" s="1133">
        <v>0</v>
      </c>
      <c r="J21" s="1133"/>
      <c r="K21" s="1133">
        <v>55938964.400000006</v>
      </c>
      <c r="L21" s="1133"/>
      <c r="M21" s="1134">
        <f t="shared" si="8"/>
        <v>55938964.400000006</v>
      </c>
      <c r="N21" s="1133"/>
      <c r="O21" s="1133"/>
      <c r="P21" s="1133"/>
      <c r="Q21" s="1941">
        <f t="shared" si="9"/>
        <v>0</v>
      </c>
      <c r="R21" s="1135">
        <f t="shared" si="10"/>
        <v>55938964.400000006</v>
      </c>
      <c r="S21" s="1637">
        <v>55938964.400000006</v>
      </c>
      <c r="T21" s="1637">
        <v>55938964.400000006</v>
      </c>
      <c r="U21" s="1637"/>
      <c r="V21" s="1637">
        <f t="shared" ref="V21:V26" si="11">+S21-T21</f>
        <v>0</v>
      </c>
      <c r="W21" s="1637"/>
      <c r="X21" s="1637"/>
      <c r="Y21" s="1637"/>
      <c r="Z21" s="1637"/>
      <c r="AA21" s="1637"/>
      <c r="AB21" s="1637"/>
      <c r="AC21" s="1637" t="s">
        <v>45</v>
      </c>
      <c r="AD21" s="1637" t="s">
        <v>1348</v>
      </c>
    </row>
    <row r="22" spans="1:30" s="1638" customFormat="1" ht="24.95" customHeight="1">
      <c r="A22" s="294"/>
      <c r="B22" s="294"/>
      <c r="C22" s="1733" t="s">
        <v>857</v>
      </c>
      <c r="D22" s="1940" t="s">
        <v>211</v>
      </c>
      <c r="E22" s="1194" t="s">
        <v>466</v>
      </c>
      <c r="F22" s="1165" t="s">
        <v>521</v>
      </c>
      <c r="G22" s="1165"/>
      <c r="H22" s="1165"/>
      <c r="I22" s="1133"/>
      <c r="J22" s="1133"/>
      <c r="K22" s="1133">
        <v>38726488.800000004</v>
      </c>
      <c r="L22" s="1133"/>
      <c r="M22" s="1134">
        <f t="shared" si="8"/>
        <v>38726488.800000004</v>
      </c>
      <c r="N22" s="1133"/>
      <c r="O22" s="1133"/>
      <c r="P22" s="1133"/>
      <c r="Q22" s="1941">
        <f t="shared" si="9"/>
        <v>0</v>
      </c>
      <c r="R22" s="1135">
        <f t="shared" si="10"/>
        <v>38726488.800000004</v>
      </c>
      <c r="S22" s="1645">
        <v>38726488.800000004</v>
      </c>
      <c r="T22" s="1637">
        <v>38726489</v>
      </c>
      <c r="U22" s="1637"/>
      <c r="V22" s="1637">
        <f t="shared" si="11"/>
        <v>-0.19999999552965164</v>
      </c>
      <c r="W22" s="1637"/>
      <c r="X22" s="1637"/>
      <c r="Y22" s="1637"/>
      <c r="Z22" s="1637"/>
      <c r="AA22" s="1637"/>
      <c r="AB22" s="1637"/>
      <c r="AC22" s="1637" t="s">
        <v>45</v>
      </c>
      <c r="AD22" s="1637" t="s">
        <v>1348</v>
      </c>
    </row>
    <row r="23" spans="1:30" s="1638" customFormat="1" ht="36" customHeight="1">
      <c r="A23" s="294"/>
      <c r="B23" s="294"/>
      <c r="C23" s="1733" t="s">
        <v>673</v>
      </c>
      <c r="D23" s="1940" t="s">
        <v>211</v>
      </c>
      <c r="E23" s="1194" t="s">
        <v>466</v>
      </c>
      <c r="F23" s="1165" t="s">
        <v>521</v>
      </c>
      <c r="G23" s="1165"/>
      <c r="H23" s="1165"/>
      <c r="I23" s="1133">
        <v>55938964.400000006</v>
      </c>
      <c r="J23" s="1133"/>
      <c r="K23" s="1133"/>
      <c r="L23" s="1133"/>
      <c r="M23" s="1134">
        <f t="shared" si="8"/>
        <v>55938964.400000006</v>
      </c>
      <c r="N23" s="1133"/>
      <c r="O23" s="1133"/>
      <c r="P23" s="1133"/>
      <c r="Q23" s="1941">
        <f t="shared" si="9"/>
        <v>0</v>
      </c>
      <c r="R23" s="1135">
        <f t="shared" si="10"/>
        <v>55938964.400000006</v>
      </c>
      <c r="S23" s="1637">
        <v>55938964.400000006</v>
      </c>
      <c r="T23" s="1637">
        <v>55938964</v>
      </c>
      <c r="U23" s="1637"/>
      <c r="V23" s="1637">
        <f t="shared" si="11"/>
        <v>0.40000000596046448</v>
      </c>
      <c r="W23" s="1637"/>
      <c r="X23" s="1637"/>
      <c r="Y23" s="1637"/>
      <c r="Z23" s="1637"/>
      <c r="AA23" s="1637"/>
      <c r="AB23" s="1637"/>
      <c r="AC23" s="1637" t="s">
        <v>45</v>
      </c>
      <c r="AD23" s="1637" t="s">
        <v>1348</v>
      </c>
    </row>
    <row r="24" spans="1:30" s="1638" customFormat="1" ht="24.95" customHeight="1">
      <c r="A24" s="294"/>
      <c r="B24" s="294"/>
      <c r="C24" s="1733" t="s">
        <v>674</v>
      </c>
      <c r="D24" s="1940" t="s">
        <v>211</v>
      </c>
      <c r="E24" s="1194" t="s">
        <v>466</v>
      </c>
      <c r="F24" s="1165" t="s">
        <v>521</v>
      </c>
      <c r="G24" s="1165"/>
      <c r="H24" s="1165"/>
      <c r="I24" s="1133">
        <v>5455535.1999998093</v>
      </c>
      <c r="J24" s="1133"/>
      <c r="K24" s="1133">
        <v>39725368.400000192</v>
      </c>
      <c r="L24" s="1133"/>
      <c r="M24" s="1134">
        <f t="shared" si="8"/>
        <v>45180903.600000001</v>
      </c>
      <c r="N24" s="1133"/>
      <c r="O24" s="1133"/>
      <c r="P24" s="1133"/>
      <c r="Q24" s="1941">
        <f t="shared" si="9"/>
        <v>0</v>
      </c>
      <c r="R24" s="1135">
        <f t="shared" si="10"/>
        <v>45180903.600000001</v>
      </c>
      <c r="S24" s="1637">
        <v>45180903.600000001</v>
      </c>
      <c r="T24" s="1637">
        <v>45180903</v>
      </c>
      <c r="U24" s="1637"/>
      <c r="V24" s="1637">
        <f t="shared" si="11"/>
        <v>0.60000000149011612</v>
      </c>
      <c r="W24" s="1637"/>
      <c r="X24" s="1637"/>
      <c r="Y24" s="1637"/>
      <c r="Z24" s="1637"/>
      <c r="AA24" s="1637"/>
      <c r="AB24" s="1637"/>
      <c r="AC24" s="1637" t="s">
        <v>45</v>
      </c>
      <c r="AD24" s="1637" t="s">
        <v>1348</v>
      </c>
    </row>
    <row r="25" spans="1:30" s="1638" customFormat="1" ht="24.95" customHeight="1">
      <c r="A25" s="294"/>
      <c r="B25" s="294"/>
      <c r="C25" s="1733" t="s">
        <v>512</v>
      </c>
      <c r="D25" s="1940" t="s">
        <v>211</v>
      </c>
      <c r="E25" s="1194" t="s">
        <v>466</v>
      </c>
      <c r="F25" s="1165" t="s">
        <v>521</v>
      </c>
      <c r="G25" s="1165"/>
      <c r="H25" s="1165"/>
      <c r="I25" s="1133"/>
      <c r="J25" s="1133"/>
      <c r="K25" s="1133">
        <v>72689399.200000003</v>
      </c>
      <c r="L25" s="1133"/>
      <c r="M25" s="1134">
        <f t="shared" si="8"/>
        <v>72689399.200000003</v>
      </c>
      <c r="N25" s="1133"/>
      <c r="O25" s="1133"/>
      <c r="P25" s="1133"/>
      <c r="Q25" s="1941">
        <f t="shared" si="9"/>
        <v>0</v>
      </c>
      <c r="R25" s="1135">
        <f t="shared" si="10"/>
        <v>72689399.200000003</v>
      </c>
      <c r="S25" s="1637">
        <v>72689399.200000003</v>
      </c>
      <c r="T25" s="1637">
        <v>72689399</v>
      </c>
      <c r="U25" s="1637"/>
      <c r="V25" s="1637">
        <f t="shared" si="11"/>
        <v>0.20000000298023224</v>
      </c>
      <c r="W25" s="1637"/>
      <c r="X25" s="1637"/>
      <c r="Y25" s="1637"/>
      <c r="Z25" s="1637"/>
      <c r="AA25" s="1637"/>
      <c r="AB25" s="1637"/>
      <c r="AC25" s="1637" t="s">
        <v>45</v>
      </c>
      <c r="AD25" s="1637" t="s">
        <v>1348</v>
      </c>
    </row>
    <row r="26" spans="1:30" s="1638" customFormat="1" ht="24.95" customHeight="1">
      <c r="A26" s="294"/>
      <c r="B26" s="294"/>
      <c r="C26" s="1733" t="s">
        <v>515</v>
      </c>
      <c r="D26" s="1940" t="s">
        <v>211</v>
      </c>
      <c r="E26" s="1194" t="s">
        <v>466</v>
      </c>
      <c r="F26" s="1165" t="s">
        <v>521</v>
      </c>
      <c r="G26" s="1165"/>
      <c r="H26" s="1165"/>
      <c r="I26" s="1133">
        <v>0</v>
      </c>
      <c r="J26" s="1133"/>
      <c r="K26" s="1133">
        <v>55938964.400000006</v>
      </c>
      <c r="L26" s="1133"/>
      <c r="M26" s="1134">
        <f t="shared" si="8"/>
        <v>55938964.400000006</v>
      </c>
      <c r="N26" s="1133"/>
      <c r="O26" s="1133"/>
      <c r="P26" s="1133"/>
      <c r="Q26" s="1941">
        <f t="shared" si="9"/>
        <v>0</v>
      </c>
      <c r="R26" s="1135">
        <f t="shared" si="10"/>
        <v>55938964.400000006</v>
      </c>
      <c r="S26" s="1637">
        <v>55938964.400000006</v>
      </c>
      <c r="T26" s="1637"/>
      <c r="U26" s="1637"/>
      <c r="V26" s="1637">
        <f t="shared" si="11"/>
        <v>55938964.400000006</v>
      </c>
      <c r="W26" s="1637"/>
      <c r="X26" s="1637"/>
      <c r="Y26" s="1637">
        <v>55938964.400000006</v>
      </c>
      <c r="Z26" s="1637"/>
      <c r="AA26" s="1637"/>
      <c r="AB26" s="1637"/>
      <c r="AC26" s="1637" t="s">
        <v>45</v>
      </c>
      <c r="AD26" s="1637" t="s">
        <v>1348</v>
      </c>
    </row>
    <row r="27" spans="1:30" s="1638" customFormat="1" ht="24.95" customHeight="1">
      <c r="A27" s="294"/>
      <c r="B27" s="294"/>
      <c r="C27" s="1733" t="s">
        <v>797</v>
      </c>
      <c r="D27" s="1165" t="s">
        <v>211</v>
      </c>
      <c r="E27" s="1165" t="s">
        <v>466</v>
      </c>
      <c r="F27" s="1165" t="s">
        <v>521</v>
      </c>
      <c r="G27" s="1165"/>
      <c r="H27" s="1165"/>
      <c r="I27" s="1133">
        <v>53396284.200000003</v>
      </c>
      <c r="J27" s="1133"/>
      <c r="K27" s="1133"/>
      <c r="L27" s="1133"/>
      <c r="M27" s="1134">
        <f t="shared" si="8"/>
        <v>53396284.200000003</v>
      </c>
      <c r="N27" s="1133"/>
      <c r="O27" s="1133"/>
      <c r="P27" s="1133"/>
      <c r="Q27" s="1941">
        <f t="shared" si="9"/>
        <v>0</v>
      </c>
      <c r="R27" s="1135">
        <f t="shared" si="10"/>
        <v>53396284.200000003</v>
      </c>
      <c r="S27" s="1637">
        <v>53396284</v>
      </c>
      <c r="T27" s="1637">
        <v>53396284</v>
      </c>
      <c r="U27" s="1637">
        <v>53396284</v>
      </c>
      <c r="V27" s="1637">
        <f>+S27-U27</f>
        <v>0</v>
      </c>
      <c r="W27" s="1637"/>
      <c r="X27" s="1637"/>
      <c r="Y27" s="1637"/>
      <c r="Z27" s="1637"/>
      <c r="AA27" s="1637"/>
      <c r="AB27" s="1637"/>
      <c r="AC27" s="1637" t="s">
        <v>58</v>
      </c>
      <c r="AD27" s="1637" t="s">
        <v>1348</v>
      </c>
    </row>
    <row r="28" spans="1:30" s="1837" customFormat="1" ht="24.95" customHeight="1">
      <c r="A28" s="294"/>
      <c r="B28" s="294"/>
      <c r="C28" s="1942" t="s">
        <v>686</v>
      </c>
      <c r="D28" s="1943" t="s">
        <v>211</v>
      </c>
      <c r="E28" s="1943" t="s">
        <v>466</v>
      </c>
      <c r="F28" s="1943" t="s">
        <v>521</v>
      </c>
      <c r="G28" s="1943"/>
      <c r="H28" s="1943"/>
      <c r="I28" s="1926">
        <f>276995+82854205</f>
        <v>83131200</v>
      </c>
      <c r="J28" s="1926"/>
      <c r="K28" s="1926">
        <f>276995-276995</f>
        <v>0</v>
      </c>
      <c r="L28" s="1926"/>
      <c r="M28" s="1944">
        <f t="shared" si="8"/>
        <v>83131200</v>
      </c>
      <c r="N28" s="1926"/>
      <c r="O28" s="1926"/>
      <c r="P28" s="1926"/>
      <c r="Q28" s="1945">
        <f t="shared" si="9"/>
        <v>0</v>
      </c>
      <c r="R28" s="1946">
        <f t="shared" si="10"/>
        <v>83131200</v>
      </c>
      <c r="S28" s="1836">
        <v>83131200</v>
      </c>
      <c r="T28" s="1836">
        <v>83131200</v>
      </c>
      <c r="U28" s="1836"/>
      <c r="V28" s="1836">
        <f>+S28-T28</f>
        <v>0</v>
      </c>
      <c r="W28" s="1836"/>
      <c r="X28" s="1836"/>
      <c r="Y28" s="1836"/>
      <c r="Z28" s="1836"/>
      <c r="AA28" s="1836"/>
      <c r="AB28" s="1836"/>
      <c r="AC28" s="1836" t="s">
        <v>58</v>
      </c>
      <c r="AD28" s="1836" t="s">
        <v>1348</v>
      </c>
    </row>
    <row r="29" spans="1:30" s="1638" customFormat="1" ht="24.95" customHeight="1">
      <c r="A29" s="294"/>
      <c r="B29" s="294"/>
      <c r="C29" s="1947" t="s">
        <v>516</v>
      </c>
      <c r="D29" s="1165" t="s">
        <v>211</v>
      </c>
      <c r="E29" s="1165" t="s">
        <v>466</v>
      </c>
      <c r="F29" s="1165" t="s">
        <v>521</v>
      </c>
      <c r="G29" s="1165"/>
      <c r="H29" s="1165"/>
      <c r="I29" s="1948">
        <v>13349686.600000001</v>
      </c>
      <c r="J29" s="1133"/>
      <c r="K29" s="1133">
        <v>0</v>
      </c>
      <c r="L29" s="1133"/>
      <c r="M29" s="1134">
        <f t="shared" si="8"/>
        <v>13349686.600000001</v>
      </c>
      <c r="N29" s="1133"/>
      <c r="O29" s="1133"/>
      <c r="P29" s="1133"/>
      <c r="Q29" s="1941">
        <f t="shared" si="9"/>
        <v>0</v>
      </c>
      <c r="R29" s="1135">
        <f t="shared" si="10"/>
        <v>13349686.600000001</v>
      </c>
      <c r="S29" s="1637">
        <v>13349686.600000001</v>
      </c>
      <c r="T29" s="1637">
        <v>13349686.600000001</v>
      </c>
      <c r="U29" s="1637">
        <v>13349686.600000001</v>
      </c>
      <c r="V29" s="1637">
        <f>+S29-U29</f>
        <v>0</v>
      </c>
      <c r="W29" s="1637"/>
      <c r="X29" s="1637"/>
      <c r="Y29" s="1637"/>
      <c r="Z29" s="1637"/>
      <c r="AA29" s="1637"/>
      <c r="AB29" s="1637"/>
      <c r="AC29" s="1637" t="s">
        <v>58</v>
      </c>
      <c r="AD29" s="1637" t="s">
        <v>1348</v>
      </c>
    </row>
    <row r="30" spans="1:30" s="1638" customFormat="1" ht="24.95" customHeight="1">
      <c r="A30" s="294"/>
      <c r="B30" s="294"/>
      <c r="C30" s="1947" t="s">
        <v>902</v>
      </c>
      <c r="D30" s="1165" t="s">
        <v>211</v>
      </c>
      <c r="E30" s="1165" t="s">
        <v>466</v>
      </c>
      <c r="F30" s="1165" t="s">
        <v>521</v>
      </c>
      <c r="G30" s="1165"/>
      <c r="H30" s="1165"/>
      <c r="I30" s="1133">
        <v>32986043.5</v>
      </c>
      <c r="J30" s="1133"/>
      <c r="K30" s="1133"/>
      <c r="L30" s="1133"/>
      <c r="M30" s="1134">
        <f t="shared" si="8"/>
        <v>32986043.5</v>
      </c>
      <c r="N30" s="1133"/>
      <c r="O30" s="1133"/>
      <c r="P30" s="1133"/>
      <c r="Q30" s="1941">
        <f t="shared" si="9"/>
        <v>0</v>
      </c>
      <c r="R30" s="1135">
        <f t="shared" si="10"/>
        <v>32986043.5</v>
      </c>
      <c r="S30" s="1637">
        <v>32986043.5</v>
      </c>
      <c r="T30" s="1637">
        <v>32986043.5</v>
      </c>
      <c r="U30" s="1637">
        <v>32986043.5</v>
      </c>
      <c r="V30" s="1637">
        <f>+S30-U30</f>
        <v>0</v>
      </c>
      <c r="W30" s="1637"/>
      <c r="X30" s="1637"/>
      <c r="Y30" s="1637"/>
      <c r="Z30" s="1637"/>
      <c r="AA30" s="1637"/>
      <c r="AB30" s="1637"/>
      <c r="AC30" s="1637" t="s">
        <v>58</v>
      </c>
      <c r="AD30" s="1637" t="s">
        <v>1348</v>
      </c>
    </row>
    <row r="31" spans="1:30" s="1638" customFormat="1" ht="32.25" customHeight="1">
      <c r="A31" s="294"/>
      <c r="B31" s="294"/>
      <c r="C31" s="1733" t="s">
        <v>858</v>
      </c>
      <c r="D31" s="1940" t="s">
        <v>211</v>
      </c>
      <c r="E31" s="1194" t="s">
        <v>466</v>
      </c>
      <c r="F31" s="1165" t="s">
        <v>521</v>
      </c>
      <c r="G31" s="1165"/>
      <c r="H31" s="1165"/>
      <c r="I31" s="1133">
        <v>28927448.799999986</v>
      </c>
      <c r="J31" s="1133"/>
      <c r="K31" s="1133"/>
      <c r="L31" s="1133"/>
      <c r="M31" s="1134">
        <f t="shared" si="8"/>
        <v>28927448.799999986</v>
      </c>
      <c r="N31" s="1133"/>
      <c r="O31" s="1133"/>
      <c r="P31" s="1133"/>
      <c r="Q31" s="1941">
        <f t="shared" si="9"/>
        <v>0</v>
      </c>
      <c r="R31" s="1135">
        <f t="shared" si="10"/>
        <v>28927448.799999986</v>
      </c>
      <c r="S31" s="1645">
        <v>28927449</v>
      </c>
      <c r="T31" s="1637">
        <v>28927449</v>
      </c>
      <c r="U31" s="1637">
        <v>28927449</v>
      </c>
      <c r="V31" s="1637">
        <f t="shared" ref="V31:V32" si="12">+S31-U31</f>
        <v>0</v>
      </c>
      <c r="W31" s="1637"/>
      <c r="X31" s="1637"/>
      <c r="Y31" s="1637"/>
      <c r="Z31" s="1637"/>
      <c r="AA31" s="1637"/>
      <c r="AB31" s="1637"/>
      <c r="AC31" s="1637" t="s">
        <v>58</v>
      </c>
      <c r="AD31" s="1637" t="s">
        <v>1348</v>
      </c>
    </row>
    <row r="32" spans="1:30" s="1638" customFormat="1" ht="24.95" customHeight="1">
      <c r="A32" s="294"/>
      <c r="B32" s="294"/>
      <c r="C32" s="1733" t="s">
        <v>895</v>
      </c>
      <c r="D32" s="1940" t="s">
        <v>211</v>
      </c>
      <c r="E32" s="1194" t="s">
        <v>466</v>
      </c>
      <c r="F32" s="1165" t="s">
        <v>521</v>
      </c>
      <c r="G32" s="1165"/>
      <c r="H32" s="1165"/>
      <c r="I32" s="1133">
        <v>15755155.609999899</v>
      </c>
      <c r="J32" s="1346">
        <v>0</v>
      </c>
      <c r="K32" s="1346">
        <v>205920.40000009537</v>
      </c>
      <c r="L32" s="1346"/>
      <c r="M32" s="1134">
        <f t="shared" si="8"/>
        <v>15961076.009999994</v>
      </c>
      <c r="N32" s="1133"/>
      <c r="O32" s="1133">
        <v>18462469.990000006</v>
      </c>
      <c r="P32" s="1133"/>
      <c r="Q32" s="1941">
        <f t="shared" si="9"/>
        <v>18462469.990000006</v>
      </c>
      <c r="R32" s="1135">
        <f t="shared" si="10"/>
        <v>34423546</v>
      </c>
      <c r="S32" s="1659">
        <v>34423546</v>
      </c>
      <c r="T32" s="1637">
        <v>34423546</v>
      </c>
      <c r="U32" s="1637">
        <v>34423546</v>
      </c>
      <c r="V32" s="1637">
        <f t="shared" si="12"/>
        <v>0</v>
      </c>
      <c r="W32" s="1637"/>
      <c r="X32" s="1637"/>
      <c r="Y32" s="1637"/>
      <c r="Z32" s="1637"/>
      <c r="AA32" s="1637"/>
      <c r="AB32" s="1637"/>
      <c r="AC32" s="1637" t="s">
        <v>58</v>
      </c>
      <c r="AD32" s="1637" t="s">
        <v>1348</v>
      </c>
    </row>
    <row r="33" spans="1:30" s="1638" customFormat="1" ht="24.95" customHeight="1">
      <c r="A33" s="294"/>
      <c r="B33" s="294"/>
      <c r="C33" s="1733" t="s">
        <v>895</v>
      </c>
      <c r="D33" s="1940" t="s">
        <v>211</v>
      </c>
      <c r="E33" s="1194" t="s">
        <v>466</v>
      </c>
      <c r="F33" s="1165" t="s">
        <v>521</v>
      </c>
      <c r="G33" s="1165"/>
      <c r="H33" s="1165"/>
      <c r="I33" s="1133"/>
      <c r="J33" s="1346"/>
      <c r="K33" s="1346"/>
      <c r="L33" s="1346"/>
      <c r="M33" s="1134">
        <f t="shared" ref="M33" si="13">SUM(I33:L33)</f>
        <v>0</v>
      </c>
      <c r="N33" s="1133"/>
      <c r="O33" s="1133">
        <v>25300800</v>
      </c>
      <c r="P33" s="1133"/>
      <c r="Q33" s="1941">
        <f t="shared" si="9"/>
        <v>25300800</v>
      </c>
      <c r="R33" s="1135">
        <f t="shared" si="10"/>
        <v>25300800</v>
      </c>
      <c r="S33" s="1672"/>
      <c r="T33" s="1637"/>
      <c r="U33" s="1637"/>
      <c r="V33" s="1637"/>
      <c r="W33" s="1637"/>
      <c r="X33" s="1637"/>
      <c r="Y33" s="1637"/>
      <c r="Z33" s="1637"/>
      <c r="AA33" s="1637">
        <v>30120602.400000002</v>
      </c>
      <c r="AB33" s="1637"/>
      <c r="AC33" s="1637" t="s">
        <v>58</v>
      </c>
      <c r="AD33" s="1637" t="s">
        <v>1348</v>
      </c>
    </row>
    <row r="34" spans="1:30" s="1670" customFormat="1" ht="24.95" customHeight="1">
      <c r="A34" s="294"/>
      <c r="B34" s="294"/>
      <c r="C34" s="1742" t="s">
        <v>895</v>
      </c>
      <c r="D34" s="1949" t="s">
        <v>211</v>
      </c>
      <c r="E34" s="1196" t="s">
        <v>466</v>
      </c>
      <c r="F34" s="1171" t="s">
        <v>521</v>
      </c>
      <c r="G34" s="1171"/>
      <c r="H34" s="1171"/>
      <c r="I34" s="1172"/>
      <c r="J34" s="1349"/>
      <c r="K34" s="1349"/>
      <c r="L34" s="1349"/>
      <c r="M34" s="1173">
        <f t="shared" si="8"/>
        <v>0</v>
      </c>
      <c r="N34" s="1172"/>
      <c r="O34" s="1172">
        <f>30120602.4-O33</f>
        <v>4819802.3999999985</v>
      </c>
      <c r="P34" s="1172"/>
      <c r="Q34" s="1950">
        <f t="shared" ref="Q34:Q64" si="14">SUM(N34:P34)</f>
        <v>4819802.3999999985</v>
      </c>
      <c r="R34" s="1198">
        <f t="shared" ref="R34:R64" si="15">+Q34+M34</f>
        <v>4819802.3999999985</v>
      </c>
      <c r="S34" s="1673"/>
      <c r="T34" s="1669"/>
      <c r="U34" s="1669"/>
      <c r="V34" s="1669"/>
      <c r="W34" s="1669"/>
      <c r="X34" s="1669"/>
      <c r="Y34" s="1669"/>
      <c r="Z34" s="1669"/>
      <c r="AA34" s="1669">
        <v>30120602.400000002</v>
      </c>
      <c r="AB34" s="1669"/>
      <c r="AC34" s="1669" t="s">
        <v>58</v>
      </c>
      <c r="AD34" s="1669" t="s">
        <v>1348</v>
      </c>
    </row>
    <row r="35" spans="1:30" s="1647" customFormat="1" ht="24.95" customHeight="1">
      <c r="A35" s="294"/>
      <c r="B35" s="294"/>
      <c r="C35" s="384" t="s">
        <v>895</v>
      </c>
      <c r="D35" s="1951" t="s">
        <v>211</v>
      </c>
      <c r="E35" s="6" t="s">
        <v>466</v>
      </c>
      <c r="F35" s="10" t="s">
        <v>521</v>
      </c>
      <c r="G35" s="10"/>
      <c r="H35" s="10"/>
      <c r="I35" s="175"/>
      <c r="J35" s="1952"/>
      <c r="K35" s="1952">
        <f>35751397-35751397</f>
        <v>0</v>
      </c>
      <c r="L35" s="1952"/>
      <c r="M35" s="1927">
        <f t="shared" si="8"/>
        <v>0</v>
      </c>
      <c r="N35" s="175"/>
      <c r="O35" s="175"/>
      <c r="P35" s="175"/>
      <c r="Q35" s="1928">
        <f t="shared" si="14"/>
        <v>0</v>
      </c>
      <c r="R35" s="1933">
        <f t="shared" si="15"/>
        <v>0</v>
      </c>
      <c r="S35" s="1658"/>
      <c r="T35" s="1646"/>
      <c r="U35" s="1646"/>
      <c r="V35" s="1646"/>
      <c r="W35" s="1646"/>
      <c r="X35" s="1646"/>
      <c r="Y35" s="1646"/>
      <c r="Z35" s="1646"/>
      <c r="AA35" s="1646"/>
      <c r="AB35" s="1646"/>
      <c r="AC35" s="1646" t="s">
        <v>58</v>
      </c>
      <c r="AD35" s="1646" t="s">
        <v>1348</v>
      </c>
    </row>
    <row r="36" spans="1:30" s="1638" customFormat="1" ht="24.95" customHeight="1">
      <c r="A36" s="294"/>
      <c r="B36" s="294"/>
      <c r="C36" s="1733" t="s">
        <v>678</v>
      </c>
      <c r="D36" s="1940" t="s">
        <v>211</v>
      </c>
      <c r="E36" s="1194" t="s">
        <v>466</v>
      </c>
      <c r="F36" s="1165" t="s">
        <v>521</v>
      </c>
      <c r="G36" s="1165"/>
      <c r="H36" s="1165"/>
      <c r="I36" s="1948">
        <v>23666187.600000001</v>
      </c>
      <c r="J36" s="1133"/>
      <c r="K36" s="1133">
        <v>8605886.4000000004</v>
      </c>
      <c r="L36" s="1133"/>
      <c r="M36" s="1134">
        <f t="shared" ref="M36" si="16">SUM(I36:L36)</f>
        <v>32272074</v>
      </c>
      <c r="N36" s="1133"/>
      <c r="O36" s="1133"/>
      <c r="P36" s="1133"/>
      <c r="Q36" s="1941">
        <f t="shared" ref="Q36" si="17">SUM(N36:P36)</f>
        <v>0</v>
      </c>
      <c r="R36" s="1135">
        <f t="shared" ref="R36" si="18">+Q36+M36</f>
        <v>32272074</v>
      </c>
      <c r="S36" s="1637">
        <v>32272074</v>
      </c>
      <c r="T36" s="1637">
        <v>23666188</v>
      </c>
      <c r="U36" s="1637">
        <v>23666188</v>
      </c>
      <c r="V36" s="1637">
        <f t="shared" ref="V36" si="19">+S36-U36</f>
        <v>8605886</v>
      </c>
      <c r="W36" s="1637"/>
      <c r="X36" s="1637"/>
      <c r="Y36" s="1637"/>
      <c r="Z36" s="1637"/>
      <c r="AA36" s="1637">
        <v>8605886.4000000004</v>
      </c>
      <c r="AB36" s="1637"/>
      <c r="AC36" s="1637" t="s">
        <v>58</v>
      </c>
      <c r="AD36" s="1637" t="s">
        <v>1348</v>
      </c>
    </row>
    <row r="37" spans="1:30" s="1670" customFormat="1" ht="24.95" customHeight="1">
      <c r="A37" s="294"/>
      <c r="B37" s="294"/>
      <c r="C37" s="1742" t="s">
        <v>678</v>
      </c>
      <c r="D37" s="1949" t="s">
        <v>211</v>
      </c>
      <c r="E37" s="1196" t="s">
        <v>466</v>
      </c>
      <c r="F37" s="1171" t="s">
        <v>521</v>
      </c>
      <c r="G37" s="1171"/>
      <c r="H37" s="1171"/>
      <c r="I37" s="1953"/>
      <c r="J37" s="1172"/>
      <c r="K37" s="1172"/>
      <c r="L37" s="1172"/>
      <c r="M37" s="1173">
        <f t="shared" si="8"/>
        <v>0</v>
      </c>
      <c r="N37" s="1172"/>
      <c r="O37" s="1172">
        <v>8605886.4000000004</v>
      </c>
      <c r="P37" s="1172"/>
      <c r="Q37" s="1950">
        <f t="shared" si="14"/>
        <v>8605886.4000000004</v>
      </c>
      <c r="R37" s="1198">
        <f t="shared" si="15"/>
        <v>8605886.4000000004</v>
      </c>
      <c r="S37" s="1669">
        <v>32272074</v>
      </c>
      <c r="T37" s="1669">
        <v>23666188</v>
      </c>
      <c r="U37" s="1669">
        <v>23666188</v>
      </c>
      <c r="V37" s="1669">
        <f t="shared" ref="V37:V42" si="20">+S37-U37</f>
        <v>8605886</v>
      </c>
      <c r="W37" s="1669"/>
      <c r="X37" s="1669"/>
      <c r="Y37" s="1669"/>
      <c r="Z37" s="1669"/>
      <c r="AA37" s="1669">
        <v>8605886.4000000004</v>
      </c>
      <c r="AB37" s="1669"/>
      <c r="AC37" s="1669" t="s">
        <v>58</v>
      </c>
      <c r="AD37" s="1669" t="s">
        <v>1348</v>
      </c>
    </row>
    <row r="38" spans="1:30" s="1638" customFormat="1" ht="24.95" customHeight="1">
      <c r="A38" s="294"/>
      <c r="B38" s="294"/>
      <c r="C38" s="1733" t="s">
        <v>678</v>
      </c>
      <c r="D38" s="1940" t="s">
        <v>211</v>
      </c>
      <c r="E38" s="1194" t="s">
        <v>466</v>
      </c>
      <c r="F38" s="1165" t="s">
        <v>521</v>
      </c>
      <c r="G38" s="1165"/>
      <c r="H38" s="1165"/>
      <c r="I38" s="1948">
        <v>23666187.600000001</v>
      </c>
      <c r="J38" s="1133"/>
      <c r="K38" s="1133">
        <v>8605886.4000000004</v>
      </c>
      <c r="L38" s="1133"/>
      <c r="M38" s="1134">
        <f t="shared" ref="M38" si="21">SUM(I38:L38)</f>
        <v>32272074</v>
      </c>
      <c r="N38" s="1133"/>
      <c r="O38" s="1133"/>
      <c r="P38" s="1133"/>
      <c r="Q38" s="1941">
        <f t="shared" ref="Q38" si="22">SUM(N38:P38)</f>
        <v>0</v>
      </c>
      <c r="R38" s="1135">
        <f t="shared" ref="R38" si="23">+Q38+M38</f>
        <v>32272074</v>
      </c>
      <c r="S38" s="1637">
        <v>32272074</v>
      </c>
      <c r="T38" s="1637">
        <v>23666188</v>
      </c>
      <c r="U38" s="1637">
        <v>23666188</v>
      </c>
      <c r="V38" s="1637">
        <f t="shared" ref="V38" si="24">+S38-U38</f>
        <v>8605886</v>
      </c>
      <c r="W38" s="1637"/>
      <c r="X38" s="1637"/>
      <c r="Y38" s="1637"/>
      <c r="Z38" s="1637"/>
      <c r="AA38" s="1637">
        <v>8605886.4000000004</v>
      </c>
      <c r="AB38" s="1637"/>
      <c r="AC38" s="1637" t="s">
        <v>58</v>
      </c>
      <c r="AD38" s="1637" t="s">
        <v>1348</v>
      </c>
    </row>
    <row r="39" spans="1:30" s="1670" customFormat="1" ht="24.95" customHeight="1">
      <c r="A39" s="294"/>
      <c r="B39" s="294"/>
      <c r="C39" s="1742" t="s">
        <v>678</v>
      </c>
      <c r="D39" s="1949" t="s">
        <v>211</v>
      </c>
      <c r="E39" s="1196" t="s">
        <v>466</v>
      </c>
      <c r="F39" s="1171" t="s">
        <v>521</v>
      </c>
      <c r="G39" s="1171"/>
      <c r="H39" s="1171"/>
      <c r="I39" s="1953"/>
      <c r="J39" s="1172"/>
      <c r="K39" s="1172"/>
      <c r="L39" s="1172"/>
      <c r="M39" s="1173">
        <f t="shared" si="8"/>
        <v>0</v>
      </c>
      <c r="N39" s="1172"/>
      <c r="O39" s="1172">
        <v>8605886.4000000004</v>
      </c>
      <c r="P39" s="1172"/>
      <c r="Q39" s="1950">
        <f t="shared" si="14"/>
        <v>8605886.4000000004</v>
      </c>
      <c r="R39" s="1198">
        <f t="shared" si="15"/>
        <v>8605886.4000000004</v>
      </c>
      <c r="S39" s="1669">
        <v>32272074</v>
      </c>
      <c r="T39" s="1669">
        <v>23666188</v>
      </c>
      <c r="U39" s="1669">
        <v>23666188</v>
      </c>
      <c r="V39" s="1669">
        <f t="shared" si="20"/>
        <v>8605886</v>
      </c>
      <c r="W39" s="1669"/>
      <c r="X39" s="1669"/>
      <c r="Y39" s="1669"/>
      <c r="Z39" s="1669"/>
      <c r="AA39" s="1669">
        <v>8605886.4000000004</v>
      </c>
      <c r="AB39" s="1669"/>
      <c r="AC39" s="1669" t="s">
        <v>58</v>
      </c>
      <c r="AD39" s="1669" t="s">
        <v>1348</v>
      </c>
    </row>
    <row r="40" spans="1:30" s="1638" customFormat="1" ht="24.95" customHeight="1">
      <c r="A40" s="294"/>
      <c r="B40" s="294"/>
      <c r="C40" s="1733" t="s">
        <v>678</v>
      </c>
      <c r="D40" s="1940" t="s">
        <v>211</v>
      </c>
      <c r="E40" s="1194" t="s">
        <v>466</v>
      </c>
      <c r="F40" s="1165" t="s">
        <v>521</v>
      </c>
      <c r="G40" s="1165"/>
      <c r="H40" s="1165"/>
      <c r="I40" s="1948">
        <v>47332375.200000003</v>
      </c>
      <c r="J40" s="1133"/>
      <c r="K40" s="1133"/>
      <c r="L40" s="1133"/>
      <c r="M40" s="1134">
        <f t="shared" si="8"/>
        <v>47332375.200000003</v>
      </c>
      <c r="N40" s="1133"/>
      <c r="O40" s="1133"/>
      <c r="P40" s="1133"/>
      <c r="Q40" s="1941">
        <f t="shared" si="14"/>
        <v>0</v>
      </c>
      <c r="R40" s="1135">
        <f t="shared" si="15"/>
        <v>47332375.200000003</v>
      </c>
      <c r="S40" s="1637">
        <v>47332375.200000003</v>
      </c>
      <c r="T40" s="1637">
        <v>47332375.200000003</v>
      </c>
      <c r="U40" s="1637"/>
      <c r="V40" s="1637">
        <f>+S40-T40</f>
        <v>0</v>
      </c>
      <c r="W40" s="1637"/>
      <c r="X40" s="1637"/>
      <c r="Y40" s="1637"/>
      <c r="Z40" s="1637"/>
      <c r="AA40" s="1637"/>
      <c r="AB40" s="1637"/>
      <c r="AC40" s="1637" t="s">
        <v>58</v>
      </c>
      <c r="AD40" s="1637" t="s">
        <v>1348</v>
      </c>
    </row>
    <row r="41" spans="1:30" s="1638" customFormat="1" ht="24.95" customHeight="1">
      <c r="A41" s="294"/>
      <c r="B41" s="294"/>
      <c r="C41" s="1733" t="s">
        <v>679</v>
      </c>
      <c r="D41" s="1940" t="s">
        <v>211</v>
      </c>
      <c r="E41" s="1194" t="s">
        <v>466</v>
      </c>
      <c r="F41" s="1165" t="s">
        <v>521</v>
      </c>
      <c r="G41" s="1165"/>
      <c r="H41" s="1165"/>
      <c r="I41" s="1133">
        <v>47332375.200000003</v>
      </c>
      <c r="J41" s="1133"/>
      <c r="K41" s="1133"/>
      <c r="L41" s="1133"/>
      <c r="M41" s="1134">
        <f t="shared" si="8"/>
        <v>47332375.200000003</v>
      </c>
      <c r="N41" s="1133"/>
      <c r="O41" s="1133"/>
      <c r="P41" s="1133"/>
      <c r="Q41" s="1941">
        <f t="shared" si="14"/>
        <v>0</v>
      </c>
      <c r="R41" s="1135">
        <f t="shared" si="15"/>
        <v>47332375.200000003</v>
      </c>
      <c r="S41" s="1637">
        <v>47332375.200000003</v>
      </c>
      <c r="T41" s="1637">
        <v>47332375.200000003</v>
      </c>
      <c r="U41" s="1637"/>
      <c r="V41" s="1637">
        <f>+S41-T41</f>
        <v>0</v>
      </c>
      <c r="W41" s="1637"/>
      <c r="X41" s="1637"/>
      <c r="Y41" s="1637"/>
      <c r="Z41" s="1637"/>
      <c r="AA41" s="1637"/>
      <c r="AB41" s="1637"/>
      <c r="AC41" s="1637" t="s">
        <v>58</v>
      </c>
      <c r="AD41" s="1637" t="s">
        <v>1348</v>
      </c>
    </row>
    <row r="42" spans="1:30" s="1638" customFormat="1" ht="24.95" customHeight="1">
      <c r="A42" s="294"/>
      <c r="B42" s="294"/>
      <c r="C42" s="1733" t="s">
        <v>678</v>
      </c>
      <c r="D42" s="1940" t="s">
        <v>211</v>
      </c>
      <c r="E42" s="1194" t="s">
        <v>466</v>
      </c>
      <c r="F42" s="1165" t="s">
        <v>521</v>
      </c>
      <c r="G42" s="1165"/>
      <c r="H42" s="1165"/>
      <c r="I42" s="1133"/>
      <c r="J42" s="1346"/>
      <c r="K42" s="1346"/>
      <c r="L42" s="1346"/>
      <c r="M42" s="1134">
        <f t="shared" si="8"/>
        <v>0</v>
      </c>
      <c r="N42" s="1133"/>
      <c r="O42" s="1133">
        <v>30120602.400000002</v>
      </c>
      <c r="P42" s="1133"/>
      <c r="Q42" s="1941">
        <f t="shared" si="14"/>
        <v>30120602.400000002</v>
      </c>
      <c r="R42" s="1135">
        <f t="shared" si="15"/>
        <v>30120602.400000002</v>
      </c>
      <c r="S42" s="1645">
        <v>30120602.400000002</v>
      </c>
      <c r="T42" s="1637">
        <v>30120602.400000002</v>
      </c>
      <c r="U42" s="1637">
        <v>30120602.400000002</v>
      </c>
      <c r="V42" s="1637">
        <f t="shared" si="20"/>
        <v>0</v>
      </c>
      <c r="W42" s="1637"/>
      <c r="X42" s="1637"/>
      <c r="Y42" s="1637"/>
      <c r="Z42" s="1637"/>
      <c r="AA42" s="1637"/>
      <c r="AB42" s="1637"/>
      <c r="AC42" s="1637" t="s">
        <v>58</v>
      </c>
      <c r="AD42" s="1637" t="s">
        <v>1348</v>
      </c>
    </row>
    <row r="43" spans="1:30" s="1638" customFormat="1" ht="24.95" customHeight="1">
      <c r="A43" s="294"/>
      <c r="B43" s="294"/>
      <c r="C43" s="1733" t="s">
        <v>473</v>
      </c>
      <c r="D43" s="1940" t="s">
        <v>211</v>
      </c>
      <c r="E43" s="1194" t="s">
        <v>466</v>
      </c>
      <c r="F43" s="1165" t="s">
        <v>521</v>
      </c>
      <c r="G43" s="1165"/>
      <c r="H43" s="1165"/>
      <c r="I43" s="1948">
        <v>12908829.600000001</v>
      </c>
      <c r="J43" s="1133"/>
      <c r="K43" s="1133">
        <v>4302943.2</v>
      </c>
      <c r="L43" s="1133"/>
      <c r="M43" s="1134">
        <f t="shared" si="8"/>
        <v>17211772.800000001</v>
      </c>
      <c r="N43" s="1133"/>
      <c r="O43" s="1133"/>
      <c r="P43" s="1133"/>
      <c r="Q43" s="1941">
        <f t="shared" si="14"/>
        <v>0</v>
      </c>
      <c r="R43" s="1135">
        <f t="shared" si="15"/>
        <v>17211772.800000001</v>
      </c>
      <c r="S43" s="1637">
        <v>17211772.800000001</v>
      </c>
      <c r="T43" s="1637">
        <v>17211772.800000001</v>
      </c>
      <c r="U43" s="1637"/>
      <c r="V43" s="1637">
        <f>+S43-T43</f>
        <v>0</v>
      </c>
      <c r="W43" s="1637"/>
      <c r="X43" s="1637"/>
      <c r="Y43" s="1637"/>
      <c r="Z43" s="1637"/>
      <c r="AA43" s="1637"/>
      <c r="AB43" s="1637"/>
      <c r="AC43" s="1637" t="s">
        <v>58</v>
      </c>
      <c r="AD43" s="1637" t="s">
        <v>1348</v>
      </c>
    </row>
    <row r="44" spans="1:30" s="1638" customFormat="1" ht="24.95" customHeight="1">
      <c r="A44" s="294"/>
      <c r="B44" s="294"/>
      <c r="C44" s="1733" t="s">
        <v>474</v>
      </c>
      <c r="D44" s="1940" t="s">
        <v>211</v>
      </c>
      <c r="E44" s="1194" t="s">
        <v>466</v>
      </c>
      <c r="F44" s="1165" t="s">
        <v>521</v>
      </c>
      <c r="G44" s="1165"/>
      <c r="H44" s="1165"/>
      <c r="I44" s="1948">
        <v>12908829.600000001</v>
      </c>
      <c r="J44" s="1133"/>
      <c r="K44" s="1133">
        <v>4302943.2</v>
      </c>
      <c r="L44" s="1133"/>
      <c r="M44" s="1134">
        <f t="shared" si="8"/>
        <v>17211772.800000001</v>
      </c>
      <c r="N44" s="1133"/>
      <c r="O44" s="1133"/>
      <c r="P44" s="1133"/>
      <c r="Q44" s="1941">
        <f t="shared" si="14"/>
        <v>0</v>
      </c>
      <c r="R44" s="1135">
        <f t="shared" si="15"/>
        <v>17211772.800000001</v>
      </c>
      <c r="S44" s="1637">
        <v>17211772.800000001</v>
      </c>
      <c r="T44" s="1637">
        <v>17211772.800000001</v>
      </c>
      <c r="U44" s="1637"/>
      <c r="V44" s="1637">
        <f>+S44-T44</f>
        <v>0</v>
      </c>
      <c r="W44" s="1637"/>
      <c r="X44" s="1637"/>
      <c r="Y44" s="1637"/>
      <c r="Z44" s="1637"/>
      <c r="AA44" s="1637"/>
      <c r="AB44" s="1637"/>
      <c r="AC44" s="1637" t="s">
        <v>58</v>
      </c>
      <c r="AD44" s="1637" t="s">
        <v>1348</v>
      </c>
    </row>
    <row r="45" spans="1:30" s="1638" customFormat="1" ht="24.95" customHeight="1">
      <c r="A45" s="294"/>
      <c r="B45" s="294"/>
      <c r="C45" s="1733" t="s">
        <v>895</v>
      </c>
      <c r="D45" s="1940" t="s">
        <v>211</v>
      </c>
      <c r="E45" s="1194" t="s">
        <v>466</v>
      </c>
      <c r="F45" s="1165" t="s">
        <v>521</v>
      </c>
      <c r="G45" s="1165"/>
      <c r="H45" s="1165"/>
      <c r="I45" s="1133">
        <v>36575017.200000003</v>
      </c>
      <c r="J45" s="1133"/>
      <c r="K45" s="1133"/>
      <c r="L45" s="1133"/>
      <c r="M45" s="1134">
        <f t="shared" si="8"/>
        <v>36575017.200000003</v>
      </c>
      <c r="N45" s="1133"/>
      <c r="O45" s="1133"/>
      <c r="P45" s="1133"/>
      <c r="Q45" s="1941">
        <f t="shared" si="14"/>
        <v>0</v>
      </c>
      <c r="R45" s="1135">
        <f t="shared" si="15"/>
        <v>36575017.200000003</v>
      </c>
      <c r="S45" s="1637">
        <v>36575017</v>
      </c>
      <c r="T45" s="1637">
        <v>36575017</v>
      </c>
      <c r="U45" s="1637">
        <v>36575017</v>
      </c>
      <c r="V45" s="1637">
        <f>+S45-U45</f>
        <v>0</v>
      </c>
      <c r="W45" s="1637"/>
      <c r="X45" s="1637"/>
      <c r="Y45" s="1637"/>
      <c r="Z45" s="1637"/>
      <c r="AA45" s="1637"/>
      <c r="AB45" s="1637"/>
      <c r="AC45" s="1637" t="s">
        <v>58</v>
      </c>
      <c r="AD45" s="1637" t="s">
        <v>1348</v>
      </c>
    </row>
    <row r="46" spans="1:30" s="1638" customFormat="1" ht="24.95" customHeight="1">
      <c r="A46" s="294"/>
      <c r="B46" s="294"/>
      <c r="C46" s="1733" t="s">
        <v>680</v>
      </c>
      <c r="D46" s="1940" t="s">
        <v>211</v>
      </c>
      <c r="E46" s="1194" t="s">
        <v>466</v>
      </c>
      <c r="F46" s="1165" t="s">
        <v>521</v>
      </c>
      <c r="G46" s="1165"/>
      <c r="H46" s="1165"/>
      <c r="I46" s="1133">
        <v>43029431.799999997</v>
      </c>
      <c r="J46" s="1133"/>
      <c r="K46" s="1133"/>
      <c r="L46" s="1133"/>
      <c r="M46" s="1134">
        <f t="shared" si="8"/>
        <v>43029431.799999997</v>
      </c>
      <c r="N46" s="1133"/>
      <c r="O46" s="1133"/>
      <c r="P46" s="1133"/>
      <c r="Q46" s="1941">
        <f t="shared" si="14"/>
        <v>0</v>
      </c>
      <c r="R46" s="1135">
        <f t="shared" si="15"/>
        <v>43029431.799999997</v>
      </c>
      <c r="S46" s="1637">
        <v>43029431.799999997</v>
      </c>
      <c r="T46" s="1637">
        <v>43029431.799999997</v>
      </c>
      <c r="U46" s="1637"/>
      <c r="V46" s="1637">
        <f>+S46-T46</f>
        <v>0</v>
      </c>
      <c r="W46" s="1637"/>
      <c r="X46" s="1637"/>
      <c r="Y46" s="1637"/>
      <c r="Z46" s="1637"/>
      <c r="AA46" s="1637"/>
      <c r="AB46" s="1637"/>
      <c r="AC46" s="1637" t="s">
        <v>58</v>
      </c>
      <c r="AD46" s="1637" t="s">
        <v>1348</v>
      </c>
    </row>
    <row r="47" spans="1:30" s="1638" customFormat="1" ht="24.95" customHeight="1">
      <c r="A47" s="294"/>
      <c r="B47" s="294"/>
      <c r="C47" s="1733" t="s">
        <v>680</v>
      </c>
      <c r="D47" s="1940" t="s">
        <v>211</v>
      </c>
      <c r="E47" s="1194" t="s">
        <v>466</v>
      </c>
      <c r="F47" s="1165" t="s">
        <v>521</v>
      </c>
      <c r="G47" s="1165"/>
      <c r="H47" s="1165"/>
      <c r="I47" s="1133">
        <v>29679745.199999996</v>
      </c>
      <c r="J47" s="1133"/>
      <c r="K47" s="1133">
        <v>13349686.600000001</v>
      </c>
      <c r="L47" s="1133"/>
      <c r="M47" s="1134">
        <f t="shared" si="8"/>
        <v>43029431.799999997</v>
      </c>
      <c r="N47" s="1133"/>
      <c r="O47" s="1133"/>
      <c r="P47" s="1133"/>
      <c r="Q47" s="1941">
        <f t="shared" si="14"/>
        <v>0</v>
      </c>
      <c r="R47" s="1135">
        <f t="shared" si="15"/>
        <v>43029431.799999997</v>
      </c>
      <c r="S47" s="1637">
        <v>43029431.799999997</v>
      </c>
      <c r="T47" s="1637">
        <v>43029431.799999997</v>
      </c>
      <c r="U47" s="1637"/>
      <c r="V47" s="1637">
        <f>+S47-T47</f>
        <v>0</v>
      </c>
      <c r="W47" s="1637"/>
      <c r="X47" s="1637"/>
      <c r="Y47" s="1637"/>
      <c r="Z47" s="1637"/>
      <c r="AA47" s="1637"/>
      <c r="AB47" s="1637"/>
      <c r="AC47" s="1637" t="s">
        <v>58</v>
      </c>
      <c r="AD47" s="1637" t="s">
        <v>1348</v>
      </c>
    </row>
    <row r="48" spans="1:30" s="1638" customFormat="1" ht="24.95" customHeight="1">
      <c r="A48" s="294"/>
      <c r="B48" s="294"/>
      <c r="C48" s="1733" t="s">
        <v>903</v>
      </c>
      <c r="D48" s="1940" t="s">
        <v>211</v>
      </c>
      <c r="E48" s="1194" t="s">
        <v>466</v>
      </c>
      <c r="F48" s="1165" t="s">
        <v>521</v>
      </c>
      <c r="G48" s="1165"/>
      <c r="H48" s="1165"/>
      <c r="I48" s="1133"/>
      <c r="J48" s="1346"/>
      <c r="K48" s="1346"/>
      <c r="L48" s="1346"/>
      <c r="M48" s="1134">
        <f t="shared" si="8"/>
        <v>0</v>
      </c>
      <c r="N48" s="1133"/>
      <c r="O48" s="1133">
        <v>30120602.400000002</v>
      </c>
      <c r="P48" s="1133"/>
      <c r="Q48" s="1941">
        <f t="shared" si="14"/>
        <v>30120602.400000002</v>
      </c>
      <c r="R48" s="1135">
        <f t="shared" si="15"/>
        <v>30120602.400000002</v>
      </c>
      <c r="S48" s="1645">
        <v>30120602.400000002</v>
      </c>
      <c r="T48" s="1637">
        <v>30120602.400000002</v>
      </c>
      <c r="U48" s="1637">
        <v>30120602.400000002</v>
      </c>
      <c r="V48" s="1637">
        <f t="shared" ref="V48:V52" si="25">+S48-U48</f>
        <v>0</v>
      </c>
      <c r="W48" s="1637"/>
      <c r="X48" s="1637"/>
      <c r="Y48" s="1637"/>
      <c r="Z48" s="1637"/>
      <c r="AA48" s="1637"/>
      <c r="AB48" s="1637"/>
      <c r="AC48" s="1637" t="s">
        <v>58</v>
      </c>
      <c r="AD48" s="1637" t="s">
        <v>1348</v>
      </c>
    </row>
    <row r="49" spans="1:30" s="1638" customFormat="1" ht="24.95" customHeight="1">
      <c r="A49" s="294"/>
      <c r="B49" s="294"/>
      <c r="C49" s="1733" t="s">
        <v>903</v>
      </c>
      <c r="D49" s="1940" t="s">
        <v>211</v>
      </c>
      <c r="E49" s="1194" t="s">
        <v>466</v>
      </c>
      <c r="F49" s="1165" t="s">
        <v>521</v>
      </c>
      <c r="G49" s="1165"/>
      <c r="H49" s="1165"/>
      <c r="I49" s="1133"/>
      <c r="J49" s="1346"/>
      <c r="K49" s="1346"/>
      <c r="L49" s="1346"/>
      <c r="M49" s="1134">
        <f t="shared" si="8"/>
        <v>0</v>
      </c>
      <c r="N49" s="1133"/>
      <c r="O49" s="1133">
        <v>30120602.400000002</v>
      </c>
      <c r="P49" s="1133"/>
      <c r="Q49" s="1941">
        <f t="shared" si="14"/>
        <v>30120602.400000002</v>
      </c>
      <c r="R49" s="1135">
        <f t="shared" si="15"/>
        <v>30120602.400000002</v>
      </c>
      <c r="S49" s="1645">
        <v>30120602.400000002</v>
      </c>
      <c r="T49" s="1637">
        <v>30120602.400000002</v>
      </c>
      <c r="U49" s="1637">
        <v>30120602.400000002</v>
      </c>
      <c r="V49" s="1637">
        <f t="shared" si="25"/>
        <v>0</v>
      </c>
      <c r="W49" s="1637"/>
      <c r="X49" s="1637"/>
      <c r="Y49" s="1637"/>
      <c r="Z49" s="1637"/>
      <c r="AA49" s="1637"/>
      <c r="AB49" s="1637"/>
      <c r="AC49" s="1637" t="s">
        <v>58</v>
      </c>
      <c r="AD49" s="1637" t="s">
        <v>1348</v>
      </c>
    </row>
    <row r="50" spans="1:30" s="1638" customFormat="1" ht="24.95" customHeight="1">
      <c r="A50" s="294"/>
      <c r="B50" s="294"/>
      <c r="C50" s="1733" t="s">
        <v>903</v>
      </c>
      <c r="D50" s="1940" t="s">
        <v>211</v>
      </c>
      <c r="E50" s="1194" t="s">
        <v>466</v>
      </c>
      <c r="F50" s="1165" t="s">
        <v>521</v>
      </c>
      <c r="G50" s="1165"/>
      <c r="H50" s="1165"/>
      <c r="I50" s="1133"/>
      <c r="J50" s="1346"/>
      <c r="K50" s="1346"/>
      <c r="L50" s="1346"/>
      <c r="M50" s="1134">
        <f t="shared" si="8"/>
        <v>0</v>
      </c>
      <c r="N50" s="1133"/>
      <c r="O50" s="1133">
        <v>30120602.400000002</v>
      </c>
      <c r="P50" s="1133"/>
      <c r="Q50" s="1941">
        <f t="shared" si="14"/>
        <v>30120602.400000002</v>
      </c>
      <c r="R50" s="1135">
        <f t="shared" si="15"/>
        <v>30120602.400000002</v>
      </c>
      <c r="S50" s="1645">
        <v>30120602.400000002</v>
      </c>
      <c r="T50" s="1637">
        <v>30120602.400000002</v>
      </c>
      <c r="U50" s="1637">
        <v>30120602.400000002</v>
      </c>
      <c r="V50" s="1637">
        <f t="shared" si="25"/>
        <v>0</v>
      </c>
      <c r="W50" s="1637"/>
      <c r="X50" s="1637"/>
      <c r="Y50" s="1637"/>
      <c r="Z50" s="1637"/>
      <c r="AA50" s="1637"/>
      <c r="AB50" s="1637"/>
      <c r="AC50" s="1637" t="s">
        <v>58</v>
      </c>
      <c r="AD50" s="1637" t="s">
        <v>1348</v>
      </c>
    </row>
    <row r="51" spans="1:30" s="1638" customFormat="1" ht="24.95" customHeight="1">
      <c r="A51" s="294"/>
      <c r="B51" s="294"/>
      <c r="C51" s="1733" t="s">
        <v>903</v>
      </c>
      <c r="D51" s="1940" t="s">
        <v>211</v>
      </c>
      <c r="E51" s="1194" t="s">
        <v>466</v>
      </c>
      <c r="F51" s="1165" t="s">
        <v>521</v>
      </c>
      <c r="G51" s="1165"/>
      <c r="H51" s="1165"/>
      <c r="I51" s="1133"/>
      <c r="J51" s="1346"/>
      <c r="K51" s="1346"/>
      <c r="L51" s="1346"/>
      <c r="M51" s="1134">
        <f t="shared" si="8"/>
        <v>0</v>
      </c>
      <c r="N51" s="1133"/>
      <c r="O51" s="1133">
        <v>27164977</v>
      </c>
      <c r="P51" s="1133"/>
      <c r="Q51" s="1941">
        <f t="shared" si="14"/>
        <v>27164977</v>
      </c>
      <c r="R51" s="1135">
        <f t="shared" si="15"/>
        <v>27164977</v>
      </c>
      <c r="S51" s="1645">
        <v>27164977</v>
      </c>
      <c r="T51" s="1637">
        <f t="shared" ref="T51" si="26">+R51-S51</f>
        <v>0</v>
      </c>
      <c r="U51" s="1637"/>
      <c r="V51" s="1637">
        <f t="shared" si="25"/>
        <v>27164977</v>
      </c>
      <c r="W51" s="1637"/>
      <c r="X51" s="1637"/>
      <c r="Y51" s="1637"/>
      <c r="Z51" s="1637"/>
      <c r="AA51" s="1637">
        <v>27164977</v>
      </c>
      <c r="AB51" s="1637"/>
      <c r="AC51" s="1637" t="s">
        <v>58</v>
      </c>
      <c r="AD51" s="1637" t="s">
        <v>1348</v>
      </c>
    </row>
    <row r="52" spans="1:30" s="1638" customFormat="1" ht="24.95" customHeight="1">
      <c r="A52" s="294"/>
      <c r="B52" s="294"/>
      <c r="C52" s="1733" t="s">
        <v>903</v>
      </c>
      <c r="D52" s="1940" t="s">
        <v>211</v>
      </c>
      <c r="E52" s="1194" t="s">
        <v>466</v>
      </c>
      <c r="F52" s="1165" t="s">
        <v>521</v>
      </c>
      <c r="G52" s="1165"/>
      <c r="H52" s="1165"/>
      <c r="I52" s="1133"/>
      <c r="J52" s="1346"/>
      <c r="K52" s="1346"/>
      <c r="L52" s="1346"/>
      <c r="M52" s="1134">
        <f t="shared" si="8"/>
        <v>0</v>
      </c>
      <c r="N52" s="1133"/>
      <c r="O52" s="1133">
        <v>7761422</v>
      </c>
      <c r="P52" s="1133"/>
      <c r="Q52" s="1941">
        <f t="shared" si="14"/>
        <v>7761422</v>
      </c>
      <c r="R52" s="1135">
        <f t="shared" si="15"/>
        <v>7761422</v>
      </c>
      <c r="S52" s="1645">
        <v>7761422</v>
      </c>
      <c r="T52" s="1637">
        <v>7761422</v>
      </c>
      <c r="U52" s="1637">
        <v>7761422</v>
      </c>
      <c r="V52" s="1637">
        <f t="shared" si="25"/>
        <v>0</v>
      </c>
      <c r="W52" s="1637"/>
      <c r="X52" s="1637"/>
      <c r="Y52" s="1637"/>
      <c r="Z52" s="1637"/>
      <c r="AA52" s="1637"/>
      <c r="AB52" s="1637"/>
      <c r="AC52" s="1637" t="s">
        <v>58</v>
      </c>
      <c r="AD52" s="1637" t="s">
        <v>1348</v>
      </c>
    </row>
    <row r="53" spans="1:30" s="1638" customFormat="1" ht="24.95" customHeight="1">
      <c r="A53" s="294"/>
      <c r="B53" s="294"/>
      <c r="C53" s="1733" t="s">
        <v>903</v>
      </c>
      <c r="D53" s="1940" t="s">
        <v>211</v>
      </c>
      <c r="E53" s="1194" t="s">
        <v>466</v>
      </c>
      <c r="F53" s="1165" t="s">
        <v>521</v>
      </c>
      <c r="G53" s="1165"/>
      <c r="H53" s="1165"/>
      <c r="I53" s="1133"/>
      <c r="J53" s="1346"/>
      <c r="K53" s="1346"/>
      <c r="L53" s="1346"/>
      <c r="M53" s="1134">
        <f t="shared" si="8"/>
        <v>0</v>
      </c>
      <c r="N53" s="1133"/>
      <c r="O53" s="1133">
        <v>22359180.399999976</v>
      </c>
      <c r="P53" s="1133"/>
      <c r="Q53" s="1941">
        <f t="shared" si="14"/>
        <v>22359180.399999976</v>
      </c>
      <c r="R53" s="1135">
        <f t="shared" si="15"/>
        <v>22359180.399999976</v>
      </c>
      <c r="S53" s="1645">
        <v>22359180</v>
      </c>
      <c r="T53" s="1637">
        <v>22359180</v>
      </c>
      <c r="U53" s="1637">
        <v>22359180</v>
      </c>
      <c r="V53" s="1637">
        <f>+S53-U53</f>
        <v>0</v>
      </c>
      <c r="W53" s="1637"/>
      <c r="X53" s="1637"/>
      <c r="Y53" s="1637"/>
      <c r="Z53" s="1637"/>
      <c r="AA53" s="1637"/>
      <c r="AB53" s="1637"/>
      <c r="AC53" s="1637" t="s">
        <v>58</v>
      </c>
      <c r="AD53" s="1637" t="s">
        <v>1348</v>
      </c>
    </row>
    <row r="54" spans="1:30" s="1638" customFormat="1" ht="24.95" customHeight="1">
      <c r="A54" s="294"/>
      <c r="B54" s="294"/>
      <c r="C54" s="1733" t="s">
        <v>648</v>
      </c>
      <c r="D54" s="1940" t="s">
        <v>211</v>
      </c>
      <c r="E54" s="1194" t="s">
        <v>466</v>
      </c>
      <c r="F54" s="1165" t="s">
        <v>521</v>
      </c>
      <c r="G54" s="1165"/>
      <c r="H54" s="1165"/>
      <c r="I54" s="1133">
        <v>23905290.200000003</v>
      </c>
      <c r="J54" s="1133"/>
      <c r="K54" s="1133"/>
      <c r="L54" s="1133"/>
      <c r="M54" s="1134">
        <f t="shared" si="8"/>
        <v>23905290.200000003</v>
      </c>
      <c r="N54" s="1133"/>
      <c r="O54" s="1133"/>
      <c r="P54" s="1133"/>
      <c r="Q54" s="1941">
        <f t="shared" si="14"/>
        <v>0</v>
      </c>
      <c r="R54" s="1135">
        <f t="shared" si="15"/>
        <v>23905290.200000003</v>
      </c>
      <c r="S54" s="1637">
        <v>23905290</v>
      </c>
      <c r="T54" s="1637">
        <v>23905290</v>
      </c>
      <c r="U54" s="1637"/>
      <c r="V54" s="1637">
        <f>+S54-T54</f>
        <v>0</v>
      </c>
      <c r="W54" s="1637"/>
      <c r="X54" s="1637"/>
      <c r="Y54" s="1637"/>
      <c r="Z54" s="1637"/>
      <c r="AA54" s="1637"/>
      <c r="AB54" s="1637"/>
      <c r="AC54" s="1637" t="s">
        <v>58</v>
      </c>
      <c r="AD54" s="1637" t="s">
        <v>1348</v>
      </c>
    </row>
    <row r="55" spans="1:30" s="1638" customFormat="1" ht="24.95" customHeight="1">
      <c r="A55" s="294"/>
      <c r="B55" s="294"/>
      <c r="C55" s="1733" t="s">
        <v>490</v>
      </c>
      <c r="D55" s="1940" t="s">
        <v>211</v>
      </c>
      <c r="E55" s="1194" t="s">
        <v>466</v>
      </c>
      <c r="F55" s="1165" t="s">
        <v>521</v>
      </c>
      <c r="G55" s="1165"/>
      <c r="H55" s="1165"/>
      <c r="I55" s="1133">
        <v>36843235.800000004</v>
      </c>
      <c r="J55" s="1133"/>
      <c r="K55" s="1133"/>
      <c r="L55" s="1133"/>
      <c r="M55" s="1134">
        <f t="shared" si="8"/>
        <v>36843235.800000004</v>
      </c>
      <c r="N55" s="1133"/>
      <c r="O55" s="1133"/>
      <c r="P55" s="1133"/>
      <c r="Q55" s="1941">
        <f t="shared" si="14"/>
        <v>0</v>
      </c>
      <c r="R55" s="1135">
        <f t="shared" si="15"/>
        <v>36843235.800000004</v>
      </c>
      <c r="S55" s="1637">
        <v>36843236</v>
      </c>
      <c r="T55" s="1637">
        <v>36843236</v>
      </c>
      <c r="U55" s="1637"/>
      <c r="V55" s="1637">
        <f>+S55-T55</f>
        <v>0</v>
      </c>
      <c r="W55" s="1637"/>
      <c r="X55" s="1637"/>
      <c r="Y55" s="1637"/>
      <c r="Z55" s="1637"/>
      <c r="AA55" s="1637"/>
      <c r="AB55" s="1637"/>
      <c r="AC55" s="1637" t="s">
        <v>58</v>
      </c>
      <c r="AD55" s="1637" t="s">
        <v>1348</v>
      </c>
    </row>
    <row r="56" spans="1:30" s="1638" customFormat="1" ht="24.95" customHeight="1">
      <c r="A56" s="294"/>
      <c r="B56" s="294"/>
      <c r="C56" s="1733" t="s">
        <v>889</v>
      </c>
      <c r="D56" s="1940" t="s">
        <v>211</v>
      </c>
      <c r="E56" s="1194">
        <v>83990</v>
      </c>
      <c r="F56" s="1165" t="s">
        <v>521</v>
      </c>
      <c r="G56" s="1165"/>
      <c r="H56" s="1165"/>
      <c r="I56" s="1133">
        <v>8349264</v>
      </c>
      <c r="J56" s="1133"/>
      <c r="K56" s="1133"/>
      <c r="L56" s="1133"/>
      <c r="M56" s="1134">
        <f t="shared" si="8"/>
        <v>8349264</v>
      </c>
      <c r="N56" s="1133"/>
      <c r="O56" s="1133"/>
      <c r="P56" s="1133"/>
      <c r="Q56" s="1941">
        <f t="shared" si="14"/>
        <v>0</v>
      </c>
      <c r="R56" s="1135">
        <f t="shared" si="15"/>
        <v>8349264</v>
      </c>
      <c r="S56" s="1645">
        <v>8349264</v>
      </c>
      <c r="T56" s="1637">
        <v>8349264</v>
      </c>
      <c r="U56" s="1637"/>
      <c r="V56" s="1637">
        <f t="shared" ref="V56:V59" si="27">+S56-T56</f>
        <v>0</v>
      </c>
      <c r="W56" s="1637"/>
      <c r="X56" s="1637"/>
      <c r="Y56" s="1637"/>
      <c r="Z56" s="1637"/>
      <c r="AA56" s="1637"/>
      <c r="AB56" s="1637"/>
      <c r="AC56" s="1637" t="s">
        <v>58</v>
      </c>
      <c r="AD56" s="1637" t="s">
        <v>1348</v>
      </c>
    </row>
    <row r="57" spans="1:30" s="1638" customFormat="1" ht="24.95" customHeight="1">
      <c r="A57" s="294"/>
      <c r="B57" s="294"/>
      <c r="C57" s="1733" t="s">
        <v>861</v>
      </c>
      <c r="D57" s="1940" t="s">
        <v>211</v>
      </c>
      <c r="E57" s="1194" t="s">
        <v>466</v>
      </c>
      <c r="F57" s="1165" t="s">
        <v>521</v>
      </c>
      <c r="G57" s="1165"/>
      <c r="H57" s="1165"/>
      <c r="I57" s="1133">
        <v>8605886.4000000004</v>
      </c>
      <c r="J57" s="1133"/>
      <c r="K57" s="1133"/>
      <c r="L57" s="1133"/>
      <c r="M57" s="1134">
        <f t="shared" si="8"/>
        <v>8605886.4000000004</v>
      </c>
      <c r="N57" s="1133"/>
      <c r="O57" s="1133"/>
      <c r="P57" s="1133"/>
      <c r="Q57" s="1941">
        <f t="shared" si="14"/>
        <v>0</v>
      </c>
      <c r="R57" s="1135">
        <f t="shared" si="15"/>
        <v>8605886.4000000004</v>
      </c>
      <c r="S57" s="1645">
        <v>8605886</v>
      </c>
      <c r="T57" s="1637">
        <v>8605886</v>
      </c>
      <c r="U57" s="1637"/>
      <c r="V57" s="1637">
        <f t="shared" si="27"/>
        <v>0</v>
      </c>
      <c r="W57" s="1637"/>
      <c r="X57" s="1637"/>
      <c r="Y57" s="1637"/>
      <c r="Z57" s="1637"/>
      <c r="AA57" s="1637"/>
      <c r="AB57" s="1637"/>
      <c r="AC57" s="1637" t="s">
        <v>58</v>
      </c>
      <c r="AD57" s="1637" t="s">
        <v>1348</v>
      </c>
    </row>
    <row r="58" spans="1:30" s="1638" customFormat="1" ht="24.95" customHeight="1">
      <c r="A58" s="294"/>
      <c r="B58" s="294"/>
      <c r="C58" s="1733" t="s">
        <v>681</v>
      </c>
      <c r="D58" s="1940" t="s">
        <v>211</v>
      </c>
      <c r="E58" s="1194" t="s">
        <v>466</v>
      </c>
      <c r="F58" s="1165" t="s">
        <v>521</v>
      </c>
      <c r="G58" s="1165"/>
      <c r="H58" s="1165"/>
      <c r="I58" s="1133">
        <v>30512162.400000002</v>
      </c>
      <c r="J58" s="1133"/>
      <c r="K58" s="1133"/>
      <c r="L58" s="1133"/>
      <c r="M58" s="1134">
        <f t="shared" si="8"/>
        <v>30512162.400000002</v>
      </c>
      <c r="N58" s="1133"/>
      <c r="O58" s="1133"/>
      <c r="P58" s="1133"/>
      <c r="Q58" s="1941">
        <f t="shared" si="14"/>
        <v>0</v>
      </c>
      <c r="R58" s="1135">
        <f t="shared" si="15"/>
        <v>30512162.400000002</v>
      </c>
      <c r="S58" s="1637">
        <v>30512162</v>
      </c>
      <c r="T58" s="1637">
        <v>30512162</v>
      </c>
      <c r="U58" s="1637"/>
      <c r="V58" s="1637">
        <f t="shared" si="27"/>
        <v>0</v>
      </c>
      <c r="W58" s="1637"/>
      <c r="X58" s="1637"/>
      <c r="Y58" s="1637"/>
      <c r="Z58" s="1637"/>
      <c r="AA58" s="1637"/>
      <c r="AB58" s="1637"/>
      <c r="AC58" s="1637" t="s">
        <v>58</v>
      </c>
      <c r="AD58" s="1637" t="s">
        <v>1348</v>
      </c>
    </row>
    <row r="59" spans="1:30" s="1638" customFormat="1" ht="24.95" customHeight="1">
      <c r="A59" s="294"/>
      <c r="B59" s="294"/>
      <c r="C59" s="1733" t="s">
        <v>681</v>
      </c>
      <c r="D59" s="1940" t="s">
        <v>211</v>
      </c>
      <c r="E59" s="1194" t="s">
        <v>466</v>
      </c>
      <c r="F59" s="1165" t="s">
        <v>521</v>
      </c>
      <c r="G59" s="1165"/>
      <c r="H59" s="1165"/>
      <c r="I59" s="1133">
        <v>47332375.200000003</v>
      </c>
      <c r="J59" s="1133"/>
      <c r="K59" s="1133"/>
      <c r="L59" s="1133"/>
      <c r="M59" s="1134">
        <f t="shared" si="8"/>
        <v>47332375.200000003</v>
      </c>
      <c r="N59" s="1133"/>
      <c r="O59" s="1133"/>
      <c r="P59" s="1133"/>
      <c r="Q59" s="1941">
        <f t="shared" si="14"/>
        <v>0</v>
      </c>
      <c r="R59" s="1135">
        <f t="shared" si="15"/>
        <v>47332375.200000003</v>
      </c>
      <c r="S59" s="1637">
        <v>47332375.200000003</v>
      </c>
      <c r="T59" s="1637">
        <v>47332375.200000003</v>
      </c>
      <c r="U59" s="1637"/>
      <c r="V59" s="1637">
        <f t="shared" si="27"/>
        <v>0</v>
      </c>
      <c r="W59" s="1637"/>
      <c r="X59" s="1637"/>
      <c r="Y59" s="1637"/>
      <c r="Z59" s="1637"/>
      <c r="AA59" s="1637"/>
      <c r="AB59" s="1637"/>
      <c r="AC59" s="1637" t="s">
        <v>58</v>
      </c>
      <c r="AD59" s="1637" t="s">
        <v>1348</v>
      </c>
    </row>
    <row r="60" spans="1:30" s="1638" customFormat="1" ht="24.95" customHeight="1">
      <c r="A60" s="294"/>
      <c r="B60" s="294"/>
      <c r="C60" s="1733" t="s">
        <v>682</v>
      </c>
      <c r="D60" s="1940" t="s">
        <v>211</v>
      </c>
      <c r="E60" s="1194" t="s">
        <v>466</v>
      </c>
      <c r="F60" s="1165" t="s">
        <v>521</v>
      </c>
      <c r="G60" s="1165"/>
      <c r="H60" s="1165"/>
      <c r="I60" s="1133">
        <v>41566302.799999997</v>
      </c>
      <c r="J60" s="1133"/>
      <c r="K60" s="1133"/>
      <c r="L60" s="1133"/>
      <c r="M60" s="1134">
        <f t="shared" si="8"/>
        <v>41566302.799999997</v>
      </c>
      <c r="N60" s="1133"/>
      <c r="O60" s="1133"/>
      <c r="P60" s="1133"/>
      <c r="Q60" s="1941">
        <f t="shared" si="14"/>
        <v>0</v>
      </c>
      <c r="R60" s="1135">
        <f t="shared" si="15"/>
        <v>41566302.799999997</v>
      </c>
      <c r="S60" s="1637">
        <v>41566303</v>
      </c>
      <c r="T60" s="1637">
        <v>41566303</v>
      </c>
      <c r="U60" s="1637">
        <v>41566303</v>
      </c>
      <c r="V60" s="1637">
        <f>+S60-U60</f>
        <v>0</v>
      </c>
      <c r="W60" s="1637"/>
      <c r="X60" s="1637"/>
      <c r="Y60" s="1637"/>
      <c r="Z60" s="1637"/>
      <c r="AA60" s="1637"/>
      <c r="AB60" s="1637"/>
      <c r="AC60" s="1637" t="s">
        <v>58</v>
      </c>
      <c r="AD60" s="1637" t="s">
        <v>1348</v>
      </c>
    </row>
    <row r="61" spans="1:30" s="1638" customFormat="1" ht="24.95" customHeight="1">
      <c r="A61" s="294"/>
      <c r="B61" s="294"/>
      <c r="C61" s="1733" t="s">
        <v>681</v>
      </c>
      <c r="D61" s="1940" t="s">
        <v>211</v>
      </c>
      <c r="E61" s="1194" t="s">
        <v>466</v>
      </c>
      <c r="F61" s="1165" t="s">
        <v>521</v>
      </c>
      <c r="G61" s="1165"/>
      <c r="H61" s="1165"/>
      <c r="I61" s="1133"/>
      <c r="J61" s="1346"/>
      <c r="K61" s="1346"/>
      <c r="L61" s="1346"/>
      <c r="M61" s="1134">
        <f t="shared" si="8"/>
        <v>0</v>
      </c>
      <c r="N61" s="1133"/>
      <c r="O61" s="1133">
        <v>30120602.400000002</v>
      </c>
      <c r="P61" s="1133"/>
      <c r="Q61" s="1941">
        <f t="shared" si="14"/>
        <v>30120602.400000002</v>
      </c>
      <c r="R61" s="1135">
        <f t="shared" si="15"/>
        <v>30120602.400000002</v>
      </c>
      <c r="S61" s="1645">
        <v>30120602.400000002</v>
      </c>
      <c r="T61" s="1637">
        <v>30120602.400000002</v>
      </c>
      <c r="U61" s="1637">
        <v>30120602.400000002</v>
      </c>
      <c r="V61" s="1637">
        <f t="shared" ref="V61" si="28">+S61-U61</f>
        <v>0</v>
      </c>
      <c r="W61" s="1637"/>
      <c r="X61" s="1637"/>
      <c r="Y61" s="1637"/>
      <c r="Z61" s="1637"/>
      <c r="AA61" s="1637"/>
      <c r="AB61" s="1637"/>
      <c r="AC61" s="1637" t="s">
        <v>58</v>
      </c>
      <c r="AD61" s="1637" t="s">
        <v>1348</v>
      </c>
    </row>
    <row r="62" spans="1:30" s="1638" customFormat="1" ht="24.95" customHeight="1">
      <c r="A62" s="294"/>
      <c r="B62" s="294"/>
      <c r="C62" s="1733" t="s">
        <v>681</v>
      </c>
      <c r="D62" s="1940" t="s">
        <v>211</v>
      </c>
      <c r="E62" s="1194" t="s">
        <v>466</v>
      </c>
      <c r="F62" s="1165" t="s">
        <v>521</v>
      </c>
      <c r="G62" s="1165"/>
      <c r="H62" s="1165"/>
      <c r="I62" s="1133"/>
      <c r="J62" s="1346"/>
      <c r="K62" s="1346"/>
      <c r="L62" s="1346"/>
      <c r="M62" s="1134">
        <f t="shared" si="8"/>
        <v>0</v>
      </c>
      <c r="N62" s="1133"/>
      <c r="O62" s="1133">
        <v>30120602.400000002</v>
      </c>
      <c r="P62" s="1133"/>
      <c r="Q62" s="1941">
        <f t="shared" si="14"/>
        <v>30120602.400000002</v>
      </c>
      <c r="R62" s="1135">
        <f t="shared" si="15"/>
        <v>30120602.400000002</v>
      </c>
      <c r="S62" s="1645">
        <v>30120602.400000002</v>
      </c>
      <c r="T62" s="1637"/>
      <c r="U62" s="1637"/>
      <c r="V62" s="1637">
        <f>+S62-T62</f>
        <v>30120602.400000002</v>
      </c>
      <c r="W62" s="1637"/>
      <c r="X62" s="1637"/>
      <c r="Y62" s="1637"/>
      <c r="Z62" s="1637"/>
      <c r="AA62" s="1637">
        <v>30120602.400000002</v>
      </c>
      <c r="AB62" s="1637"/>
      <c r="AC62" s="1637" t="s">
        <v>58</v>
      </c>
      <c r="AD62" s="1637" t="s">
        <v>1348</v>
      </c>
    </row>
    <row r="63" spans="1:30" s="1638" customFormat="1" ht="24.95" customHeight="1">
      <c r="A63" s="294"/>
      <c r="B63" s="294"/>
      <c r="C63" s="1733" t="s">
        <v>638</v>
      </c>
      <c r="D63" s="1165" t="s">
        <v>211</v>
      </c>
      <c r="E63" s="1165" t="s">
        <v>466</v>
      </c>
      <c r="F63" s="1165" t="s">
        <v>521</v>
      </c>
      <c r="G63" s="1165"/>
      <c r="H63" s="1165"/>
      <c r="I63" s="1133">
        <v>1706800</v>
      </c>
      <c r="J63" s="1133"/>
      <c r="K63" s="1133"/>
      <c r="L63" s="1133"/>
      <c r="M63" s="1134">
        <f t="shared" si="8"/>
        <v>1706800</v>
      </c>
      <c r="N63" s="1133"/>
      <c r="O63" s="1133"/>
      <c r="P63" s="1133"/>
      <c r="Q63" s="1941">
        <f t="shared" si="14"/>
        <v>0</v>
      </c>
      <c r="R63" s="1135">
        <f t="shared" si="15"/>
        <v>1706800</v>
      </c>
      <c r="S63" s="1645">
        <v>1706800</v>
      </c>
      <c r="T63" s="1637">
        <v>1706800</v>
      </c>
      <c r="U63" s="1637"/>
      <c r="V63" s="1637">
        <f>+S63-T63</f>
        <v>0</v>
      </c>
      <c r="W63" s="1637"/>
      <c r="X63" s="1637"/>
      <c r="Y63" s="1637"/>
      <c r="Z63" s="1637"/>
      <c r="AA63" s="1637"/>
      <c r="AB63" s="1637"/>
      <c r="AC63" s="1637" t="s">
        <v>58</v>
      </c>
      <c r="AD63" s="1637" t="s">
        <v>1348</v>
      </c>
    </row>
    <row r="64" spans="1:30" s="1638" customFormat="1" ht="24.95" customHeight="1">
      <c r="A64" s="294"/>
      <c r="B64" s="294"/>
      <c r="C64" s="1733" t="s">
        <v>922</v>
      </c>
      <c r="D64" s="1165" t="s">
        <v>211</v>
      </c>
      <c r="E64" s="1165" t="s">
        <v>466</v>
      </c>
      <c r="F64" s="1165" t="s">
        <v>521</v>
      </c>
      <c r="G64" s="1165"/>
      <c r="H64" s="1165"/>
      <c r="I64" s="1133">
        <v>1706800</v>
      </c>
      <c r="J64" s="1133"/>
      <c r="K64" s="1133"/>
      <c r="L64" s="1133"/>
      <c r="M64" s="1134">
        <f t="shared" si="8"/>
        <v>1706800</v>
      </c>
      <c r="N64" s="1133"/>
      <c r="O64" s="1133"/>
      <c r="P64" s="1133"/>
      <c r="Q64" s="1941">
        <f t="shared" si="14"/>
        <v>0</v>
      </c>
      <c r="R64" s="1135">
        <f t="shared" si="15"/>
        <v>1706800</v>
      </c>
      <c r="S64" s="1645">
        <v>1706800</v>
      </c>
      <c r="T64" s="1637">
        <v>1706800</v>
      </c>
      <c r="U64" s="1637"/>
      <c r="V64" s="1637">
        <f t="shared" ref="V64" si="29">+S64-T64</f>
        <v>0</v>
      </c>
      <c r="W64" s="1637"/>
      <c r="X64" s="1637"/>
      <c r="Y64" s="1637"/>
      <c r="Z64" s="1637"/>
      <c r="AA64" s="1637"/>
      <c r="AB64" s="1637"/>
      <c r="AC64" s="1637" t="s">
        <v>58</v>
      </c>
      <c r="AD64" s="1637" t="s">
        <v>1348</v>
      </c>
    </row>
    <row r="65" spans="1:30" s="1638" customFormat="1" ht="24.95" customHeight="1">
      <c r="A65" s="294"/>
      <c r="B65" s="294"/>
      <c r="C65" s="1930" t="s">
        <v>896</v>
      </c>
      <c r="D65" s="1178" t="s">
        <v>211</v>
      </c>
      <c r="E65" s="1178" t="s">
        <v>466</v>
      </c>
      <c r="F65" s="1178" t="s">
        <v>521</v>
      </c>
      <c r="G65" s="1178"/>
      <c r="H65" s="1178"/>
      <c r="I65" s="1179">
        <v>45768244</v>
      </c>
      <c r="J65" s="1725"/>
      <c r="K65" s="1725"/>
      <c r="L65" s="1725"/>
      <c r="M65" s="1180">
        <f t="shared" si="8"/>
        <v>45768244</v>
      </c>
      <c r="N65" s="1179"/>
      <c r="O65" s="1179"/>
      <c r="P65" s="1179"/>
      <c r="Q65" s="1931">
        <f t="shared" ref="Q65" si="30">SUM(N65:P65)</f>
        <v>0</v>
      </c>
      <c r="R65" s="1932">
        <f t="shared" ref="R65:R67" si="31">+Q65+M65</f>
        <v>45768244</v>
      </c>
      <c r="S65" s="1645">
        <v>45768244</v>
      </c>
      <c r="T65" s="1637">
        <v>45768244</v>
      </c>
      <c r="U65" s="1637"/>
      <c r="V65" s="1637">
        <f t="shared" ref="V65" si="32">+S65-T65</f>
        <v>0</v>
      </c>
      <c r="W65" s="1637"/>
      <c r="X65" s="1637"/>
      <c r="Y65" s="1637"/>
      <c r="Z65" s="1637"/>
      <c r="AA65" s="1637"/>
      <c r="AB65" s="1637"/>
      <c r="AC65" s="1637" t="s">
        <v>58</v>
      </c>
      <c r="AD65" s="1637" t="s">
        <v>1348</v>
      </c>
    </row>
    <row r="66" spans="1:30" s="1333" customFormat="1" ht="24.95" customHeight="1">
      <c r="A66" s="294"/>
      <c r="B66" s="294"/>
      <c r="C66" s="1930" t="s">
        <v>204</v>
      </c>
      <c r="D66" s="1178"/>
      <c r="E66" s="1178"/>
      <c r="F66" s="1178"/>
      <c r="G66" s="1178"/>
      <c r="H66" s="1178"/>
      <c r="I66" s="1179"/>
      <c r="J66" s="1725"/>
      <c r="K66" s="1725"/>
      <c r="L66" s="1725">
        <v>24799393.324987195</v>
      </c>
      <c r="M66" s="1180">
        <f t="shared" si="8"/>
        <v>24799393.324987195</v>
      </c>
      <c r="N66" s="1179"/>
      <c r="O66" s="1179"/>
      <c r="P66" s="1179"/>
      <c r="Q66" s="1931"/>
      <c r="R66" s="1932">
        <f t="shared" si="31"/>
        <v>24799393.324987195</v>
      </c>
      <c r="S66" s="1331"/>
      <c r="T66" s="1332"/>
      <c r="U66" s="1332"/>
      <c r="V66" s="1332"/>
      <c r="W66" s="1332"/>
      <c r="X66" s="1332"/>
      <c r="Y66" s="1332"/>
      <c r="Z66" s="1332"/>
      <c r="AA66" s="1332"/>
      <c r="AB66" s="1332"/>
      <c r="AC66" s="1332"/>
      <c r="AD66" s="1332"/>
    </row>
    <row r="67" spans="1:30" s="1336" customFormat="1" ht="24.95" customHeight="1" thickBot="1">
      <c r="A67" s="294"/>
      <c r="B67" s="294"/>
      <c r="C67" s="1831" t="s">
        <v>204</v>
      </c>
      <c r="D67" s="1338"/>
      <c r="E67" s="1338"/>
      <c r="F67" s="1338"/>
      <c r="G67" s="1338"/>
      <c r="H67" s="1338"/>
      <c r="I67" s="1339"/>
      <c r="J67" s="1954"/>
      <c r="K67" s="1954"/>
      <c r="L67" s="1954">
        <f>133162476.111065-L66</f>
        <v>108363082.7860778</v>
      </c>
      <c r="M67" s="1281">
        <f t="shared" si="8"/>
        <v>108363082.7860778</v>
      </c>
      <c r="N67" s="1339"/>
      <c r="O67" s="1339"/>
      <c r="P67" s="1339"/>
      <c r="Q67" s="1955"/>
      <c r="R67" s="1956">
        <f t="shared" si="31"/>
        <v>108363082.7860778</v>
      </c>
      <c r="S67" s="1334"/>
      <c r="T67" s="1335"/>
      <c r="U67" s="1335"/>
      <c r="V67" s="1335"/>
      <c r="W67" s="1335"/>
      <c r="X67" s="1335"/>
      <c r="Y67" s="1335"/>
      <c r="Z67" s="1335"/>
      <c r="AA67" s="1335"/>
      <c r="AB67" s="1335"/>
      <c r="AC67" s="1335"/>
      <c r="AD67" s="1335"/>
    </row>
    <row r="68" spans="1:30" ht="24.95" customHeight="1" thickBot="1">
      <c r="A68" s="1875">
        <v>213</v>
      </c>
      <c r="B68" s="1876"/>
      <c r="C68" s="1957" t="s">
        <v>1120</v>
      </c>
      <c r="D68" s="1935"/>
      <c r="E68" s="1936"/>
      <c r="F68" s="1937" t="s">
        <v>1098</v>
      </c>
      <c r="G68" s="1936">
        <v>100</v>
      </c>
      <c r="H68" s="1936"/>
      <c r="I68" s="1938">
        <f t="shared" ref="I68" si="33">+I69+I75+I78</f>
        <v>55938964.399999999</v>
      </c>
      <c r="J68" s="1938">
        <f>+J69+J75+J78</f>
        <v>733345587.449</v>
      </c>
      <c r="K68" s="1938">
        <f t="shared" ref="K68:R68" si="34">+K69+K75+K78</f>
        <v>77124804.551000029</v>
      </c>
      <c r="L68" s="1938">
        <f t="shared" ref="L68" si="35">+L69+L75+L78</f>
        <v>0</v>
      </c>
      <c r="M68" s="1938">
        <f t="shared" si="34"/>
        <v>866409356.39999998</v>
      </c>
      <c r="N68" s="1938">
        <f t="shared" si="34"/>
        <v>200000000</v>
      </c>
      <c r="O68" s="1938">
        <f t="shared" si="34"/>
        <v>347571638.71359992</v>
      </c>
      <c r="P68" s="1938">
        <f t="shared" si="34"/>
        <v>0</v>
      </c>
      <c r="Q68" s="1938">
        <f t="shared" si="34"/>
        <v>547571638.71359992</v>
      </c>
      <c r="R68" s="1939">
        <f t="shared" si="34"/>
        <v>1413980995.1136</v>
      </c>
      <c r="S68" s="861"/>
      <c r="T68" s="861"/>
      <c r="U68" s="861"/>
      <c r="V68" s="861"/>
      <c r="W68" s="861"/>
      <c r="X68" s="861"/>
      <c r="Y68" s="861"/>
      <c r="Z68" s="861"/>
      <c r="AA68" s="861"/>
      <c r="AB68" s="861"/>
      <c r="AC68" s="861"/>
      <c r="AD68" s="861"/>
    </row>
    <row r="69" spans="1:30" ht="33.75" customHeight="1">
      <c r="A69" s="1875"/>
      <c r="B69" s="1876">
        <v>325</v>
      </c>
      <c r="C69" s="1920" t="s">
        <v>1119</v>
      </c>
      <c r="D69" s="1922"/>
      <c r="E69" s="1922"/>
      <c r="F69" s="1922" t="s">
        <v>1098</v>
      </c>
      <c r="G69" s="1922">
        <v>100</v>
      </c>
      <c r="H69" s="1922"/>
      <c r="I69" s="1923">
        <f>SUM(I70:I74)</f>
        <v>55938964.399999999</v>
      </c>
      <c r="J69" s="1923">
        <f t="shared" ref="J69:P69" si="36">SUM(J70:J74)</f>
        <v>230735665.84899998</v>
      </c>
      <c r="K69" s="1923">
        <f t="shared" si="36"/>
        <v>46602366.551000021</v>
      </c>
      <c r="L69" s="1923">
        <f t="shared" ref="L69" si="37">SUM(L70:L74)</f>
        <v>0</v>
      </c>
      <c r="M69" s="1923">
        <f t="shared" si="36"/>
        <v>333276996.79999995</v>
      </c>
      <c r="N69" s="1923">
        <f t="shared" si="36"/>
        <v>0</v>
      </c>
      <c r="O69" s="1923">
        <f t="shared" si="36"/>
        <v>0</v>
      </c>
      <c r="P69" s="1923">
        <f t="shared" si="36"/>
        <v>0</v>
      </c>
      <c r="Q69" s="1923">
        <f>SUM(Q70:Q74)</f>
        <v>0</v>
      </c>
      <c r="R69" s="1925">
        <f>SUM(R70:R74)</f>
        <v>333276996.79999995</v>
      </c>
      <c r="S69" s="1060"/>
      <c r="T69" s="861"/>
      <c r="U69" s="861"/>
      <c r="V69" s="861"/>
      <c r="W69" s="861"/>
      <c r="X69" s="861"/>
      <c r="Y69" s="861"/>
      <c r="Z69" s="861"/>
      <c r="AA69" s="861"/>
      <c r="AB69" s="861"/>
      <c r="AC69" s="861"/>
      <c r="AD69" s="861"/>
    </row>
    <row r="70" spans="1:30" s="1638" customFormat="1" ht="33.75" customHeight="1">
      <c r="A70" s="294"/>
      <c r="B70" s="294"/>
      <c r="C70" s="1733" t="s">
        <v>685</v>
      </c>
      <c r="D70" s="1165" t="s">
        <v>211</v>
      </c>
      <c r="E70" s="1165" t="s">
        <v>466</v>
      </c>
      <c r="F70" s="1165" t="s">
        <v>521</v>
      </c>
      <c r="G70" s="1165"/>
      <c r="H70" s="1165"/>
      <c r="I70" s="1133"/>
      <c r="J70" s="1346">
        <v>63382620.400000006</v>
      </c>
      <c r="K70" s="1133"/>
      <c r="L70" s="1133"/>
      <c r="M70" s="1134">
        <f t="shared" ref="M70:M74" si="38">SUM(I70:L70)</f>
        <v>63382620.400000006</v>
      </c>
      <c r="N70" s="1133"/>
      <c r="O70" s="1133"/>
      <c r="P70" s="1133"/>
      <c r="Q70" s="1941">
        <f>SUM(N70:P70)</f>
        <v>0</v>
      </c>
      <c r="R70" s="1135">
        <f>+Q70+M70</f>
        <v>63382620.400000006</v>
      </c>
      <c r="S70" s="1637">
        <v>63382620</v>
      </c>
      <c r="T70" s="1637">
        <v>63382620</v>
      </c>
      <c r="U70" s="1637"/>
      <c r="V70" s="1637">
        <f>+S70-T70</f>
        <v>0</v>
      </c>
      <c r="W70" s="1637"/>
      <c r="X70" s="1637"/>
      <c r="Y70" s="1637"/>
      <c r="Z70" s="1637"/>
      <c r="AA70" s="1637"/>
      <c r="AB70" s="1637"/>
      <c r="AC70" s="1637" t="s">
        <v>45</v>
      </c>
      <c r="AD70" s="1637" t="s">
        <v>1348</v>
      </c>
    </row>
    <row r="71" spans="1:30" s="1638" customFormat="1" ht="33.75" customHeight="1">
      <c r="A71" s="294"/>
      <c r="B71" s="294"/>
      <c r="C71" s="1733" t="s">
        <v>675</v>
      </c>
      <c r="D71" s="1940" t="s">
        <v>211</v>
      </c>
      <c r="E71" s="1194" t="s">
        <v>466</v>
      </c>
      <c r="F71" s="1165" t="s">
        <v>521</v>
      </c>
      <c r="G71" s="1165"/>
      <c r="H71" s="1165"/>
      <c r="I71" s="1133"/>
      <c r="J71" s="1346">
        <v>102077483.19999999</v>
      </c>
      <c r="K71" s="1133"/>
      <c r="L71" s="1133"/>
      <c r="M71" s="1134">
        <f t="shared" si="38"/>
        <v>102077483.19999999</v>
      </c>
      <c r="N71" s="1133"/>
      <c r="O71" s="1133"/>
      <c r="P71" s="1133"/>
      <c r="Q71" s="1941">
        <f t="shared" ref="Q71:Q74" si="39">SUM(N71:P71)</f>
        <v>0</v>
      </c>
      <c r="R71" s="1135">
        <f t="shared" ref="R71:R74" si="40">+Q71+M71</f>
        <v>102077483.19999999</v>
      </c>
      <c r="S71" s="1637">
        <v>102077483</v>
      </c>
      <c r="T71" s="1637">
        <v>102077483</v>
      </c>
      <c r="U71" s="1637"/>
      <c r="V71" s="1637">
        <f t="shared" ref="V71:V73" si="41">+S71-T71</f>
        <v>0</v>
      </c>
      <c r="W71" s="1637"/>
      <c r="X71" s="1637"/>
      <c r="Y71" s="1637"/>
      <c r="Z71" s="1637"/>
      <c r="AA71" s="1637"/>
      <c r="AB71" s="1637"/>
      <c r="AC71" s="1637" t="s">
        <v>58</v>
      </c>
      <c r="AD71" s="1637" t="s">
        <v>1349</v>
      </c>
    </row>
    <row r="72" spans="1:30" s="1638" customFormat="1" ht="33.75" customHeight="1">
      <c r="A72" s="294"/>
      <c r="B72" s="294"/>
      <c r="C72" s="1733" t="s">
        <v>675</v>
      </c>
      <c r="D72" s="1940" t="s">
        <v>211</v>
      </c>
      <c r="E72" s="1194" t="s">
        <v>466</v>
      </c>
      <c r="F72" s="1165" t="s">
        <v>521</v>
      </c>
      <c r="G72" s="1165"/>
      <c r="H72" s="1165"/>
      <c r="I72" s="1133">
        <v>46602366.551000021</v>
      </c>
      <c r="J72" s="1346">
        <v>9336597.8489999771</v>
      </c>
      <c r="K72" s="1133"/>
      <c r="L72" s="1133"/>
      <c r="M72" s="1134">
        <f t="shared" si="38"/>
        <v>55938964.399999999</v>
      </c>
      <c r="N72" s="1133"/>
      <c r="O72" s="1133"/>
      <c r="P72" s="1133"/>
      <c r="Q72" s="1941">
        <f t="shared" si="39"/>
        <v>0</v>
      </c>
      <c r="R72" s="1135">
        <f t="shared" si="40"/>
        <v>55938964.399999999</v>
      </c>
      <c r="S72" s="1637">
        <v>55938964</v>
      </c>
      <c r="T72" s="1637">
        <v>55938964</v>
      </c>
      <c r="U72" s="1637"/>
      <c r="V72" s="1637">
        <f t="shared" si="41"/>
        <v>0</v>
      </c>
      <c r="W72" s="1637"/>
      <c r="X72" s="1637"/>
      <c r="Y72" s="1637"/>
      <c r="Z72" s="1637"/>
      <c r="AA72" s="1637"/>
      <c r="AB72" s="1637"/>
      <c r="AC72" s="1637" t="s">
        <v>58</v>
      </c>
      <c r="AD72" s="1637" t="s">
        <v>1349</v>
      </c>
    </row>
    <row r="73" spans="1:30" s="1638" customFormat="1" ht="33.75" customHeight="1">
      <c r="A73" s="294"/>
      <c r="B73" s="294"/>
      <c r="C73" s="1733" t="s">
        <v>675</v>
      </c>
      <c r="D73" s="1940" t="s">
        <v>211</v>
      </c>
      <c r="E73" s="1194" t="s">
        <v>466</v>
      </c>
      <c r="F73" s="1165" t="s">
        <v>521</v>
      </c>
      <c r="G73" s="1165"/>
      <c r="H73" s="1165"/>
      <c r="I73" s="1133"/>
      <c r="J73" s="1346">
        <v>55938964.400000006</v>
      </c>
      <c r="K73" s="1133"/>
      <c r="L73" s="1133"/>
      <c r="M73" s="1134">
        <f t="shared" si="38"/>
        <v>55938964.400000006</v>
      </c>
      <c r="N73" s="1133"/>
      <c r="O73" s="1133"/>
      <c r="P73" s="1133"/>
      <c r="Q73" s="1941">
        <f t="shared" si="39"/>
        <v>0</v>
      </c>
      <c r="R73" s="1135">
        <f t="shared" si="40"/>
        <v>55938964.400000006</v>
      </c>
      <c r="S73" s="1637">
        <v>55938964</v>
      </c>
      <c r="T73" s="1637">
        <v>55938964</v>
      </c>
      <c r="U73" s="1637"/>
      <c r="V73" s="1637">
        <f t="shared" si="41"/>
        <v>0</v>
      </c>
      <c r="W73" s="1637"/>
      <c r="X73" s="1637"/>
      <c r="Y73" s="1637"/>
      <c r="Z73" s="1637"/>
      <c r="AA73" s="1637"/>
      <c r="AB73" s="1637"/>
      <c r="AC73" s="1637" t="s">
        <v>58</v>
      </c>
      <c r="AD73" s="1637" t="s">
        <v>1349</v>
      </c>
    </row>
    <row r="74" spans="1:30" s="1638" customFormat="1" ht="33.75" customHeight="1">
      <c r="A74" s="294"/>
      <c r="B74" s="294"/>
      <c r="C74" s="1733" t="s">
        <v>675</v>
      </c>
      <c r="D74" s="1940" t="s">
        <v>211</v>
      </c>
      <c r="E74" s="1194" t="s">
        <v>466</v>
      </c>
      <c r="F74" s="1165" t="s">
        <v>521</v>
      </c>
      <c r="G74" s="1165"/>
      <c r="H74" s="1165"/>
      <c r="I74" s="1133">
        <v>9336597.8489999771</v>
      </c>
      <c r="J74" s="1958"/>
      <c r="K74" s="1133">
        <f>55938964.4-I74</f>
        <v>46602366.551000021</v>
      </c>
      <c r="L74" s="1133"/>
      <c r="M74" s="1134">
        <f t="shared" si="38"/>
        <v>55938964.399999999</v>
      </c>
      <c r="N74" s="1133"/>
      <c r="O74" s="1133"/>
      <c r="P74" s="1133"/>
      <c r="Q74" s="1941">
        <f t="shared" si="39"/>
        <v>0</v>
      </c>
      <c r="R74" s="1135">
        <f t="shared" si="40"/>
        <v>55938964.399999999</v>
      </c>
      <c r="S74" s="1637">
        <v>55938964</v>
      </c>
      <c r="T74" s="1637">
        <v>55938964</v>
      </c>
      <c r="U74" s="1637"/>
      <c r="V74" s="1637">
        <f>+S74-T74</f>
        <v>0</v>
      </c>
      <c r="W74" s="1637"/>
      <c r="X74" s="1637"/>
      <c r="Y74" s="1637"/>
      <c r="Z74" s="1637"/>
      <c r="AA74" s="1637"/>
      <c r="AB74" s="1637"/>
      <c r="AC74" s="1637" t="s">
        <v>58</v>
      </c>
      <c r="AD74" s="1637" t="s">
        <v>1349</v>
      </c>
    </row>
    <row r="75" spans="1:30" ht="33.75" customHeight="1">
      <c r="A75" s="1875"/>
      <c r="B75" s="1876" t="s">
        <v>1482</v>
      </c>
      <c r="C75" s="1959" t="s">
        <v>1121</v>
      </c>
      <c r="D75" s="1960"/>
      <c r="E75" s="1960"/>
      <c r="F75" s="1960" t="s">
        <v>1098</v>
      </c>
      <c r="G75" s="1960">
        <v>100</v>
      </c>
      <c r="H75" s="1960"/>
      <c r="I75" s="1961">
        <f>SUM(I76:I77)</f>
        <v>0</v>
      </c>
      <c r="J75" s="1961">
        <f t="shared" ref="J75:R75" si="42">SUM(J76:J77)</f>
        <v>502609921.60000002</v>
      </c>
      <c r="K75" s="1961">
        <f t="shared" si="42"/>
        <v>30522438</v>
      </c>
      <c r="L75" s="1961"/>
      <c r="M75" s="1961">
        <f t="shared" si="42"/>
        <v>533132359.60000002</v>
      </c>
      <c r="N75" s="1961">
        <f t="shared" si="42"/>
        <v>200000000</v>
      </c>
      <c r="O75" s="1961">
        <f t="shared" si="42"/>
        <v>347571638.71359992</v>
      </c>
      <c r="P75" s="1961">
        <f t="shared" si="42"/>
        <v>0</v>
      </c>
      <c r="Q75" s="1961">
        <f t="shared" si="42"/>
        <v>547571638.71359992</v>
      </c>
      <c r="R75" s="1962">
        <f t="shared" si="42"/>
        <v>1080703998.3136001</v>
      </c>
      <c r="S75" s="1060"/>
      <c r="T75" s="861"/>
      <c r="U75" s="861"/>
      <c r="V75" s="861"/>
      <c r="W75" s="861"/>
      <c r="X75" s="861"/>
      <c r="Y75" s="861"/>
      <c r="Z75" s="861"/>
      <c r="AA75" s="861"/>
      <c r="AB75" s="861"/>
    </row>
    <row r="76" spans="1:30" s="1080" customFormat="1" ht="24.95" customHeight="1">
      <c r="A76" s="294"/>
      <c r="B76" s="294"/>
      <c r="C76" s="1733" t="s">
        <v>509</v>
      </c>
      <c r="D76" s="1165" t="s">
        <v>211</v>
      </c>
      <c r="E76" s="1165" t="s">
        <v>466</v>
      </c>
      <c r="F76" s="1165" t="s">
        <v>510</v>
      </c>
      <c r="G76" s="1165">
        <v>1</v>
      </c>
      <c r="H76" s="1165"/>
      <c r="I76" s="1134"/>
      <c r="J76" s="1133">
        <v>295000000</v>
      </c>
      <c r="K76" s="1133">
        <v>30522438</v>
      </c>
      <c r="L76" s="1133"/>
      <c r="M76" s="1134">
        <f>SUM(I76:L76)</f>
        <v>325522438</v>
      </c>
      <c r="N76" s="1623"/>
      <c r="O76" s="1133"/>
      <c r="P76" s="1134"/>
      <c r="Q76" s="1963">
        <f t="shared" ref="Q76:Q77" si="43">SUM(N76:P76)</f>
        <v>0</v>
      </c>
      <c r="R76" s="1964">
        <f t="shared" ref="R76:R77" si="44">+Q76+M76</f>
        <v>325522438</v>
      </c>
      <c r="S76" s="1083">
        <v>325522438</v>
      </c>
      <c r="T76" s="1083">
        <v>325522438</v>
      </c>
      <c r="U76" s="1083">
        <v>0</v>
      </c>
      <c r="V76" s="1083">
        <f>+S76-T76</f>
        <v>0</v>
      </c>
      <c r="W76" s="1083"/>
      <c r="X76" s="1083"/>
      <c r="Y76" s="1083"/>
      <c r="Z76" s="1083"/>
      <c r="AA76" s="1083"/>
      <c r="AB76" s="1083"/>
      <c r="AC76" s="1080" t="s">
        <v>58</v>
      </c>
      <c r="AD76" s="1080" t="s">
        <v>1346</v>
      </c>
    </row>
    <row r="77" spans="1:30" s="1080" customFormat="1" ht="24.95" customHeight="1">
      <c r="A77" s="294"/>
      <c r="B77" s="294"/>
      <c r="C77" s="1733" t="s">
        <v>511</v>
      </c>
      <c r="D77" s="1165" t="s">
        <v>211</v>
      </c>
      <c r="E77" s="1165" t="s">
        <v>466</v>
      </c>
      <c r="F77" s="1165"/>
      <c r="G77" s="1165"/>
      <c r="H77" s="1165"/>
      <c r="I77" s="1134"/>
      <c r="J77" s="1133">
        <v>207609921.60000002</v>
      </c>
      <c r="K77" s="1133"/>
      <c r="L77" s="1133"/>
      <c r="M77" s="1134">
        <f>SUM(I77:L77)</f>
        <v>207609921.60000002</v>
      </c>
      <c r="N77" s="1623">
        <v>200000000</v>
      </c>
      <c r="O77" s="1133">
        <f>545390078.4*1.004-N77</f>
        <v>347571638.71359992</v>
      </c>
      <c r="P77" s="1134"/>
      <c r="Q77" s="1963">
        <f t="shared" si="43"/>
        <v>547571638.71359992</v>
      </c>
      <c r="R77" s="1964">
        <f t="shared" si="44"/>
        <v>755181560.31359994</v>
      </c>
      <c r="S77" s="1083">
        <v>755181560</v>
      </c>
      <c r="T77" s="1083"/>
      <c r="U77" s="1083"/>
      <c r="V77" s="1083">
        <f>+S77-T77</f>
        <v>755181560</v>
      </c>
      <c r="W77" s="1083"/>
      <c r="X77" s="1083">
        <v>207609921.60000002</v>
      </c>
      <c r="Y77" s="1083"/>
      <c r="Z77" s="1083">
        <v>200000000</v>
      </c>
      <c r="AA77" s="1083">
        <v>347571638.71359992</v>
      </c>
      <c r="AB77" s="1083"/>
      <c r="AC77" s="1080" t="s">
        <v>58</v>
      </c>
      <c r="AD77" s="1080" t="s">
        <v>1347</v>
      </c>
    </row>
    <row r="78" spans="1:30" ht="33.75" customHeight="1" thickBot="1">
      <c r="A78" s="1875"/>
      <c r="B78" s="1876" t="s">
        <v>1483</v>
      </c>
      <c r="C78" s="1965" t="s">
        <v>1412</v>
      </c>
      <c r="D78" s="1966"/>
      <c r="E78" s="1966"/>
      <c r="F78" s="1966" t="s">
        <v>1115</v>
      </c>
      <c r="G78" s="1966">
        <v>100</v>
      </c>
      <c r="H78" s="1966"/>
      <c r="I78" s="1967"/>
      <c r="J78" s="1968"/>
      <c r="K78" s="1968"/>
      <c r="L78" s="1968"/>
      <c r="M78" s="1969"/>
      <c r="N78" s="1970"/>
      <c r="O78" s="1970"/>
      <c r="P78" s="1970"/>
      <c r="Q78" s="1971"/>
      <c r="R78" s="1972"/>
      <c r="S78" s="1060"/>
      <c r="T78" s="861"/>
      <c r="U78" s="861"/>
      <c r="V78" s="861"/>
      <c r="W78" s="861"/>
      <c r="X78" s="861"/>
      <c r="Y78" s="861"/>
      <c r="Z78" s="861"/>
      <c r="AA78" s="861"/>
      <c r="AB78" s="861"/>
    </row>
    <row r="79" spans="1:30" ht="24.95" customHeight="1" thickBot="1">
      <c r="A79" s="1874" t="s">
        <v>318</v>
      </c>
      <c r="B79" s="1877"/>
      <c r="C79" s="2273" t="s">
        <v>10</v>
      </c>
      <c r="D79" s="2274"/>
      <c r="E79" s="2274"/>
      <c r="F79" s="2274"/>
      <c r="G79" s="2274"/>
      <c r="H79" s="2291"/>
      <c r="I79" s="206">
        <f>I68+I18+I14+I10</f>
        <v>938269586.90999973</v>
      </c>
      <c r="J79" s="206">
        <f t="shared" ref="J79:R79" si="45">J68+J18+J14+J10</f>
        <v>733345587.449</v>
      </c>
      <c r="K79" s="206">
        <f t="shared" si="45"/>
        <v>530768429.44740045</v>
      </c>
      <c r="L79" s="206">
        <f t="shared" si="45"/>
        <v>133162476.111065</v>
      </c>
      <c r="M79" s="206">
        <f t="shared" si="45"/>
        <v>2335546079.9174647</v>
      </c>
      <c r="N79" s="206">
        <f t="shared" si="45"/>
        <v>200000000</v>
      </c>
      <c r="O79" s="206">
        <f t="shared" si="45"/>
        <v>651375677.70359993</v>
      </c>
      <c r="P79" s="206">
        <f t="shared" si="45"/>
        <v>51000000</v>
      </c>
      <c r="Q79" s="206">
        <f t="shared" si="45"/>
        <v>902375677.70359993</v>
      </c>
      <c r="R79" s="206">
        <f t="shared" si="45"/>
        <v>3237921757.6210651</v>
      </c>
      <c r="S79" s="861"/>
      <c r="T79" s="861"/>
      <c r="U79" s="861"/>
      <c r="V79" s="861"/>
      <c r="W79" s="861"/>
      <c r="X79" s="861"/>
      <c r="Y79" s="861"/>
      <c r="Z79" s="861"/>
      <c r="AA79" s="861"/>
      <c r="AB79" s="861"/>
    </row>
    <row r="80" spans="1:30" ht="24.95" customHeight="1" thickBot="1">
      <c r="B80" s="1877"/>
      <c r="C80" s="1973"/>
      <c r="M80" s="1974"/>
      <c r="N80" s="1974"/>
      <c r="O80" s="1974"/>
      <c r="P80" s="1974"/>
      <c r="Q80" s="1974"/>
      <c r="R80" s="1974"/>
      <c r="S80" s="861"/>
      <c r="T80" s="860"/>
      <c r="U80" s="861"/>
      <c r="V80" s="861"/>
      <c r="W80" s="861"/>
      <c r="X80" s="861"/>
      <c r="Y80" s="861"/>
      <c r="Z80" s="861"/>
      <c r="AA80" s="861"/>
      <c r="AB80" s="861"/>
    </row>
    <row r="81" spans="3:28" ht="24.95" customHeight="1" thickBot="1">
      <c r="C81" s="1973"/>
      <c r="I81" s="183">
        <v>938269586.90999973</v>
      </c>
      <c r="J81" s="183">
        <v>733345587.449</v>
      </c>
      <c r="K81" s="183">
        <v>530768429.44740045</v>
      </c>
      <c r="L81" s="183">
        <v>133162476.111065</v>
      </c>
      <c r="M81" s="223">
        <v>2335546079.9174647</v>
      </c>
      <c r="N81" s="183">
        <v>200000000</v>
      </c>
      <c r="O81" s="183">
        <v>651375677.70359993</v>
      </c>
      <c r="P81" s="183">
        <v>51000000</v>
      </c>
      <c r="Q81" s="223">
        <v>902375677.70359993</v>
      </c>
      <c r="R81" s="223">
        <v>3237921757.6210651</v>
      </c>
      <c r="S81" s="861"/>
      <c r="T81" s="861"/>
      <c r="U81" s="861"/>
      <c r="V81" s="861"/>
      <c r="W81" s="861"/>
      <c r="X81" s="861"/>
      <c r="Y81" s="861"/>
      <c r="Z81" s="861"/>
      <c r="AA81" s="861"/>
      <c r="AB81" s="861"/>
    </row>
    <row r="82" spans="3:28" ht="24.95" customHeight="1">
      <c r="C82" s="1973"/>
      <c r="M82" s="1974"/>
      <c r="N82" s="1973"/>
      <c r="O82" s="1973"/>
      <c r="P82" s="1973"/>
      <c r="Q82" s="1973"/>
      <c r="S82" s="861"/>
      <c r="T82" s="861"/>
      <c r="U82" s="861"/>
      <c r="V82" s="861"/>
      <c r="W82" s="861"/>
      <c r="X82" s="861"/>
      <c r="Y82" s="861"/>
      <c r="Z82" s="861"/>
      <c r="AA82" s="861"/>
      <c r="AB82" s="861"/>
    </row>
    <row r="83" spans="3:28" ht="24.95" customHeight="1">
      <c r="C83" s="1973"/>
      <c r="D83" s="1976"/>
      <c r="I83" s="1976">
        <f t="shared" ref="I83:O83" si="46">+I81-I79</f>
        <v>0</v>
      </c>
      <c r="J83" s="1976">
        <f t="shared" si="46"/>
        <v>0</v>
      </c>
      <c r="K83" s="1976">
        <f t="shared" si="46"/>
        <v>0</v>
      </c>
      <c r="L83" s="1976"/>
      <c r="M83" s="1976">
        <f t="shared" si="46"/>
        <v>0</v>
      </c>
      <c r="N83" s="1976">
        <f t="shared" si="46"/>
        <v>0</v>
      </c>
      <c r="O83" s="1976">
        <f t="shared" si="46"/>
        <v>0</v>
      </c>
      <c r="P83" s="1976"/>
      <c r="Q83" s="1976">
        <f>+Q81-Q79</f>
        <v>0</v>
      </c>
      <c r="R83" s="1976">
        <f>+R81-R79</f>
        <v>0</v>
      </c>
      <c r="S83" s="861"/>
      <c r="T83" s="861"/>
      <c r="U83" s="861"/>
      <c r="V83" s="861"/>
      <c r="W83" s="861"/>
      <c r="X83" s="861"/>
      <c r="Y83" s="861"/>
      <c r="Z83" s="861"/>
      <c r="AA83" s="861"/>
      <c r="AB83" s="861"/>
    </row>
    <row r="84" spans="3:28" ht="24.95" customHeight="1">
      <c r="C84" s="1973"/>
      <c r="I84" s="1976"/>
      <c r="M84" s="1974"/>
      <c r="N84" s="1973"/>
      <c r="O84" s="1973"/>
      <c r="P84" s="1973"/>
      <c r="Q84" s="1973"/>
      <c r="S84" s="861"/>
      <c r="T84" s="861"/>
      <c r="U84" s="861"/>
      <c r="V84" s="861"/>
      <c r="W84" s="861"/>
      <c r="X84" s="861"/>
      <c r="Y84" s="861"/>
      <c r="Z84" s="861"/>
      <c r="AA84" s="861"/>
      <c r="AB84" s="861"/>
    </row>
    <row r="85" spans="3:28" ht="24.95" customHeight="1">
      <c r="D85" s="1975"/>
      <c r="E85" s="1975"/>
      <c r="F85" s="1975"/>
      <c r="G85" s="1975"/>
      <c r="H85" s="1975"/>
      <c r="I85" s="1975"/>
      <c r="J85" s="1975"/>
      <c r="S85" s="861"/>
      <c r="T85" s="861"/>
      <c r="U85" s="861"/>
      <c r="V85" s="861"/>
      <c r="W85" s="861"/>
      <c r="X85" s="861"/>
      <c r="Y85" s="861"/>
      <c r="Z85" s="861"/>
      <c r="AA85" s="861"/>
      <c r="AB85" s="861"/>
    </row>
  </sheetData>
  <autoFilter ref="A9:U79"/>
  <mergeCells count="32">
    <mergeCell ref="C79:H79"/>
    <mergeCell ref="J7:J9"/>
    <mergeCell ref="K7:K9"/>
    <mergeCell ref="M7:M9"/>
    <mergeCell ref="C6:R6"/>
    <mergeCell ref="F7:F9"/>
    <mergeCell ref="G7:G9"/>
    <mergeCell ref="H7:H9"/>
    <mergeCell ref="I7:I9"/>
    <mergeCell ref="R7:R9"/>
    <mergeCell ref="N8:N9"/>
    <mergeCell ref="O8:O9"/>
    <mergeCell ref="P8:P9"/>
    <mergeCell ref="N7:P7"/>
    <mergeCell ref="Q7:Q9"/>
    <mergeCell ref="L7:L9"/>
    <mergeCell ref="A7:A9"/>
    <mergeCell ref="B7:B9"/>
    <mergeCell ref="C7:C9"/>
    <mergeCell ref="D7:D9"/>
    <mergeCell ref="E7:E9"/>
    <mergeCell ref="C5:R5"/>
    <mergeCell ref="C1:C3"/>
    <mergeCell ref="D1:O3"/>
    <mergeCell ref="Q1:R1"/>
    <mergeCell ref="Q2:R2"/>
    <mergeCell ref="Q3:R3"/>
    <mergeCell ref="AC8:AD8"/>
    <mergeCell ref="W7:AA7"/>
    <mergeCell ref="V8:V9"/>
    <mergeCell ref="W8:Y8"/>
    <mergeCell ref="Z8:AB8"/>
  </mergeCells>
  <pageMargins left="0.7" right="0.7" top="0.75" bottom="0.75" header="0.3" footer="0.3"/>
  <pageSetup paperSize="9" orientation="portrait" verticalDpi="597"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L26"/>
  <sheetViews>
    <sheetView workbookViewId="0">
      <selection activeCell="C19" sqref="C19"/>
    </sheetView>
  </sheetViews>
  <sheetFormatPr baseColWidth="10" defaultColWidth="11.42578125" defaultRowHeight="12.75"/>
  <cols>
    <col min="1" max="1" width="8.5703125" style="1" customWidth="1"/>
    <col min="2" max="2" width="39.42578125" style="1" customWidth="1"/>
    <col min="3" max="3" width="15" style="96" customWidth="1"/>
    <col min="4" max="4" width="11.5703125" style="96" customWidth="1"/>
    <col min="5" max="5" width="14.28515625" style="96" bestFit="1" customWidth="1"/>
    <col min="6" max="6" width="12.5703125" style="96" customWidth="1"/>
    <col min="7" max="7" width="14.28515625" style="96" bestFit="1" customWidth="1"/>
    <col min="8" max="8" width="16.42578125" style="1" customWidth="1"/>
    <col min="9" max="9" width="14.28515625" style="1" customWidth="1"/>
    <col min="10" max="10" width="14.42578125" style="1" customWidth="1"/>
    <col min="11" max="11" width="15.28515625" style="1" customWidth="1"/>
    <col min="12" max="12" width="16.7109375" style="1" customWidth="1"/>
    <col min="13" max="13" width="11.42578125" style="1"/>
    <col min="14" max="14" width="17.7109375" style="1" bestFit="1" customWidth="1"/>
    <col min="15" max="15" width="20.140625" style="1" customWidth="1"/>
    <col min="16" max="16384" width="11.42578125" style="1"/>
  </cols>
  <sheetData>
    <row r="1" spans="1:12" ht="23.25" customHeight="1">
      <c r="B1" s="2151"/>
      <c r="C1" s="2164"/>
      <c r="D1" s="2164"/>
      <c r="E1" s="2164"/>
      <c r="F1" s="2164"/>
      <c r="G1" s="2164"/>
      <c r="H1" s="2164"/>
      <c r="I1" s="2164"/>
      <c r="J1" s="2165"/>
      <c r="K1" s="2248" t="s">
        <v>980</v>
      </c>
      <c r="L1" s="2249"/>
    </row>
    <row r="2" spans="1:12" ht="23.25" customHeight="1">
      <c r="B2" s="2152"/>
      <c r="C2" s="2167"/>
      <c r="D2" s="2167"/>
      <c r="E2" s="2167"/>
      <c r="F2" s="2167"/>
      <c r="G2" s="2167"/>
      <c r="H2" s="2167"/>
      <c r="I2" s="2167"/>
      <c r="J2" s="2168"/>
      <c r="K2" s="2250" t="s">
        <v>365</v>
      </c>
      <c r="L2" s="2251"/>
    </row>
    <row r="3" spans="1:12" ht="23.25" customHeight="1" thickBot="1">
      <c r="B3" s="2153"/>
      <c r="C3" s="2170"/>
      <c r="D3" s="2170"/>
      <c r="E3" s="2170"/>
      <c r="F3" s="2170"/>
      <c r="G3" s="2170"/>
      <c r="H3" s="2170"/>
      <c r="I3" s="2170"/>
      <c r="J3" s="2171"/>
      <c r="K3" s="2252" t="s">
        <v>366</v>
      </c>
      <c r="L3" s="2253"/>
    </row>
    <row r="4" spans="1:12" ht="13.5" customHeight="1" thickBot="1">
      <c r="C4" s="1"/>
      <c r="D4" s="1"/>
      <c r="E4" s="1"/>
      <c r="F4" s="1"/>
      <c r="G4" s="1"/>
    </row>
    <row r="5" spans="1:12" ht="24.75" customHeight="1" thickBot="1">
      <c r="B5" s="2278" t="s">
        <v>179</v>
      </c>
      <c r="C5" s="2279"/>
      <c r="D5" s="2279"/>
      <c r="E5" s="2279"/>
      <c r="F5" s="2279"/>
      <c r="G5" s="2279"/>
      <c r="H5" s="2279"/>
      <c r="I5" s="2279"/>
      <c r="J5" s="2279"/>
      <c r="K5" s="2279"/>
      <c r="L5" s="2280"/>
    </row>
    <row r="6" spans="1:12" ht="13.5" thickBot="1">
      <c r="B6" s="2145" t="s">
        <v>1394</v>
      </c>
      <c r="C6" s="2146"/>
      <c r="D6" s="2146"/>
      <c r="E6" s="2146"/>
      <c r="F6" s="2146"/>
      <c r="G6" s="2146"/>
      <c r="H6" s="2146"/>
      <c r="I6" s="2146"/>
      <c r="J6" s="2146"/>
      <c r="K6" s="2146"/>
      <c r="L6" s="2147"/>
    </row>
    <row r="7" spans="1:12" ht="20.25" customHeight="1" thickBot="1">
      <c r="A7" s="2270" t="s">
        <v>278</v>
      </c>
      <c r="B7" s="2135" t="s">
        <v>311</v>
      </c>
      <c r="C7" s="2135" t="s">
        <v>313</v>
      </c>
      <c r="D7" s="2135" t="s">
        <v>191</v>
      </c>
      <c r="E7" s="2292" t="s">
        <v>192</v>
      </c>
      <c r="F7" s="2292" t="s">
        <v>194</v>
      </c>
      <c r="G7" s="2292" t="s">
        <v>193</v>
      </c>
      <c r="H7" s="2135" t="s">
        <v>1045</v>
      </c>
      <c r="I7" s="2274" t="s">
        <v>189</v>
      </c>
      <c r="J7" s="2275"/>
      <c r="K7" s="2135" t="s">
        <v>1044</v>
      </c>
      <c r="L7" s="2135" t="s">
        <v>987</v>
      </c>
    </row>
    <row r="8" spans="1:12" ht="15" customHeight="1" thickBot="1">
      <c r="A8" s="2271"/>
      <c r="B8" s="2135"/>
      <c r="C8" s="2135"/>
      <c r="D8" s="2135"/>
      <c r="E8" s="2292"/>
      <c r="F8" s="2292"/>
      <c r="G8" s="2292"/>
      <c r="H8" s="2273"/>
      <c r="I8" s="2293" t="s">
        <v>192</v>
      </c>
      <c r="J8" s="2293" t="s">
        <v>193</v>
      </c>
      <c r="K8" s="2135"/>
      <c r="L8" s="2135"/>
    </row>
    <row r="9" spans="1:12" ht="18.75" customHeight="1" thickBot="1">
      <c r="A9" s="2272"/>
      <c r="B9" s="2210"/>
      <c r="C9" s="2210"/>
      <c r="D9" s="2210"/>
      <c r="E9" s="2293"/>
      <c r="F9" s="2293"/>
      <c r="G9" s="2293"/>
      <c r="H9" s="2139"/>
      <c r="I9" s="2294"/>
      <c r="J9" s="2294"/>
      <c r="K9" s="2210"/>
      <c r="L9" s="2210"/>
    </row>
    <row r="10" spans="1:12" ht="64.5" thickBot="1">
      <c r="A10" s="288" t="s">
        <v>1451</v>
      </c>
      <c r="B10" s="858" t="s">
        <v>1432</v>
      </c>
      <c r="C10" s="74" t="s">
        <v>1098</v>
      </c>
      <c r="D10" s="74">
        <v>100</v>
      </c>
      <c r="E10" s="751">
        <f>SUM(E11)</f>
        <v>2839905326.77</v>
      </c>
      <c r="F10" s="751">
        <f t="shared" ref="F10:L10" si="0">SUM(F11)</f>
        <v>278680195</v>
      </c>
      <c r="G10" s="751">
        <f t="shared" si="0"/>
        <v>2435136992</v>
      </c>
      <c r="H10" s="751">
        <f t="shared" si="0"/>
        <v>5553722513.7700005</v>
      </c>
      <c r="I10" s="751">
        <f t="shared" si="0"/>
        <v>420000000</v>
      </c>
      <c r="J10" s="751">
        <f t="shared" si="0"/>
        <v>0</v>
      </c>
      <c r="K10" s="751">
        <f t="shared" si="0"/>
        <v>420000000</v>
      </c>
      <c r="L10" s="751">
        <f t="shared" si="0"/>
        <v>5973722513.7700005</v>
      </c>
    </row>
    <row r="11" spans="1:12" ht="63.75" customHeight="1" thickBot="1">
      <c r="A11" s="614"/>
      <c r="B11" s="26" t="s">
        <v>1174</v>
      </c>
      <c r="C11" s="1694" t="s">
        <v>1102</v>
      </c>
      <c r="D11" s="1694">
        <v>7</v>
      </c>
      <c r="E11" s="420">
        <f>+'ACCIONES 320302'!I11</f>
        <v>2839905326.77</v>
      </c>
      <c r="F11" s="420">
        <f>+'ACCIONES 320302'!J11</f>
        <v>278680195</v>
      </c>
      <c r="G11" s="420">
        <f>+'ACCIONES 320302'!K11</f>
        <v>2435136992</v>
      </c>
      <c r="H11" s="420">
        <f>+'ACCIONES 320302'!L11</f>
        <v>5553722513.7700005</v>
      </c>
      <c r="I11" s="420">
        <f>+'ACCIONES 320302'!M11</f>
        <v>420000000</v>
      </c>
      <c r="J11" s="420">
        <f>+'ACCIONES 320302'!N11</f>
        <v>0</v>
      </c>
      <c r="K11" s="420">
        <f>+'ACCIONES 320302'!O11</f>
        <v>420000000</v>
      </c>
      <c r="L11" s="420">
        <f>+'ACCIONES 320302'!P11</f>
        <v>5973722513.7700005</v>
      </c>
    </row>
    <row r="12" spans="1:12" ht="26.25" thickBot="1">
      <c r="A12" s="288" t="s">
        <v>1452</v>
      </c>
      <c r="B12" s="858" t="s">
        <v>1433</v>
      </c>
      <c r="C12" s="74" t="s">
        <v>1098</v>
      </c>
      <c r="D12" s="74">
        <v>100</v>
      </c>
      <c r="E12" s="751">
        <f t="shared" ref="E12:K12" si="1">SUM(E13)</f>
        <v>0</v>
      </c>
      <c r="F12" s="751">
        <f t="shared" si="1"/>
        <v>0</v>
      </c>
      <c r="G12" s="751">
        <f t="shared" si="1"/>
        <v>120000000</v>
      </c>
      <c r="H12" s="751">
        <f t="shared" si="1"/>
        <v>120000000</v>
      </c>
      <c r="I12" s="751">
        <f t="shared" si="1"/>
        <v>0</v>
      </c>
      <c r="J12" s="751">
        <f t="shared" si="1"/>
        <v>0</v>
      </c>
      <c r="K12" s="751">
        <f t="shared" si="1"/>
        <v>0</v>
      </c>
      <c r="L12" s="751">
        <f>SUM(L13)</f>
        <v>120000000</v>
      </c>
    </row>
    <row r="13" spans="1:12" ht="33" customHeight="1">
      <c r="A13" s="614"/>
      <c r="B13" s="757" t="s">
        <v>1176</v>
      </c>
      <c r="C13" s="379" t="s">
        <v>1099</v>
      </c>
      <c r="D13" s="379">
        <v>30</v>
      </c>
      <c r="E13" s="420">
        <f>+'ACCIONES 320302'!I29</f>
        <v>0</v>
      </c>
      <c r="F13" s="420">
        <f>+'ACCIONES 320302'!J29</f>
        <v>0</v>
      </c>
      <c r="G13" s="420">
        <f>+'ACCIONES 320302'!K29</f>
        <v>120000000</v>
      </c>
      <c r="H13" s="420">
        <f>+'ACCIONES 320302'!L29</f>
        <v>120000000</v>
      </c>
      <c r="I13" s="420">
        <f>+'ACCIONES 320302'!M29</f>
        <v>0</v>
      </c>
      <c r="J13" s="420">
        <f>+'ACCIONES 320302'!N29</f>
        <v>0</v>
      </c>
      <c r="K13" s="420">
        <f>+'ACCIONES 320302'!O29</f>
        <v>0</v>
      </c>
      <c r="L13" s="420">
        <f>+'ACCIONES 320302'!P29</f>
        <v>120000000</v>
      </c>
    </row>
    <row r="14" spans="1:12" ht="39" thickBot="1">
      <c r="A14" s="288" t="s">
        <v>1453</v>
      </c>
      <c r="B14" s="752" t="s">
        <v>1434</v>
      </c>
      <c r="C14" s="74" t="s">
        <v>1098</v>
      </c>
      <c r="D14" s="74">
        <v>100</v>
      </c>
      <c r="E14" s="754">
        <f t="shared" ref="E14:L14" si="2">SUM(E15:E18)</f>
        <v>1467632820.6800001</v>
      </c>
      <c r="F14" s="754">
        <f t="shared" si="2"/>
        <v>40160000</v>
      </c>
      <c r="G14" s="754">
        <f t="shared" si="2"/>
        <v>805489118.54499996</v>
      </c>
      <c r="H14" s="754">
        <f t="shared" si="2"/>
        <v>2313281939.2249999</v>
      </c>
      <c r="I14" s="754">
        <f t="shared" si="2"/>
        <v>0</v>
      </c>
      <c r="J14" s="754">
        <f t="shared" si="2"/>
        <v>254243640</v>
      </c>
      <c r="K14" s="754">
        <f t="shared" si="2"/>
        <v>254243640</v>
      </c>
      <c r="L14" s="754">
        <f t="shared" si="2"/>
        <v>2567525579.2249999</v>
      </c>
    </row>
    <row r="15" spans="1:12" ht="63.75" customHeight="1">
      <c r="A15" s="614"/>
      <c r="B15" s="26" t="s">
        <v>1070</v>
      </c>
      <c r="C15" s="6" t="s">
        <v>1099</v>
      </c>
      <c r="D15" s="6">
        <v>10</v>
      </c>
      <c r="E15" s="420">
        <f>+'ACCIONES 320302'!I33</f>
        <v>67629591.680000007</v>
      </c>
      <c r="F15" s="420">
        <f>+'ACCIONES 320302'!J33</f>
        <v>29769760</v>
      </c>
      <c r="G15" s="420">
        <f>+'ACCIONES 320302'!K33</f>
        <v>130962721.54499999</v>
      </c>
      <c r="H15" s="420">
        <f>+'ACCIONES 320302'!L33</f>
        <v>228362073.22499999</v>
      </c>
      <c r="I15" s="420">
        <f>+'ACCIONES 320302'!M33</f>
        <v>0</v>
      </c>
      <c r="J15" s="420">
        <f>+'ACCIONES 320302'!N33</f>
        <v>64183115</v>
      </c>
      <c r="K15" s="420">
        <f>+'ACCIONES 320302'!O33</f>
        <v>64183115</v>
      </c>
      <c r="L15" s="420">
        <f>+'ACCIONES 320302'!P33</f>
        <v>292545188.22499996</v>
      </c>
    </row>
    <row r="16" spans="1:12" ht="33.75" customHeight="1">
      <c r="A16" s="738"/>
      <c r="B16" s="5" t="s">
        <v>1071</v>
      </c>
      <c r="C16" s="6" t="s">
        <v>1099</v>
      </c>
      <c r="D16" s="6">
        <v>50</v>
      </c>
      <c r="E16" s="213">
        <f>+'ACCIONES 320302'!I42</f>
        <v>8077500</v>
      </c>
      <c r="F16" s="213">
        <f>+'ACCIONES 320302'!J42</f>
        <v>0</v>
      </c>
      <c r="G16" s="213">
        <f>+'ACCIONES 320302'!K42</f>
        <v>80775000</v>
      </c>
      <c r="H16" s="213">
        <f>+'ACCIONES 320302'!L42</f>
        <v>88852500</v>
      </c>
      <c r="I16" s="213">
        <f>+'ACCIONES 320302'!M42</f>
        <v>0</v>
      </c>
      <c r="J16" s="213">
        <f>+'ACCIONES 320302'!N42</f>
        <v>0</v>
      </c>
      <c r="K16" s="213">
        <f>+'ACCIONES 320302'!O42</f>
        <v>0</v>
      </c>
      <c r="L16" s="213">
        <f>+'ACCIONES 320302'!P42</f>
        <v>88852500</v>
      </c>
    </row>
    <row r="17" spans="1:12" ht="30.75" customHeight="1">
      <c r="A17" s="738"/>
      <c r="B17" s="756" t="s">
        <v>1072</v>
      </c>
      <c r="C17" s="10" t="s">
        <v>1103</v>
      </c>
      <c r="D17" s="1652">
        <v>68000</v>
      </c>
      <c r="E17" s="213">
        <f>+'ACCIONES 320302'!I45</f>
        <v>1357425249</v>
      </c>
      <c r="F17" s="213">
        <f>+'ACCIONES 320302'!J45</f>
        <v>10390240</v>
      </c>
      <c r="G17" s="213">
        <f>+'ACCIONES 320302'!K45</f>
        <v>248751397</v>
      </c>
      <c r="H17" s="213">
        <f>+'ACCIONES 320302'!L45</f>
        <v>1616566886</v>
      </c>
      <c r="I17" s="213">
        <f>+'ACCIONES 320302'!M45</f>
        <v>0</v>
      </c>
      <c r="J17" s="213">
        <f>+'ACCIONES 320302'!N45</f>
        <v>190060525</v>
      </c>
      <c r="K17" s="213">
        <f>+'ACCIONES 320302'!O45</f>
        <v>190060525</v>
      </c>
      <c r="L17" s="213">
        <f>+'ACCIONES 320302'!P45</f>
        <v>1806627411</v>
      </c>
    </row>
    <row r="18" spans="1:12" ht="38.25">
      <c r="A18" s="738"/>
      <c r="B18" s="756" t="s">
        <v>1416</v>
      </c>
      <c r="C18" s="10" t="s">
        <v>1103</v>
      </c>
      <c r="D18" s="6">
        <v>10000</v>
      </c>
      <c r="E18" s="213">
        <f>+'ACCIONES 320302'!I50</f>
        <v>34500480</v>
      </c>
      <c r="F18" s="213">
        <f>+'ACCIONES 320302'!J50</f>
        <v>0</v>
      </c>
      <c r="G18" s="213">
        <f>+'ACCIONES 320302'!K50</f>
        <v>345000000</v>
      </c>
      <c r="H18" s="213">
        <f>+'ACCIONES 320302'!L50</f>
        <v>379500480</v>
      </c>
      <c r="I18" s="213">
        <f>+'ACCIONES 320302'!M50</f>
        <v>0</v>
      </c>
      <c r="J18" s="213">
        <f>+'ACCIONES 320302'!N50</f>
        <v>0</v>
      </c>
      <c r="K18" s="213">
        <f>+'ACCIONES 320302'!O50</f>
        <v>0</v>
      </c>
      <c r="L18" s="213">
        <f>+'ACCIONES 320302'!P50</f>
        <v>379500480</v>
      </c>
    </row>
    <row r="19" spans="1:12" ht="50.25" customHeight="1" thickBot="1">
      <c r="A19" s="859" t="s">
        <v>1454</v>
      </c>
      <c r="B19" s="596" t="s">
        <v>1050</v>
      </c>
      <c r="C19" s="350" t="s">
        <v>1098</v>
      </c>
      <c r="D19" s="350">
        <v>100</v>
      </c>
      <c r="E19" s="621">
        <f>SUM(E20)</f>
        <v>10000000</v>
      </c>
      <c r="F19" s="621">
        <f t="shared" ref="F19:L19" si="3">SUM(F20)</f>
        <v>10000000</v>
      </c>
      <c r="G19" s="621">
        <f t="shared" si="3"/>
        <v>0</v>
      </c>
      <c r="H19" s="621">
        <f t="shared" si="3"/>
        <v>20000000</v>
      </c>
      <c r="I19" s="621">
        <f t="shared" si="3"/>
        <v>0</v>
      </c>
      <c r="J19" s="621">
        <f t="shared" si="3"/>
        <v>0</v>
      </c>
      <c r="K19" s="621">
        <f t="shared" si="3"/>
        <v>0</v>
      </c>
      <c r="L19" s="621">
        <f t="shared" si="3"/>
        <v>20000000</v>
      </c>
    </row>
    <row r="20" spans="1:12" ht="50.25" customHeight="1" thickBot="1">
      <c r="A20" s="614"/>
      <c r="B20" s="590" t="s">
        <v>1051</v>
      </c>
      <c r="C20" s="379" t="s">
        <v>1104</v>
      </c>
      <c r="D20" s="379">
        <v>2</v>
      </c>
      <c r="E20" s="478">
        <f>+'ACCIONES 320302'!I54</f>
        <v>10000000</v>
      </c>
      <c r="F20" s="478">
        <f>+'ACCIONES 320302'!J54</f>
        <v>10000000</v>
      </c>
      <c r="G20" s="478">
        <f>+'ACCIONES 320302'!K54</f>
        <v>0</v>
      </c>
      <c r="H20" s="478">
        <f>+'ACCIONES 320302'!L54</f>
        <v>20000000</v>
      </c>
      <c r="I20" s="478">
        <f>+'ACCIONES 320302'!M54</f>
        <v>0</v>
      </c>
      <c r="J20" s="478">
        <f>+'ACCIONES 320302'!N54</f>
        <v>0</v>
      </c>
      <c r="K20" s="478">
        <f>+'ACCIONES 320302'!O54</f>
        <v>0</v>
      </c>
      <c r="L20" s="478">
        <f>+'ACCIONES 320302'!P54</f>
        <v>20000000</v>
      </c>
    </row>
    <row r="21" spans="1:12" ht="13.5" thickBot="1">
      <c r="A21" s="286"/>
      <c r="B21" s="2242" t="s">
        <v>10</v>
      </c>
      <c r="C21" s="2243"/>
      <c r="D21" s="2243"/>
      <c r="E21" s="750">
        <f t="shared" ref="E21:L21" si="4">+E10+E12+E14+E19</f>
        <v>4317538147.4499998</v>
      </c>
      <c r="F21" s="750">
        <f t="shared" si="4"/>
        <v>328840195</v>
      </c>
      <c r="G21" s="750">
        <f t="shared" si="4"/>
        <v>3360626110.5450001</v>
      </c>
      <c r="H21" s="750">
        <f t="shared" si="4"/>
        <v>8007004452.9950008</v>
      </c>
      <c r="I21" s="750">
        <f t="shared" si="4"/>
        <v>420000000</v>
      </c>
      <c r="J21" s="750">
        <f t="shared" si="4"/>
        <v>254243640</v>
      </c>
      <c r="K21" s="750">
        <f t="shared" si="4"/>
        <v>674243640</v>
      </c>
      <c r="L21" s="750">
        <f t="shared" si="4"/>
        <v>8681248092.9950008</v>
      </c>
    </row>
    <row r="22" spans="1:12" ht="13.5" thickBot="1">
      <c r="A22" s="286"/>
      <c r="B22" s="119"/>
      <c r="E22" s="121"/>
      <c r="F22" s="121"/>
      <c r="G22" s="121"/>
      <c r="H22" s="121"/>
      <c r="I22" s="121"/>
      <c r="J22" s="121"/>
      <c r="K22" s="121"/>
      <c r="L22" s="121"/>
    </row>
    <row r="23" spans="1:12" ht="13.5" thickBot="1">
      <c r="B23" s="119"/>
      <c r="E23" s="472">
        <v>4317538147.4499998</v>
      </c>
      <c r="F23" s="472">
        <v>328840195</v>
      </c>
      <c r="G23" s="472">
        <v>3360626110.5450001</v>
      </c>
      <c r="H23" s="472">
        <v>8007004452.9950008</v>
      </c>
      <c r="I23" s="472">
        <v>420000000</v>
      </c>
      <c r="J23" s="472">
        <v>254243640</v>
      </c>
      <c r="K23" s="472">
        <v>674243640</v>
      </c>
      <c r="L23" s="472">
        <v>8681248092.9950008</v>
      </c>
    </row>
    <row r="24" spans="1:12">
      <c r="B24" s="119"/>
      <c r="H24" s="96"/>
      <c r="I24" s="119"/>
      <c r="J24" s="119"/>
      <c r="K24" s="119"/>
    </row>
    <row r="25" spans="1:12">
      <c r="B25" s="119"/>
      <c r="E25" s="749">
        <f t="shared" ref="E25:I25" si="5">+E23-E21</f>
        <v>0</v>
      </c>
      <c r="F25" s="749">
        <f t="shared" si="5"/>
        <v>0</v>
      </c>
      <c r="G25" s="749">
        <f t="shared" si="5"/>
        <v>0</v>
      </c>
      <c r="H25" s="749">
        <f t="shared" si="5"/>
        <v>0</v>
      </c>
      <c r="I25" s="749">
        <f t="shared" si="5"/>
        <v>0</v>
      </c>
      <c r="J25" s="749"/>
      <c r="K25" s="749">
        <f>+K23-K21</f>
        <v>0</v>
      </c>
      <c r="L25" s="749">
        <f>+L23-L21</f>
        <v>0</v>
      </c>
    </row>
    <row r="26" spans="1:12">
      <c r="B26" s="119"/>
      <c r="E26" s="749"/>
      <c r="H26" s="96"/>
      <c r="I26" s="119"/>
      <c r="J26" s="119"/>
      <c r="K26" s="119"/>
    </row>
  </sheetData>
  <mergeCells count="21">
    <mergeCell ref="A7:A9"/>
    <mergeCell ref="B7:B9"/>
    <mergeCell ref="C7:C9"/>
    <mergeCell ref="D7:D9"/>
    <mergeCell ref="E7:E9"/>
    <mergeCell ref="B21:D21"/>
    <mergeCell ref="C1:J3"/>
    <mergeCell ref="F7:F9"/>
    <mergeCell ref="G7:G9"/>
    <mergeCell ref="H7:H9"/>
    <mergeCell ref="I7:J7"/>
    <mergeCell ref="B6:L6"/>
    <mergeCell ref="B1:B3"/>
    <mergeCell ref="K1:L1"/>
    <mergeCell ref="K2:L2"/>
    <mergeCell ref="K3:L3"/>
    <mergeCell ref="B5:L5"/>
    <mergeCell ref="L7:L9"/>
    <mergeCell ref="I8:I9"/>
    <mergeCell ref="J8:J9"/>
    <mergeCell ref="K7:K9"/>
  </mergeCells>
  <pageMargins left="0.7" right="0.7" top="0.75" bottom="0.75" header="0.3" footer="0.3"/>
  <pageSetup paperSize="9" orientation="portrait" verticalDpi="597"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AC61"/>
  <sheetViews>
    <sheetView zoomScale="60" zoomScaleNormal="60" workbookViewId="0">
      <selection activeCell="P26" sqref="P26"/>
    </sheetView>
  </sheetViews>
  <sheetFormatPr baseColWidth="10" defaultColWidth="11.42578125" defaultRowHeight="12.75"/>
  <cols>
    <col min="1" max="2" width="14.85546875" style="1" bestFit="1" customWidth="1"/>
    <col min="3" max="3" width="39.28515625" style="1" customWidth="1"/>
    <col min="4" max="4" width="21" style="96" customWidth="1"/>
    <col min="5" max="5" width="10.7109375" style="96" customWidth="1"/>
    <col min="6" max="7" width="9.42578125" style="96" customWidth="1"/>
    <col min="8" max="8" width="17.140625" style="96" customWidth="1"/>
    <col min="9" max="9" width="15.5703125" style="96" customWidth="1"/>
    <col min="10" max="10" width="13.7109375" style="96" customWidth="1"/>
    <col min="11" max="11" width="16" style="96" customWidth="1"/>
    <col min="12" max="12" width="16.85546875" style="1" customWidth="1"/>
    <col min="13" max="13" width="14" style="1" customWidth="1"/>
    <col min="14" max="14" width="14.42578125" style="1" customWidth="1"/>
    <col min="15" max="15" width="15.28515625" style="1" customWidth="1"/>
    <col min="16" max="16" width="16.7109375" style="1" customWidth="1"/>
    <col min="17" max="17" width="20.140625" style="1" customWidth="1"/>
    <col min="18" max="19" width="15.5703125" style="1" customWidth="1"/>
    <col min="20" max="20" width="15.42578125" style="1" customWidth="1"/>
    <col min="21" max="21" width="17.7109375" style="1" bestFit="1" customWidth="1"/>
    <col min="22" max="22" width="20.140625" style="1" customWidth="1"/>
    <col min="23" max="23" width="15.140625" style="1" bestFit="1" customWidth="1"/>
    <col min="24" max="25" width="13.5703125" style="1" bestFit="1" customWidth="1"/>
    <col min="26" max="26" width="22" style="1" bestFit="1" customWidth="1"/>
    <col min="27" max="27" width="16" style="1" customWidth="1"/>
    <col min="28" max="16384" width="11.42578125" style="1"/>
  </cols>
  <sheetData>
    <row r="1" spans="1:29" ht="23.25" customHeight="1">
      <c r="C1" s="2151"/>
      <c r="D1" s="2163" t="s">
        <v>367</v>
      </c>
      <c r="E1" s="2164"/>
      <c r="F1" s="2164"/>
      <c r="G1" s="2164"/>
      <c r="H1" s="2164"/>
      <c r="I1" s="2164"/>
      <c r="J1" s="2164"/>
      <c r="K1" s="2164"/>
      <c r="L1" s="2164"/>
      <c r="M1" s="2164"/>
      <c r="N1" s="2165"/>
      <c r="O1" s="2248" t="s">
        <v>980</v>
      </c>
      <c r="P1" s="2249"/>
    </row>
    <row r="2" spans="1:29" ht="23.25" customHeight="1">
      <c r="C2" s="2152"/>
      <c r="D2" s="2166"/>
      <c r="E2" s="2167"/>
      <c r="F2" s="2167"/>
      <c r="G2" s="2167"/>
      <c r="H2" s="2167"/>
      <c r="I2" s="2167"/>
      <c r="J2" s="2167"/>
      <c r="K2" s="2167"/>
      <c r="L2" s="2167"/>
      <c r="M2" s="2167"/>
      <c r="N2" s="2168"/>
      <c r="O2" s="2250" t="s">
        <v>365</v>
      </c>
      <c r="P2" s="2251"/>
    </row>
    <row r="3" spans="1:29" ht="23.25" customHeight="1" thickBot="1">
      <c r="C3" s="2153"/>
      <c r="D3" s="2169"/>
      <c r="E3" s="2170"/>
      <c r="F3" s="2170"/>
      <c r="G3" s="2170"/>
      <c r="H3" s="2170"/>
      <c r="I3" s="2170"/>
      <c r="J3" s="2170"/>
      <c r="K3" s="2170"/>
      <c r="L3" s="2170"/>
      <c r="M3" s="2170"/>
      <c r="N3" s="2171"/>
      <c r="O3" s="2252" t="s">
        <v>366</v>
      </c>
      <c r="P3" s="2253"/>
    </row>
    <row r="4" spans="1:29" ht="13.5" customHeight="1" thickBot="1">
      <c r="D4" s="1"/>
      <c r="E4" s="1"/>
      <c r="F4" s="1"/>
      <c r="G4" s="1"/>
      <c r="H4" s="1"/>
      <c r="I4" s="1"/>
      <c r="J4" s="1"/>
      <c r="K4" s="1"/>
    </row>
    <row r="5" spans="1:29" ht="24.75" customHeight="1" thickBot="1">
      <c r="C5" s="2278" t="s">
        <v>179</v>
      </c>
      <c r="D5" s="2279"/>
      <c r="E5" s="2279"/>
      <c r="F5" s="2279"/>
      <c r="G5" s="2279"/>
      <c r="H5" s="2279"/>
      <c r="I5" s="2279"/>
      <c r="J5" s="2279"/>
      <c r="K5" s="2279"/>
      <c r="L5" s="2279"/>
      <c r="M5" s="2279"/>
      <c r="N5" s="2279"/>
      <c r="O5" s="2279"/>
      <c r="P5" s="2280"/>
    </row>
    <row r="6" spans="1:29" ht="13.5" thickBot="1">
      <c r="C6" s="2145" t="s">
        <v>1394</v>
      </c>
      <c r="D6" s="2146"/>
      <c r="E6" s="2146"/>
      <c r="F6" s="2146"/>
      <c r="G6" s="2146"/>
      <c r="H6" s="2146"/>
      <c r="I6" s="2146"/>
      <c r="J6" s="2146"/>
      <c r="K6" s="2146"/>
      <c r="L6" s="2146"/>
      <c r="M6" s="2146"/>
      <c r="N6" s="2146"/>
      <c r="O6" s="2146"/>
      <c r="P6" s="2147"/>
    </row>
    <row r="7" spans="1:29" ht="20.25" customHeight="1" thickBot="1">
      <c r="A7" s="2295" t="s">
        <v>368</v>
      </c>
      <c r="B7" s="2295" t="s">
        <v>369</v>
      </c>
      <c r="C7" s="2135" t="s">
        <v>311</v>
      </c>
      <c r="D7" s="2135" t="s">
        <v>312</v>
      </c>
      <c r="E7" s="2135" t="s">
        <v>350</v>
      </c>
      <c r="F7" s="2135" t="s">
        <v>313</v>
      </c>
      <c r="G7" s="2135" t="s">
        <v>191</v>
      </c>
      <c r="H7" s="2135" t="s">
        <v>387</v>
      </c>
      <c r="I7" s="2292" t="s">
        <v>192</v>
      </c>
      <c r="J7" s="2292" t="s">
        <v>194</v>
      </c>
      <c r="K7" s="2292" t="s">
        <v>193</v>
      </c>
      <c r="L7" s="2135" t="s">
        <v>1045</v>
      </c>
      <c r="M7" s="2274" t="s">
        <v>189</v>
      </c>
      <c r="N7" s="2275"/>
      <c r="O7" s="2135" t="s">
        <v>1044</v>
      </c>
      <c r="P7" s="2135" t="s">
        <v>987</v>
      </c>
      <c r="U7" s="2155" t="s">
        <v>1279</v>
      </c>
      <c r="V7" s="2155"/>
      <c r="W7" s="2155"/>
      <c r="X7" s="2155"/>
      <c r="Y7" s="2155"/>
      <c r="Z7" s="2154" t="s">
        <v>1302</v>
      </c>
      <c r="AA7" s="2154"/>
    </row>
    <row r="8" spans="1:29" ht="24.75" customHeight="1" thickBot="1">
      <c r="A8" s="2295"/>
      <c r="B8" s="2295"/>
      <c r="C8" s="2135"/>
      <c r="D8" s="2135"/>
      <c r="E8" s="2135"/>
      <c r="F8" s="2135"/>
      <c r="G8" s="2135"/>
      <c r="H8" s="2135"/>
      <c r="I8" s="2292"/>
      <c r="J8" s="2292"/>
      <c r="K8" s="2292"/>
      <c r="L8" s="2273"/>
      <c r="M8" s="2293" t="s">
        <v>192</v>
      </c>
      <c r="N8" s="2293" t="s">
        <v>193</v>
      </c>
      <c r="O8" s="2135"/>
      <c r="P8" s="2135"/>
      <c r="Q8" s="745" t="s">
        <v>1280</v>
      </c>
      <c r="R8" s="1024" t="s">
        <v>1276</v>
      </c>
      <c r="S8" s="1024" t="s">
        <v>1277</v>
      </c>
      <c r="T8" s="2156" t="s">
        <v>1278</v>
      </c>
      <c r="U8" s="2281" t="s">
        <v>1286</v>
      </c>
      <c r="V8" s="2281"/>
      <c r="W8" s="2281"/>
      <c r="X8" s="2281" t="s">
        <v>1284</v>
      </c>
      <c r="Y8" s="2281"/>
      <c r="Z8" s="157" t="s">
        <v>1288</v>
      </c>
      <c r="AA8" s="157" t="s">
        <v>1289</v>
      </c>
    </row>
    <row r="9" spans="1:29" ht="18.75" customHeight="1" thickBot="1">
      <c r="A9" s="2295"/>
      <c r="B9" s="2295"/>
      <c r="C9" s="2210"/>
      <c r="D9" s="2210"/>
      <c r="E9" s="2210"/>
      <c r="F9" s="2210"/>
      <c r="G9" s="2210"/>
      <c r="H9" s="2210"/>
      <c r="I9" s="2293"/>
      <c r="J9" s="2293"/>
      <c r="K9" s="2293"/>
      <c r="L9" s="2139"/>
      <c r="M9" s="2294"/>
      <c r="N9" s="2294"/>
      <c r="O9" s="2210"/>
      <c r="P9" s="2210"/>
      <c r="Q9" s="1030"/>
      <c r="R9" s="1030"/>
      <c r="S9" s="1030"/>
      <c r="T9" s="2156"/>
      <c r="U9" s="745" t="s">
        <v>192</v>
      </c>
      <c r="V9" s="1029" t="s">
        <v>194</v>
      </c>
      <c r="W9" s="254" t="s">
        <v>193</v>
      </c>
      <c r="X9" s="745" t="s">
        <v>192</v>
      </c>
      <c r="Y9" s="254" t="s">
        <v>193</v>
      </c>
    </row>
    <row r="10" spans="1:29" ht="72" customHeight="1" thickBot="1">
      <c r="A10" s="288" t="s">
        <v>1484</v>
      </c>
      <c r="B10" s="288"/>
      <c r="C10" s="1063" t="s">
        <v>1432</v>
      </c>
      <c r="D10" s="1064"/>
      <c r="E10" s="1064"/>
      <c r="F10" s="1064" t="s">
        <v>1098</v>
      </c>
      <c r="G10" s="1064">
        <v>100</v>
      </c>
      <c r="H10" s="1064"/>
      <c r="I10" s="1065">
        <f>+I11</f>
        <v>2839905326.77</v>
      </c>
      <c r="J10" s="1065">
        <f t="shared" ref="J10:P10" si="0">+J11</f>
        <v>278680195</v>
      </c>
      <c r="K10" s="1065">
        <f t="shared" si="0"/>
        <v>2435136992</v>
      </c>
      <c r="L10" s="1065">
        <f t="shared" si="0"/>
        <v>5553722513.7700005</v>
      </c>
      <c r="M10" s="1065">
        <f t="shared" si="0"/>
        <v>420000000</v>
      </c>
      <c r="N10" s="1065">
        <f t="shared" si="0"/>
        <v>0</v>
      </c>
      <c r="O10" s="1065">
        <f t="shared" si="0"/>
        <v>420000000</v>
      </c>
      <c r="P10" s="1065">
        <f t="shared" si="0"/>
        <v>5973722513.7700005</v>
      </c>
      <c r="Q10" s="292"/>
      <c r="R10" s="292"/>
      <c r="S10" s="292"/>
      <c r="T10" s="292"/>
      <c r="U10" s="292"/>
      <c r="V10" s="292"/>
      <c r="W10" s="292"/>
      <c r="X10" s="292"/>
      <c r="Y10" s="292"/>
      <c r="Z10" s="292"/>
      <c r="AA10" s="292"/>
      <c r="AB10" s="292"/>
      <c r="AC10" s="292"/>
    </row>
    <row r="11" spans="1:29" ht="52.5" customHeight="1">
      <c r="A11" s="288"/>
      <c r="B11" s="288" t="s">
        <v>1485</v>
      </c>
      <c r="C11" s="210" t="s">
        <v>1174</v>
      </c>
      <c r="D11" s="500"/>
      <c r="E11" s="500"/>
      <c r="F11" s="500" t="s">
        <v>1102</v>
      </c>
      <c r="G11" s="500">
        <v>7</v>
      </c>
      <c r="H11" s="500"/>
      <c r="I11" s="502">
        <f>SUM(I12:I27)</f>
        <v>2839905326.77</v>
      </c>
      <c r="J11" s="502">
        <f t="shared" ref="J11:P11" si="1">SUM(J12:J27)</f>
        <v>278680195</v>
      </c>
      <c r="K11" s="502">
        <f t="shared" si="1"/>
        <v>2435136992</v>
      </c>
      <c r="L11" s="502">
        <f t="shared" si="1"/>
        <v>5553722513.7700005</v>
      </c>
      <c r="M11" s="502">
        <f t="shared" si="1"/>
        <v>420000000</v>
      </c>
      <c r="N11" s="502">
        <f t="shared" si="1"/>
        <v>0</v>
      </c>
      <c r="O11" s="502">
        <f t="shared" si="1"/>
        <v>420000000</v>
      </c>
      <c r="P11" s="502">
        <f t="shared" si="1"/>
        <v>5973722513.7700005</v>
      </c>
      <c r="Q11" s="292"/>
      <c r="R11" s="292"/>
      <c r="S11" s="292"/>
      <c r="T11" s="292"/>
      <c r="U11" s="292"/>
      <c r="V11" s="292"/>
      <c r="W11" s="292"/>
      <c r="X11" s="292"/>
      <c r="Y11" s="292"/>
      <c r="Z11" s="292"/>
      <c r="AA11" s="292"/>
      <c r="AB11" s="292"/>
      <c r="AC11" s="292"/>
    </row>
    <row r="12" spans="1:29" s="1158" customFormat="1" ht="15">
      <c r="A12"/>
      <c r="B12"/>
      <c r="C12" s="1094" t="s">
        <v>461</v>
      </c>
      <c r="D12" s="1165" t="s">
        <v>211</v>
      </c>
      <c r="E12" s="1165"/>
      <c r="F12" s="1165"/>
      <c r="G12" s="1165"/>
      <c r="H12" s="1131">
        <v>3846750000</v>
      </c>
      <c r="I12" s="1133">
        <v>2091705326.77</v>
      </c>
      <c r="J12" s="1133"/>
      <c r="K12" s="1133"/>
      <c r="L12" s="1134">
        <f t="shared" ref="L12" si="2">SUM(I12:K12)</f>
        <v>2091705326.77</v>
      </c>
      <c r="M12" s="1133"/>
      <c r="N12" s="1133"/>
      <c r="O12" s="1134">
        <f t="shared" ref="O12" si="3">SUM(M12:N12)</f>
        <v>0</v>
      </c>
      <c r="P12" s="1135">
        <f t="shared" ref="P12" si="4">+O12+L12</f>
        <v>2091705326.77</v>
      </c>
      <c r="Q12" s="1125">
        <v>4365893999.7700005</v>
      </c>
      <c r="R12" s="1125">
        <v>2091705327</v>
      </c>
      <c r="S12" s="1125">
        <v>2091705327</v>
      </c>
      <c r="T12" s="1125">
        <f>+Q12-S12</f>
        <v>2274188672.7700005</v>
      </c>
      <c r="U12" s="1125"/>
      <c r="V12" s="1125"/>
      <c r="W12" s="1125">
        <v>2274188673</v>
      </c>
      <c r="X12" s="1125"/>
      <c r="Y12" s="1125"/>
      <c r="Z12" s="1125" t="s">
        <v>40</v>
      </c>
      <c r="AA12" s="1125" t="s">
        <v>1341</v>
      </c>
      <c r="AB12" s="1125"/>
      <c r="AC12" s="1125"/>
    </row>
    <row r="13" spans="1:29" s="1158" customFormat="1" ht="15">
      <c r="A13"/>
      <c r="B13"/>
      <c r="C13" s="1094" t="s">
        <v>461</v>
      </c>
      <c r="D13" s="1165" t="s">
        <v>211</v>
      </c>
      <c r="E13" s="1165"/>
      <c r="F13" s="1165"/>
      <c r="G13" s="1165"/>
      <c r="H13" s="1131">
        <v>3846750000</v>
      </c>
      <c r="I13" s="1133">
        <f>2091705326.77-I12</f>
        <v>0</v>
      </c>
      <c r="J13" s="1133"/>
      <c r="K13" s="1133">
        <v>2274188673</v>
      </c>
      <c r="L13" s="1134">
        <f t="shared" ref="L13:L25" si="5">SUM(I13:K13)</f>
        <v>2274188673</v>
      </c>
      <c r="M13" s="1133"/>
      <c r="N13" s="1133"/>
      <c r="O13" s="1134">
        <f t="shared" ref="O13:O25" si="6">SUM(M13:N13)</f>
        <v>0</v>
      </c>
      <c r="P13" s="1135">
        <f t="shared" ref="P13:P25" si="7">+O13+L13</f>
        <v>2274188673</v>
      </c>
      <c r="Q13" s="1125">
        <v>4365893999.7700005</v>
      </c>
      <c r="R13" s="1125">
        <v>2091705327</v>
      </c>
      <c r="S13" s="1125">
        <v>2091705327</v>
      </c>
      <c r="T13" s="1125">
        <f>+Q13-S13</f>
        <v>2274188672.7700005</v>
      </c>
      <c r="U13" s="1125"/>
      <c r="V13" s="1125"/>
      <c r="W13" s="1125">
        <v>2274188673</v>
      </c>
      <c r="X13" s="1125"/>
      <c r="Y13" s="1125"/>
      <c r="Z13" s="1125" t="s">
        <v>40</v>
      </c>
      <c r="AA13" s="1125" t="s">
        <v>1341</v>
      </c>
      <c r="AB13" s="1125"/>
      <c r="AC13" s="1125"/>
    </row>
    <row r="14" spans="1:29" s="1158" customFormat="1" ht="33.75" customHeight="1">
      <c r="A14"/>
      <c r="B14"/>
      <c r="C14" s="1094" t="s">
        <v>723</v>
      </c>
      <c r="D14" s="1165" t="s">
        <v>211</v>
      </c>
      <c r="E14" s="1165"/>
      <c r="F14" s="1165"/>
      <c r="G14" s="1165"/>
      <c r="H14" s="1131"/>
      <c r="I14" s="1133">
        <v>24784769</v>
      </c>
      <c r="J14" s="1133"/>
      <c r="K14" s="1133"/>
      <c r="L14" s="1134">
        <f t="shared" ref="L14" si="8">SUM(I14:K14)</f>
        <v>24784769</v>
      </c>
      <c r="M14" s="1133"/>
      <c r="N14" s="1133"/>
      <c r="O14" s="1134">
        <f t="shared" ref="O14" si="9">SUM(M14:N14)</f>
        <v>0</v>
      </c>
      <c r="P14" s="1135">
        <f t="shared" ref="P14" si="10">+O14+L14</f>
        <v>24784769</v>
      </c>
      <c r="Q14" s="1125">
        <v>26200000</v>
      </c>
      <c r="R14" s="1125">
        <v>24784769</v>
      </c>
      <c r="S14" s="1125">
        <v>24784769</v>
      </c>
      <c r="T14" s="1125">
        <f>+Q14-S14</f>
        <v>1415231</v>
      </c>
      <c r="U14" s="1125">
        <v>1415231</v>
      </c>
      <c r="V14" s="1125"/>
      <c r="W14" s="1125"/>
      <c r="X14" s="1125"/>
      <c r="Y14" s="1125"/>
      <c r="Z14" s="1125" t="s">
        <v>40</v>
      </c>
      <c r="AA14" s="1125" t="s">
        <v>1341</v>
      </c>
      <c r="AB14" s="1125"/>
      <c r="AC14" s="1125"/>
    </row>
    <row r="15" spans="1:29" s="1169" customFormat="1" ht="33.75" customHeight="1">
      <c r="A15"/>
      <c r="B15"/>
      <c r="C15" s="1088" t="s">
        <v>723</v>
      </c>
      <c r="D15" s="1171" t="s">
        <v>211</v>
      </c>
      <c r="E15" s="1171"/>
      <c r="F15" s="1171"/>
      <c r="G15" s="1171"/>
      <c r="H15" s="1262"/>
      <c r="I15" s="1172">
        <f>36200000-10000000-I14</f>
        <v>1415231</v>
      </c>
      <c r="J15" s="1172"/>
      <c r="K15" s="1172"/>
      <c r="L15" s="1173">
        <f t="shared" si="5"/>
        <v>1415231</v>
      </c>
      <c r="M15" s="1172"/>
      <c r="N15" s="1172"/>
      <c r="O15" s="1173">
        <f t="shared" si="6"/>
        <v>0</v>
      </c>
      <c r="P15" s="1198">
        <f t="shared" si="7"/>
        <v>1415231</v>
      </c>
      <c r="Q15" s="1174">
        <v>26200000</v>
      </c>
      <c r="R15" s="1174">
        <v>24784769</v>
      </c>
      <c r="S15" s="1174">
        <v>24784769</v>
      </c>
      <c r="T15" s="1174">
        <f>+Q15-S15</f>
        <v>1415231</v>
      </c>
      <c r="U15" s="1174">
        <v>1415231</v>
      </c>
      <c r="V15" s="1174"/>
      <c r="W15" s="1174"/>
      <c r="X15" s="1174"/>
      <c r="Y15" s="1174"/>
      <c r="Z15" s="1174" t="s">
        <v>40</v>
      </c>
      <c r="AA15" s="1174" t="s">
        <v>1341</v>
      </c>
      <c r="AB15" s="1174"/>
      <c r="AC15" s="1174"/>
    </row>
    <row r="16" spans="1:29" s="1158" customFormat="1" ht="36.75" customHeight="1">
      <c r="A16"/>
      <c r="B16"/>
      <c r="C16" s="1094" t="s">
        <v>462</v>
      </c>
      <c r="D16" s="1165" t="s">
        <v>395</v>
      </c>
      <c r="E16" s="1165">
        <v>94900</v>
      </c>
      <c r="F16" s="1165" t="s">
        <v>448</v>
      </c>
      <c r="G16" s="1165">
        <v>1</v>
      </c>
      <c r="H16" s="1131">
        <v>350000000</v>
      </c>
      <c r="I16" s="1133">
        <f>37207080+37207080</f>
        <v>74414160</v>
      </c>
      <c r="J16" s="1133"/>
      <c r="K16" s="1133"/>
      <c r="L16" s="1134">
        <f t="shared" ref="L16" si="11">SUM(I16:K16)</f>
        <v>74414160</v>
      </c>
      <c r="M16" s="1623"/>
      <c r="N16" s="1623"/>
      <c r="O16" s="1134">
        <f t="shared" ref="O16" si="12">SUM(M16:N16)</f>
        <v>0</v>
      </c>
      <c r="P16" s="1135">
        <f t="shared" ref="P16" si="13">+O16+L16</f>
        <v>74414160</v>
      </c>
      <c r="Q16" s="1125">
        <v>299119538</v>
      </c>
      <c r="R16" s="1125"/>
      <c r="S16" s="1125"/>
      <c r="T16" s="1125">
        <f>+Q16-R16</f>
        <v>299119538</v>
      </c>
      <c r="U16" s="1125">
        <v>299119538</v>
      </c>
      <c r="V16" s="1125"/>
      <c r="W16" s="1125"/>
      <c r="X16" s="1125"/>
      <c r="Y16" s="1125"/>
      <c r="Z16" s="1125" t="s">
        <v>40</v>
      </c>
      <c r="AA16" s="1125" t="s">
        <v>1341</v>
      </c>
      <c r="AB16" s="1125"/>
      <c r="AC16" s="1125"/>
    </row>
    <row r="17" spans="1:29" s="1169" customFormat="1" ht="36.75" customHeight="1">
      <c r="A17"/>
      <c r="B17"/>
      <c r="C17" s="1088" t="s">
        <v>462</v>
      </c>
      <c r="D17" s="1171" t="s">
        <v>395</v>
      </c>
      <c r="E17" s="1171">
        <v>94900</v>
      </c>
      <c r="F17" s="1171" t="s">
        <v>448</v>
      </c>
      <c r="G17" s="1171">
        <v>1</v>
      </c>
      <c r="H17" s="1262">
        <v>350000000</v>
      </c>
      <c r="I17" s="1172">
        <f>171125499-428057-10948319-21577904-I16</f>
        <v>63757059</v>
      </c>
      <c r="J17" s="1172"/>
      <c r="K17" s="1172">
        <f>150000000+10948319</f>
        <v>160948319</v>
      </c>
      <c r="L17" s="1173">
        <f t="shared" si="5"/>
        <v>224705378</v>
      </c>
      <c r="M17" s="1622"/>
      <c r="N17" s="1622"/>
      <c r="O17" s="1173">
        <f t="shared" si="6"/>
        <v>0</v>
      </c>
      <c r="P17" s="1198">
        <f t="shared" si="7"/>
        <v>224705378</v>
      </c>
      <c r="Q17" s="1174">
        <v>299119538</v>
      </c>
      <c r="R17" s="1174"/>
      <c r="S17" s="1174"/>
      <c r="T17" s="1174">
        <f>+Q17-R17</f>
        <v>299119538</v>
      </c>
      <c r="U17" s="1174">
        <v>299119538</v>
      </c>
      <c r="V17" s="1174"/>
      <c r="W17" s="1174"/>
      <c r="X17" s="1174"/>
      <c r="Y17" s="1174"/>
      <c r="Z17" s="1174" t="s">
        <v>40</v>
      </c>
      <c r="AA17" s="1174" t="s">
        <v>1341</v>
      </c>
      <c r="AB17" s="1174"/>
      <c r="AC17" s="1174"/>
    </row>
    <row r="18" spans="1:29" s="1158" customFormat="1" ht="25.5">
      <c r="A18"/>
      <c r="B18"/>
      <c r="C18" s="1094" t="s">
        <v>697</v>
      </c>
      <c r="D18" s="1165" t="s">
        <v>211</v>
      </c>
      <c r="E18" s="1165">
        <v>83990</v>
      </c>
      <c r="F18" s="1165" t="s">
        <v>197</v>
      </c>
      <c r="G18" s="1165">
        <v>11</v>
      </c>
      <c r="H18" s="1131">
        <v>172000000</v>
      </c>
      <c r="I18" s="1133">
        <f>71269129+43081882</f>
        <v>114351011</v>
      </c>
      <c r="J18" s="1133"/>
      <c r="K18" s="1133"/>
      <c r="L18" s="1134">
        <f t="shared" ref="L18" si="14">SUM(I18:K18)</f>
        <v>114351011</v>
      </c>
      <c r="M18" s="1133"/>
      <c r="N18" s="1133"/>
      <c r="O18" s="1134">
        <f t="shared" ref="O18" si="15">SUM(M18:N18)</f>
        <v>0</v>
      </c>
      <c r="P18" s="1135">
        <f t="shared" ref="P18" si="16">+O18+L18</f>
        <v>114351011</v>
      </c>
      <c r="Q18" s="1125">
        <v>157642238</v>
      </c>
      <c r="R18" s="1125">
        <v>71269129</v>
      </c>
      <c r="S18" s="1125">
        <v>71269129</v>
      </c>
      <c r="T18" s="1125">
        <f t="shared" ref="T18" si="17">+Q18-S18</f>
        <v>86373109</v>
      </c>
      <c r="U18" s="1125">
        <v>86373109</v>
      </c>
      <c r="V18" s="1125"/>
      <c r="W18" s="1125"/>
      <c r="X18" s="1125"/>
      <c r="Y18" s="1125"/>
      <c r="Z18" s="1125" t="s">
        <v>40</v>
      </c>
      <c r="AA18" s="1125" t="s">
        <v>1341</v>
      </c>
      <c r="AB18" s="1125"/>
      <c r="AC18" s="1125"/>
    </row>
    <row r="19" spans="1:29" s="1169" customFormat="1" ht="25.5">
      <c r="A19"/>
      <c r="B19"/>
      <c r="C19" s="1088" t="s">
        <v>697</v>
      </c>
      <c r="D19" s="1171" t="s">
        <v>211</v>
      </c>
      <c r="E19" s="1171">
        <v>83990</v>
      </c>
      <c r="F19" s="1171" t="s">
        <v>197</v>
      </c>
      <c r="G19" s="1171">
        <v>11</v>
      </c>
      <c r="H19" s="1262">
        <v>172000000</v>
      </c>
      <c r="I19" s="1172">
        <f>157642238-I18</f>
        <v>43291227</v>
      </c>
      <c r="J19" s="1172"/>
      <c r="K19" s="1172"/>
      <c r="L19" s="1173">
        <f t="shared" si="5"/>
        <v>43291227</v>
      </c>
      <c r="M19" s="1172"/>
      <c r="N19" s="1172"/>
      <c r="O19" s="1173">
        <f t="shared" si="6"/>
        <v>0</v>
      </c>
      <c r="P19" s="1198">
        <f t="shared" si="7"/>
        <v>43291227</v>
      </c>
      <c r="Q19" s="1174">
        <v>157642238</v>
      </c>
      <c r="R19" s="1174">
        <v>71269129</v>
      </c>
      <c r="S19" s="1174">
        <v>71269129</v>
      </c>
      <c r="T19" s="1174">
        <f t="shared" ref="T19:T25" si="18">+Q19-S19</f>
        <v>86373109</v>
      </c>
      <c r="U19" s="1174">
        <v>86373109</v>
      </c>
      <c r="V19" s="1174"/>
      <c r="W19" s="1174"/>
      <c r="X19" s="1174"/>
      <c r="Y19" s="1174"/>
      <c r="Z19" s="1174" t="s">
        <v>40</v>
      </c>
      <c r="AA19" s="1174" t="s">
        <v>1341</v>
      </c>
      <c r="AB19" s="1174"/>
      <c r="AC19" s="1174"/>
    </row>
    <row r="20" spans="1:29" s="1080" customFormat="1" ht="25.5">
      <c r="A20"/>
      <c r="B20"/>
      <c r="C20" s="1094" t="s">
        <v>463</v>
      </c>
      <c r="D20" s="1095" t="s">
        <v>211</v>
      </c>
      <c r="E20" s="1095">
        <v>83990</v>
      </c>
      <c r="F20" s="1095" t="s">
        <v>197</v>
      </c>
      <c r="G20" s="1095">
        <v>33</v>
      </c>
      <c r="H20" s="1132">
        <v>215000000</v>
      </c>
      <c r="I20" s="1139">
        <v>227116638</v>
      </c>
      <c r="J20" s="1139"/>
      <c r="K20" s="1139"/>
      <c r="L20" s="1117">
        <f t="shared" si="5"/>
        <v>227116638</v>
      </c>
      <c r="M20" s="1139">
        <f>38676381+26275754</f>
        <v>64952135</v>
      </c>
      <c r="N20" s="1139"/>
      <c r="O20" s="1117">
        <f t="shared" si="6"/>
        <v>64952135</v>
      </c>
      <c r="P20" s="1142">
        <f t="shared" si="7"/>
        <v>292068773</v>
      </c>
      <c r="Q20" s="1083">
        <v>647116638</v>
      </c>
      <c r="R20" s="1083">
        <v>356187397</v>
      </c>
      <c r="S20" s="1083">
        <v>308874901</v>
      </c>
      <c r="T20" s="1083">
        <f>+Q20-S20</f>
        <v>338241737</v>
      </c>
      <c r="U20" s="1083"/>
      <c r="V20" s="1083"/>
      <c r="W20" s="1083"/>
      <c r="X20" s="1083">
        <v>338241737</v>
      </c>
      <c r="Y20" s="1083"/>
      <c r="Z20" s="1083" t="s">
        <v>40</v>
      </c>
      <c r="AA20" s="1083" t="s">
        <v>1341</v>
      </c>
      <c r="AB20" s="1083"/>
      <c r="AC20" s="1083"/>
    </row>
    <row r="21" spans="1:29" s="1084" customFormat="1" ht="25.5">
      <c r="A21"/>
      <c r="B21"/>
      <c r="C21" s="1088" t="s">
        <v>463</v>
      </c>
      <c r="D21" s="1089" t="s">
        <v>211</v>
      </c>
      <c r="E21" s="1089">
        <v>83990</v>
      </c>
      <c r="F21" s="1089" t="s">
        <v>197</v>
      </c>
      <c r="G21" s="1089">
        <v>33</v>
      </c>
      <c r="H21" s="1214">
        <v>215000000</v>
      </c>
      <c r="I21" s="1231"/>
      <c r="J21" s="1231"/>
      <c r="K21" s="1231"/>
      <c r="L21" s="1112">
        <f t="shared" ref="L21" si="19">SUM(I21:K21)</f>
        <v>0</v>
      </c>
      <c r="M21" s="1231">
        <f>420000000-M20</f>
        <v>355047865</v>
      </c>
      <c r="N21" s="1231"/>
      <c r="O21" s="1112">
        <f t="shared" ref="O21" si="20">SUM(M21:N21)</f>
        <v>355047865</v>
      </c>
      <c r="P21" s="1389">
        <f t="shared" ref="P21" si="21">+O21+L21</f>
        <v>355047865</v>
      </c>
      <c r="Q21" s="1085">
        <v>647116638</v>
      </c>
      <c r="R21" s="1085">
        <v>356187397</v>
      </c>
      <c r="S21" s="1085">
        <v>308874901</v>
      </c>
      <c r="T21" s="1085">
        <f>+Q21-S21</f>
        <v>338241737</v>
      </c>
      <c r="U21" s="1085"/>
      <c r="V21" s="1085"/>
      <c r="W21" s="1085"/>
      <c r="X21" s="1085">
        <v>338241737</v>
      </c>
      <c r="Y21" s="1085"/>
      <c r="Z21" s="1085" t="s">
        <v>40</v>
      </c>
      <c r="AA21" s="1085" t="s">
        <v>1341</v>
      </c>
      <c r="AB21" s="1085"/>
      <c r="AC21" s="1085"/>
    </row>
    <row r="22" spans="1:29" s="1158" customFormat="1" ht="25.5">
      <c r="A22"/>
      <c r="B22"/>
      <c r="C22" s="1094" t="s">
        <v>464</v>
      </c>
      <c r="D22" s="1165" t="s">
        <v>211</v>
      </c>
      <c r="E22" s="1165">
        <v>83990</v>
      </c>
      <c r="F22" s="1165" t="s">
        <v>197</v>
      </c>
      <c r="G22" s="1165">
        <v>33</v>
      </c>
      <c r="H22" s="1131">
        <v>135000000</v>
      </c>
      <c r="I22" s="1133">
        <v>39536773</v>
      </c>
      <c r="J22" s="1133"/>
      <c r="K22" s="1133"/>
      <c r="L22" s="1134">
        <f t="shared" si="5"/>
        <v>39536773</v>
      </c>
      <c r="M22" s="1133"/>
      <c r="N22" s="1133"/>
      <c r="O22" s="1134">
        <f t="shared" si="6"/>
        <v>0</v>
      </c>
      <c r="P22" s="1135">
        <f t="shared" si="7"/>
        <v>39536773</v>
      </c>
      <c r="Q22" s="1125">
        <v>199069905</v>
      </c>
      <c r="R22" s="1125">
        <v>65812527</v>
      </c>
      <c r="S22" s="1125">
        <v>39536773</v>
      </c>
      <c r="T22" s="1125">
        <f t="shared" si="18"/>
        <v>159533132</v>
      </c>
      <c r="U22" s="1125">
        <v>159533132</v>
      </c>
      <c r="V22" s="1125"/>
      <c r="W22" s="1125"/>
      <c r="X22" s="1125"/>
      <c r="Y22" s="1125"/>
      <c r="Z22" s="1125" t="s">
        <v>40</v>
      </c>
      <c r="AA22" s="1125" t="s">
        <v>1341</v>
      </c>
      <c r="AB22" s="1125"/>
      <c r="AC22" s="1125"/>
    </row>
    <row r="23" spans="1:29" s="1169" customFormat="1" ht="25.5">
      <c r="A23"/>
      <c r="B23"/>
      <c r="C23" s="1088" t="s">
        <v>464</v>
      </c>
      <c r="D23" s="1171" t="s">
        <v>211</v>
      </c>
      <c r="E23" s="1171">
        <v>83990</v>
      </c>
      <c r="F23" s="1171" t="s">
        <v>197</v>
      </c>
      <c r="G23" s="1171">
        <v>33</v>
      </c>
      <c r="H23" s="1262">
        <v>135000000</v>
      </c>
      <c r="I23" s="1172">
        <f>166543682+10948319+21577904-I22</f>
        <v>159533132</v>
      </c>
      <c r="J23" s="1172"/>
      <c r="K23" s="1172"/>
      <c r="L23" s="1173">
        <f t="shared" ref="L23" si="22">SUM(I23:K23)</f>
        <v>159533132</v>
      </c>
      <c r="M23" s="1172"/>
      <c r="N23" s="1172"/>
      <c r="O23" s="1173">
        <f t="shared" ref="O23" si="23">SUM(M23:N23)</f>
        <v>0</v>
      </c>
      <c r="P23" s="1198">
        <f t="shared" ref="P23" si="24">+O23+L23</f>
        <v>159533132</v>
      </c>
      <c r="Q23" s="1174">
        <v>199069905</v>
      </c>
      <c r="R23" s="1174">
        <v>65812527</v>
      </c>
      <c r="S23" s="1174">
        <v>39536773</v>
      </c>
      <c r="T23" s="1174">
        <f t="shared" ref="T23" si="25">+Q23-S23</f>
        <v>159533132</v>
      </c>
      <c r="U23" s="1174">
        <v>159533132</v>
      </c>
      <c r="V23" s="1174"/>
      <c r="W23" s="1174"/>
      <c r="X23" s="1174"/>
      <c r="Y23" s="1174"/>
      <c r="Z23" s="1174" t="s">
        <v>40</v>
      </c>
      <c r="AA23" s="1174" t="s">
        <v>1341</v>
      </c>
      <c r="AB23" s="1174"/>
      <c r="AC23" s="1174"/>
    </row>
    <row r="24" spans="1:29" s="1158" customFormat="1" ht="60.75" customHeight="1">
      <c r="A24"/>
      <c r="B24"/>
      <c r="C24" s="1094" t="s">
        <v>453</v>
      </c>
      <c r="D24" s="1165" t="s">
        <v>381</v>
      </c>
      <c r="E24" s="1165" t="s">
        <v>403</v>
      </c>
      <c r="F24" s="1165" t="s">
        <v>448</v>
      </c>
      <c r="G24" s="1165">
        <v>1</v>
      </c>
      <c r="H24" s="1131">
        <f>+I24+J24</f>
        <v>50000000</v>
      </c>
      <c r="I24" s="1133"/>
      <c r="J24" s="1133">
        <v>50000000</v>
      </c>
      <c r="K24" s="1133"/>
      <c r="L24" s="1134">
        <f t="shared" si="5"/>
        <v>50000000</v>
      </c>
      <c r="M24" s="1133"/>
      <c r="N24" s="1133"/>
      <c r="O24" s="1134">
        <f t="shared" si="6"/>
        <v>0</v>
      </c>
      <c r="P24" s="1135">
        <f t="shared" si="7"/>
        <v>50000000</v>
      </c>
      <c r="Q24" s="1125">
        <v>50000000</v>
      </c>
      <c r="R24" s="1125">
        <v>50000000</v>
      </c>
      <c r="S24" s="1125">
        <v>50000000</v>
      </c>
      <c r="T24" s="1125">
        <f t="shared" si="18"/>
        <v>0</v>
      </c>
      <c r="U24" s="1125"/>
      <c r="V24" s="1125"/>
      <c r="W24" s="1125"/>
      <c r="X24" s="1125"/>
      <c r="Y24" s="1125"/>
      <c r="Z24" s="1125" t="s">
        <v>40</v>
      </c>
      <c r="AA24" s="1125" t="s">
        <v>1341</v>
      </c>
      <c r="AB24" s="1125"/>
      <c r="AC24" s="1125"/>
    </row>
    <row r="25" spans="1:29" s="1158" customFormat="1" ht="69" customHeight="1">
      <c r="A25"/>
      <c r="B25"/>
      <c r="C25" s="1094" t="s">
        <v>454</v>
      </c>
      <c r="D25" s="1165" t="s">
        <v>381</v>
      </c>
      <c r="E25" s="1165" t="s">
        <v>403</v>
      </c>
      <c r="F25" s="1165"/>
      <c r="G25" s="1165"/>
      <c r="H25" s="1131">
        <f>+I25+J25</f>
        <v>40000000</v>
      </c>
      <c r="I25" s="1133"/>
      <c r="J25" s="1133">
        <v>40000000</v>
      </c>
      <c r="K25" s="1133"/>
      <c r="L25" s="1134">
        <f t="shared" si="5"/>
        <v>40000000</v>
      </c>
      <c r="M25" s="1133"/>
      <c r="N25" s="1133"/>
      <c r="O25" s="1134">
        <f t="shared" si="6"/>
        <v>0</v>
      </c>
      <c r="P25" s="1135">
        <f t="shared" si="7"/>
        <v>40000000</v>
      </c>
      <c r="Q25" s="1125">
        <v>40000000</v>
      </c>
      <c r="R25" s="1125">
        <v>40000000</v>
      </c>
      <c r="S25" s="1125">
        <v>40000000</v>
      </c>
      <c r="T25" s="1125">
        <f t="shared" si="18"/>
        <v>0</v>
      </c>
      <c r="U25" s="1125"/>
      <c r="V25" s="1125"/>
      <c r="W25" s="1125"/>
      <c r="X25" s="1125"/>
      <c r="Y25" s="1125"/>
      <c r="Z25" s="1125" t="s">
        <v>40</v>
      </c>
      <c r="AA25" s="1125" t="s">
        <v>1341</v>
      </c>
      <c r="AB25" s="1125"/>
      <c r="AC25" s="1125"/>
    </row>
    <row r="26" spans="1:29" s="1158" customFormat="1" ht="27.75" customHeight="1" thickBot="1">
      <c r="A26"/>
      <c r="B26"/>
      <c r="C26" s="1099" t="s">
        <v>204</v>
      </c>
      <c r="D26" s="1100"/>
      <c r="E26" s="1100"/>
      <c r="F26" s="1100"/>
      <c r="G26" s="1100"/>
      <c r="H26" s="1100"/>
      <c r="I26" s="1129"/>
      <c r="J26" s="1129">
        <f>31438151+20368905+9273468+6008317</f>
        <v>67088841</v>
      </c>
      <c r="K26" s="1129"/>
      <c r="L26" s="1129">
        <f>SUM(I26:K26)</f>
        <v>67088841</v>
      </c>
      <c r="M26" s="1129"/>
      <c r="N26" s="1129"/>
      <c r="O26" s="1129">
        <v>0</v>
      </c>
      <c r="P26" s="1186">
        <f>+O26+L26</f>
        <v>67088841</v>
      </c>
      <c r="Q26" s="1125">
        <v>321842671</v>
      </c>
      <c r="R26" s="1211"/>
      <c r="S26" s="1125"/>
      <c r="T26" s="1125">
        <f>+Q26-R26</f>
        <v>321842671</v>
      </c>
      <c r="U26" s="1125"/>
      <c r="V26" s="1125">
        <v>321842671</v>
      </c>
      <c r="W26" s="1125"/>
      <c r="X26" s="1125"/>
      <c r="Y26" s="1125"/>
      <c r="Z26" s="1125"/>
      <c r="AA26" s="1125"/>
      <c r="AB26" s="1125"/>
      <c r="AC26" s="1125"/>
    </row>
    <row r="27" spans="1:29" s="1169" customFormat="1" ht="27.75" customHeight="1" thickBot="1">
      <c r="A27"/>
      <c r="B27"/>
      <c r="C27" s="1101" t="s">
        <v>204</v>
      </c>
      <c r="D27" s="1102"/>
      <c r="E27" s="1102"/>
      <c r="F27" s="1102"/>
      <c r="G27" s="1102"/>
      <c r="H27" s="1102"/>
      <c r="I27" s="1127"/>
      <c r="J27" s="1127">
        <f>111713719+76966476-J26</f>
        <v>121591354</v>
      </c>
      <c r="K27" s="1127"/>
      <c r="L27" s="1127">
        <f>SUM(I27:K27)</f>
        <v>121591354</v>
      </c>
      <c r="M27" s="1127"/>
      <c r="N27" s="1127"/>
      <c r="O27" s="1127">
        <v>0</v>
      </c>
      <c r="P27" s="1188">
        <f>+O27+L27</f>
        <v>121591354</v>
      </c>
      <c r="Q27" s="1174">
        <v>321842671</v>
      </c>
      <c r="R27" s="1272"/>
      <c r="S27" s="1174"/>
      <c r="T27" s="1174">
        <f>+Q27-R27</f>
        <v>321842671</v>
      </c>
      <c r="U27" s="1174"/>
      <c r="V27" s="1174">
        <v>321842671</v>
      </c>
      <c r="W27" s="1174"/>
      <c r="X27" s="1174"/>
      <c r="Y27" s="1174"/>
      <c r="Z27" s="1174"/>
      <c r="AA27" s="1174"/>
      <c r="AB27" s="1174"/>
      <c r="AC27" s="1174"/>
    </row>
    <row r="28" spans="1:29" ht="37.5" customHeight="1" thickBot="1">
      <c r="A28" s="288" t="s">
        <v>1486</v>
      </c>
      <c r="B28" s="288"/>
      <c r="C28" s="752" t="s">
        <v>1435</v>
      </c>
      <c r="D28" s="1066"/>
      <c r="E28" s="1066"/>
      <c r="F28" s="1066" t="s">
        <v>1098</v>
      </c>
      <c r="G28" s="1066">
        <v>100</v>
      </c>
      <c r="H28" s="1066"/>
      <c r="I28" s="754">
        <f>+I29</f>
        <v>0</v>
      </c>
      <c r="J28" s="754">
        <f t="shared" ref="J28:P28" si="26">+J29</f>
        <v>0</v>
      </c>
      <c r="K28" s="754">
        <f>+K29</f>
        <v>120000000</v>
      </c>
      <c r="L28" s="754">
        <f t="shared" si="26"/>
        <v>120000000</v>
      </c>
      <c r="M28" s="754">
        <f t="shared" si="26"/>
        <v>0</v>
      </c>
      <c r="N28" s="754">
        <f t="shared" si="26"/>
        <v>0</v>
      </c>
      <c r="O28" s="754">
        <f t="shared" si="26"/>
        <v>0</v>
      </c>
      <c r="P28" s="755">
        <f t="shared" si="26"/>
        <v>120000000</v>
      </c>
      <c r="Q28" s="292"/>
      <c r="R28" s="292"/>
      <c r="S28" s="292"/>
      <c r="T28" s="292"/>
      <c r="U28" s="292"/>
      <c r="V28" s="292"/>
      <c r="W28" s="292"/>
      <c r="X28" s="292"/>
      <c r="Y28" s="292"/>
      <c r="Z28" s="292"/>
      <c r="AA28" s="292"/>
      <c r="AB28" s="292"/>
      <c r="AC28" s="292"/>
    </row>
    <row r="29" spans="1:29" ht="63.75" customHeight="1">
      <c r="A29" s="288"/>
      <c r="B29" s="288" t="s">
        <v>1489</v>
      </c>
      <c r="C29" s="196" t="s">
        <v>1176</v>
      </c>
      <c r="D29" s="197"/>
      <c r="E29" s="197"/>
      <c r="F29" s="197" t="s">
        <v>1099</v>
      </c>
      <c r="G29" s="197">
        <v>30</v>
      </c>
      <c r="H29" s="197"/>
      <c r="I29" s="337">
        <f>SUM(I30:I31)</f>
        <v>0</v>
      </c>
      <c r="J29" s="337">
        <f t="shared" ref="J29:P29" si="27">SUM(J30:J31)</f>
        <v>0</v>
      </c>
      <c r="K29" s="337">
        <f>SUM(K30:K31)</f>
        <v>120000000</v>
      </c>
      <c r="L29" s="337">
        <f t="shared" si="27"/>
        <v>120000000</v>
      </c>
      <c r="M29" s="337">
        <f t="shared" si="27"/>
        <v>0</v>
      </c>
      <c r="N29" s="337">
        <f t="shared" si="27"/>
        <v>0</v>
      </c>
      <c r="O29" s="337">
        <f>SUM(O30:O31)</f>
        <v>0</v>
      </c>
      <c r="P29" s="202">
        <f t="shared" si="27"/>
        <v>120000000</v>
      </c>
      <c r="Q29" s="292"/>
      <c r="R29" s="292"/>
      <c r="S29" s="292"/>
      <c r="T29" s="292"/>
      <c r="U29" s="292"/>
      <c r="V29" s="292"/>
      <c r="W29" s="292"/>
      <c r="X29" s="292"/>
      <c r="Y29" s="292"/>
      <c r="Z29" s="292"/>
      <c r="AA29" s="292"/>
      <c r="AB29" s="292"/>
      <c r="AC29" s="292"/>
    </row>
    <row r="30" spans="1:29" s="1169" customFormat="1" ht="21.75" customHeight="1">
      <c r="A30"/>
      <c r="B30"/>
      <c r="C30" s="1088" t="s">
        <v>695</v>
      </c>
      <c r="D30" s="1196" t="s">
        <v>402</v>
      </c>
      <c r="E30" s="1196">
        <v>91131</v>
      </c>
      <c r="F30" s="1171" t="s">
        <v>448</v>
      </c>
      <c r="G30" s="1171">
        <v>1</v>
      </c>
      <c r="H30" s="1262">
        <v>120000000</v>
      </c>
      <c r="I30" s="1231"/>
      <c r="J30" s="1231"/>
      <c r="K30" s="1231">
        <v>120000000</v>
      </c>
      <c r="L30" s="1306">
        <f>SUM(I30:K30)</f>
        <v>120000000</v>
      </c>
      <c r="M30" s="1231"/>
      <c r="N30" s="1231"/>
      <c r="O30" s="1231">
        <f>+SUM(M30:N30)</f>
        <v>0</v>
      </c>
      <c r="P30" s="1355">
        <f>+O30+L30</f>
        <v>120000000</v>
      </c>
      <c r="Q30" s="1174">
        <v>120000000</v>
      </c>
      <c r="R30" s="1174"/>
      <c r="S30" s="1174"/>
      <c r="T30" s="1174">
        <f>+Q30-R30</f>
        <v>120000000</v>
      </c>
      <c r="U30" s="1174"/>
      <c r="V30" s="1174"/>
      <c r="W30" s="1174">
        <v>120000000</v>
      </c>
      <c r="X30" s="1174"/>
      <c r="Y30" s="1174"/>
      <c r="Z30" s="1174" t="s">
        <v>231</v>
      </c>
      <c r="AA30" s="1174" t="s">
        <v>41</v>
      </c>
      <c r="AB30" s="1174"/>
      <c r="AC30" s="1174"/>
    </row>
    <row r="31" spans="1:29" s="1169" customFormat="1" ht="15.75" thickBot="1">
      <c r="A31"/>
      <c r="B31"/>
      <c r="C31" s="1101"/>
      <c r="D31" s="1250"/>
      <c r="E31" s="1250"/>
      <c r="F31" s="1250"/>
      <c r="G31" s="1250"/>
      <c r="H31" s="1617"/>
      <c r="I31" s="1251"/>
      <c r="J31" s="1251"/>
      <c r="K31" s="1251"/>
      <c r="L31" s="1252">
        <f>SUM(I31:K31)</f>
        <v>0</v>
      </c>
      <c r="M31" s="1251"/>
      <c r="N31" s="1251"/>
      <c r="O31" s="1252">
        <f>+SUM(M31:N31)</f>
        <v>0</v>
      </c>
      <c r="P31" s="1253">
        <f>+O31+L31</f>
        <v>0</v>
      </c>
      <c r="Q31" s="1174"/>
      <c r="R31" s="1174"/>
      <c r="S31" s="1174"/>
      <c r="T31" s="1174"/>
      <c r="U31" s="1174"/>
      <c r="V31" s="1174"/>
      <c r="W31" s="1174"/>
      <c r="X31" s="1174"/>
      <c r="Y31" s="1174"/>
      <c r="Z31" s="1174"/>
      <c r="AA31" s="1174"/>
      <c r="AB31" s="1174"/>
      <c r="AC31" s="1174"/>
    </row>
    <row r="32" spans="1:29" ht="42" customHeight="1" thickBot="1">
      <c r="A32" s="288" t="s">
        <v>1487</v>
      </c>
      <c r="B32" s="288"/>
      <c r="C32" s="752" t="s">
        <v>1436</v>
      </c>
      <c r="D32" s="753"/>
      <c r="E32" s="753" t="e">
        <f>+E33+E42+E45+E50+#REF!</f>
        <v>#REF!</v>
      </c>
      <c r="F32" s="753" t="s">
        <v>1098</v>
      </c>
      <c r="G32" s="753">
        <v>100</v>
      </c>
      <c r="H32" s="753">
        <f t="shared" ref="H32" si="28">+H33</f>
        <v>194158527.264</v>
      </c>
      <c r="I32" s="754">
        <f>+I33+I42+I45+I50</f>
        <v>1467632820.6800001</v>
      </c>
      <c r="J32" s="754">
        <f t="shared" ref="J32:P32" si="29">+J33+J42+J45+J50</f>
        <v>40160000</v>
      </c>
      <c r="K32" s="754">
        <f t="shared" si="29"/>
        <v>805489118.54499996</v>
      </c>
      <c r="L32" s="754">
        <f t="shared" si="29"/>
        <v>2313281939.2249999</v>
      </c>
      <c r="M32" s="754">
        <f t="shared" si="29"/>
        <v>0</v>
      </c>
      <c r="N32" s="754">
        <f t="shared" si="29"/>
        <v>254243640</v>
      </c>
      <c r="O32" s="754">
        <f t="shared" si="29"/>
        <v>254243640</v>
      </c>
      <c r="P32" s="754">
        <f t="shared" si="29"/>
        <v>2567525579.2249999</v>
      </c>
      <c r="Q32" s="292"/>
      <c r="R32" s="292"/>
      <c r="S32" s="292"/>
      <c r="T32" s="292"/>
      <c r="U32" s="292"/>
      <c r="V32" s="292"/>
      <c r="W32" s="292"/>
      <c r="X32" s="292"/>
      <c r="Y32" s="292"/>
      <c r="Z32" s="292"/>
      <c r="AA32" s="292"/>
      <c r="AB32" s="292"/>
      <c r="AC32" s="292"/>
    </row>
    <row r="33" spans="1:29" ht="63.75" customHeight="1">
      <c r="A33" s="288"/>
      <c r="B33" s="288" t="s">
        <v>1490</v>
      </c>
      <c r="C33" s="196" t="s">
        <v>1070</v>
      </c>
      <c r="D33" s="203"/>
      <c r="E33" s="203">
        <f t="shared" ref="E33:O33" si="30">SUM(E34:E41)</f>
        <v>406500</v>
      </c>
      <c r="F33" s="203" t="s">
        <v>1099</v>
      </c>
      <c r="G33" s="203">
        <v>10</v>
      </c>
      <c r="H33" s="203">
        <f t="shared" si="30"/>
        <v>194158527.264</v>
      </c>
      <c r="I33" s="337">
        <f>SUM(I34:I41)</f>
        <v>67629591.680000007</v>
      </c>
      <c r="J33" s="337">
        <f t="shared" si="30"/>
        <v>29769760</v>
      </c>
      <c r="K33" s="337">
        <f t="shared" si="30"/>
        <v>130962721.54499999</v>
      </c>
      <c r="L33" s="337">
        <f>SUM(L34:L41)</f>
        <v>228362073.22499999</v>
      </c>
      <c r="M33" s="337">
        <f t="shared" si="30"/>
        <v>0</v>
      </c>
      <c r="N33" s="337">
        <f t="shared" si="30"/>
        <v>64183115</v>
      </c>
      <c r="O33" s="337">
        <f t="shared" si="30"/>
        <v>64183115</v>
      </c>
      <c r="P33" s="202">
        <f>SUM(P34:P41)</f>
        <v>292545188.22499996</v>
      </c>
      <c r="Q33" s="292"/>
      <c r="R33" s="292"/>
      <c r="S33" s="292"/>
      <c r="T33" s="292"/>
      <c r="U33" s="292"/>
      <c r="V33" s="292"/>
      <c r="W33" s="292"/>
      <c r="X33" s="292"/>
      <c r="Y33" s="292"/>
      <c r="Z33" s="292"/>
      <c r="AA33" s="292"/>
      <c r="AB33" s="292"/>
      <c r="AC33" s="292"/>
    </row>
    <row r="34" spans="1:29" s="1169" customFormat="1" ht="21" customHeight="1">
      <c r="A34"/>
      <c r="B34"/>
      <c r="C34" s="1088" t="s">
        <v>449</v>
      </c>
      <c r="D34" s="1089" t="s">
        <v>402</v>
      </c>
      <c r="E34" s="1089">
        <v>91131</v>
      </c>
      <c r="F34" s="1089" t="s">
        <v>232</v>
      </c>
      <c r="G34" s="1089">
        <v>10</v>
      </c>
      <c r="H34" s="1089">
        <v>11088272.16</v>
      </c>
      <c r="I34" s="1231"/>
      <c r="J34" s="1231"/>
      <c r="K34" s="1231">
        <v>110882721.54499999</v>
      </c>
      <c r="L34" s="1231">
        <f t="shared" ref="L34:L41" si="31">SUM(I34:K34)</f>
        <v>110882721.54499999</v>
      </c>
      <c r="M34" s="1231"/>
      <c r="N34" s="1231"/>
      <c r="O34" s="1231">
        <f t="shared" ref="O34:O41" si="32">SUM(M34:N34)</f>
        <v>0</v>
      </c>
      <c r="P34" s="1355">
        <f t="shared" ref="P34:P41" si="33">+O34+L34</f>
        <v>110882721.54499999</v>
      </c>
      <c r="Q34" s="1174">
        <v>110882721.54499999</v>
      </c>
      <c r="R34" s="1174"/>
      <c r="S34" s="1174"/>
      <c r="T34" s="1174">
        <f>+Q34-R34</f>
        <v>110882721.54499999</v>
      </c>
      <c r="U34" s="1174"/>
      <c r="V34" s="1174"/>
      <c r="W34" s="1174">
        <v>110882721.54499999</v>
      </c>
      <c r="X34" s="1174"/>
      <c r="Y34" s="1174"/>
      <c r="Z34" s="1174" t="s">
        <v>60</v>
      </c>
      <c r="AA34" s="1174" t="s">
        <v>1336</v>
      </c>
      <c r="AB34" s="1174"/>
      <c r="AC34" s="1174"/>
    </row>
    <row r="35" spans="1:29" s="1169" customFormat="1" ht="21" customHeight="1">
      <c r="A35"/>
      <c r="B35"/>
      <c r="C35" s="1088" t="s">
        <v>450</v>
      </c>
      <c r="D35" s="1089" t="s">
        <v>211</v>
      </c>
      <c r="E35" s="1089">
        <v>83990</v>
      </c>
      <c r="F35" s="1089" t="s">
        <v>448</v>
      </c>
      <c r="G35" s="1089">
        <v>1</v>
      </c>
      <c r="H35" s="1089">
        <v>11088272.16</v>
      </c>
      <c r="I35" s="1231">
        <v>11088272.16</v>
      </c>
      <c r="J35" s="1231"/>
      <c r="K35" s="1231"/>
      <c r="L35" s="1231">
        <f t="shared" si="31"/>
        <v>11088272.16</v>
      </c>
      <c r="M35" s="1231"/>
      <c r="N35" s="1231"/>
      <c r="O35" s="1231">
        <f t="shared" si="32"/>
        <v>0</v>
      </c>
      <c r="P35" s="1355">
        <f t="shared" si="33"/>
        <v>11088272.16</v>
      </c>
      <c r="Q35" s="1174">
        <v>11088272.16</v>
      </c>
      <c r="R35" s="1174"/>
      <c r="S35" s="1174"/>
      <c r="T35" s="1174">
        <f t="shared" ref="T35:T44" si="34">+Q35-R35</f>
        <v>11088272.16</v>
      </c>
      <c r="U35" s="1174">
        <v>11088272.16</v>
      </c>
      <c r="V35" s="1174"/>
      <c r="W35" s="1174"/>
      <c r="X35" s="1174"/>
      <c r="Y35" s="1174"/>
      <c r="Z35" s="1174" t="s">
        <v>60</v>
      </c>
      <c r="AA35" s="1174" t="s">
        <v>1336</v>
      </c>
      <c r="AB35" s="1174"/>
      <c r="AC35" s="1174"/>
    </row>
    <row r="36" spans="1:29" s="1169" customFormat="1" ht="21" customHeight="1">
      <c r="A36"/>
      <c r="B36"/>
      <c r="C36" s="1088" t="s">
        <v>451</v>
      </c>
      <c r="D36" s="1089" t="s">
        <v>374</v>
      </c>
      <c r="E36" s="1089" t="s">
        <v>452</v>
      </c>
      <c r="F36" s="1089" t="s">
        <v>198</v>
      </c>
      <c r="G36" s="1089">
        <v>1</v>
      </c>
      <c r="H36" s="1089">
        <v>20080000</v>
      </c>
      <c r="I36" s="1231"/>
      <c r="J36" s="1231"/>
      <c r="K36" s="1231">
        <v>20080000</v>
      </c>
      <c r="L36" s="1231">
        <f t="shared" si="31"/>
        <v>20080000</v>
      </c>
      <c r="M36" s="1231"/>
      <c r="N36" s="1231"/>
      <c r="O36" s="1231">
        <f t="shared" si="32"/>
        <v>0</v>
      </c>
      <c r="P36" s="1355">
        <f t="shared" si="33"/>
        <v>20080000</v>
      </c>
      <c r="Q36" s="1174">
        <v>20080000</v>
      </c>
      <c r="R36" s="1174"/>
      <c r="S36" s="1174"/>
      <c r="T36" s="1174">
        <f t="shared" si="34"/>
        <v>20080000</v>
      </c>
      <c r="U36" s="1174"/>
      <c r="V36" s="1174"/>
      <c r="W36" s="1174">
        <v>20080000</v>
      </c>
      <c r="X36" s="1174"/>
      <c r="Y36" s="1174"/>
      <c r="Z36" s="1174" t="s">
        <v>60</v>
      </c>
      <c r="AA36" s="1174" t="s">
        <v>1336</v>
      </c>
      <c r="AB36" s="1174"/>
      <c r="AC36" s="1174"/>
    </row>
    <row r="37" spans="1:29" s="1169" customFormat="1" ht="24" customHeight="1">
      <c r="A37"/>
      <c r="B37"/>
      <c r="C37" s="1088" t="s">
        <v>913</v>
      </c>
      <c r="D37" s="1089"/>
      <c r="E37" s="1089"/>
      <c r="F37" s="1089"/>
      <c r="G37" s="1089"/>
      <c r="H37" s="1089"/>
      <c r="I37" s="1231"/>
      <c r="J37" s="1231"/>
      <c r="K37" s="1231"/>
      <c r="L37" s="1231">
        <f t="shared" si="31"/>
        <v>0</v>
      </c>
      <c r="M37" s="1231"/>
      <c r="N37" s="1231">
        <v>64183115</v>
      </c>
      <c r="O37" s="1231">
        <f t="shared" si="32"/>
        <v>64183115</v>
      </c>
      <c r="P37" s="1355">
        <f t="shared" si="33"/>
        <v>64183115</v>
      </c>
      <c r="Q37" s="1174">
        <v>64183115</v>
      </c>
      <c r="R37" s="1174"/>
      <c r="S37" s="1174"/>
      <c r="T37" s="1174">
        <f t="shared" si="34"/>
        <v>64183115</v>
      </c>
      <c r="U37" s="1174"/>
      <c r="V37" s="1174"/>
      <c r="W37" s="1174"/>
      <c r="X37" s="1174"/>
      <c r="Y37" s="1174">
        <v>64183115</v>
      </c>
      <c r="Z37" s="1174" t="s">
        <v>60</v>
      </c>
      <c r="AA37" s="1174" t="s">
        <v>1336</v>
      </c>
      <c r="AB37" s="1174"/>
      <c r="AC37" s="1174"/>
    </row>
    <row r="38" spans="1:29" s="1158" customFormat="1" ht="31.5" customHeight="1">
      <c r="A38"/>
      <c r="B38"/>
      <c r="C38" s="1094" t="s">
        <v>453</v>
      </c>
      <c r="D38" s="1095" t="s">
        <v>381</v>
      </c>
      <c r="E38" s="1095" t="s">
        <v>403</v>
      </c>
      <c r="F38" s="1095" t="s">
        <v>448</v>
      </c>
      <c r="G38" s="1095">
        <v>1</v>
      </c>
      <c r="H38" s="1095">
        <v>7431080</v>
      </c>
      <c r="I38" s="1139"/>
      <c r="J38" s="1139">
        <v>7431080</v>
      </c>
      <c r="K38" s="1139"/>
      <c r="L38" s="1139">
        <f t="shared" si="31"/>
        <v>7431080</v>
      </c>
      <c r="M38" s="1139"/>
      <c r="N38" s="1139"/>
      <c r="O38" s="1139">
        <f t="shared" si="32"/>
        <v>0</v>
      </c>
      <c r="P38" s="1352">
        <f t="shared" si="33"/>
        <v>7431080</v>
      </c>
      <c r="Q38" s="1125">
        <v>7431080</v>
      </c>
      <c r="R38" s="1125">
        <v>7431080</v>
      </c>
      <c r="S38" s="1125">
        <v>7431080</v>
      </c>
      <c r="T38" s="1125">
        <f>+Q38-S38</f>
        <v>0</v>
      </c>
      <c r="U38" s="1125"/>
      <c r="V38" s="1125"/>
      <c r="W38" s="1125"/>
      <c r="X38" s="1125"/>
      <c r="Y38" s="1125"/>
      <c r="Z38" s="1125" t="s">
        <v>60</v>
      </c>
      <c r="AA38" s="1125" t="s">
        <v>1336</v>
      </c>
      <c r="AB38" s="1125"/>
      <c r="AC38" s="1125"/>
    </row>
    <row r="39" spans="1:29" s="1158" customFormat="1" ht="57" customHeight="1">
      <c r="A39"/>
      <c r="B39"/>
      <c r="C39" s="1094" t="s">
        <v>454</v>
      </c>
      <c r="D39" s="1095" t="s">
        <v>381</v>
      </c>
      <c r="E39" s="1095">
        <v>63399</v>
      </c>
      <c r="F39" s="1095"/>
      <c r="G39" s="1095"/>
      <c r="H39" s="1095">
        <v>20080000</v>
      </c>
      <c r="I39" s="1139"/>
      <c r="J39" s="1139">
        <v>20080000</v>
      </c>
      <c r="K39" s="1139"/>
      <c r="L39" s="1139">
        <f t="shared" si="31"/>
        <v>20080000</v>
      </c>
      <c r="M39" s="1139"/>
      <c r="N39" s="1139"/>
      <c r="O39" s="1139">
        <f t="shared" si="32"/>
        <v>0</v>
      </c>
      <c r="P39" s="1352">
        <f t="shared" si="33"/>
        <v>20080000</v>
      </c>
      <c r="Q39" s="1125">
        <v>20080000</v>
      </c>
      <c r="R39" s="1125">
        <v>20080000</v>
      </c>
      <c r="S39" s="1125">
        <v>20080000</v>
      </c>
      <c r="T39" s="1125">
        <f t="shared" ref="T39" si="35">+Q39-S39</f>
        <v>0</v>
      </c>
      <c r="U39" s="1125"/>
      <c r="V39" s="1125"/>
      <c r="W39" s="1125"/>
      <c r="X39" s="1125"/>
      <c r="Y39" s="1125"/>
      <c r="Z39" s="1125" t="s">
        <v>60</v>
      </c>
      <c r="AA39" s="1125" t="s">
        <v>1336</v>
      </c>
      <c r="AB39" s="1125"/>
      <c r="AC39" s="1125"/>
    </row>
    <row r="40" spans="1:29" s="1158" customFormat="1" ht="24" customHeight="1">
      <c r="A40"/>
      <c r="B40"/>
      <c r="C40" s="1094" t="s">
        <v>455</v>
      </c>
      <c r="D40" s="1095" t="s">
        <v>211</v>
      </c>
      <c r="E40" s="1095">
        <v>83990</v>
      </c>
      <c r="F40" s="1095" t="s">
        <v>197</v>
      </c>
      <c r="G40" s="1095">
        <v>11</v>
      </c>
      <c r="H40" s="1095">
        <v>62195451.47200001</v>
      </c>
      <c r="I40" s="1139">
        <v>53403080</v>
      </c>
      <c r="J40" s="1139">
        <v>2258680</v>
      </c>
      <c r="K40" s="1139"/>
      <c r="L40" s="1139">
        <f t="shared" ref="L40" si="36">SUM(I40:K40)</f>
        <v>55661760</v>
      </c>
      <c r="M40" s="1139"/>
      <c r="N40" s="1139"/>
      <c r="O40" s="1139">
        <f t="shared" ref="O40" si="37">SUM(M40:N40)</f>
        <v>0</v>
      </c>
      <c r="P40" s="1352">
        <f t="shared" ref="P40" si="38">+O40+L40</f>
        <v>55661760</v>
      </c>
      <c r="Q40" s="1125">
        <v>58799999.520000003</v>
      </c>
      <c r="R40" s="1125">
        <v>55661760</v>
      </c>
      <c r="S40" s="1125">
        <v>55661760</v>
      </c>
      <c r="T40" s="1125">
        <f>+Q40-S40</f>
        <v>3138239.5200000033</v>
      </c>
      <c r="U40" s="1125">
        <v>3138239.5200000033</v>
      </c>
      <c r="V40" s="1125"/>
      <c r="W40" s="1125"/>
      <c r="X40" s="1125"/>
      <c r="Y40" s="1125"/>
      <c r="Z40" s="1125" t="s">
        <v>60</v>
      </c>
      <c r="AA40" s="1125" t="s">
        <v>1336</v>
      </c>
      <c r="AB40" s="1125"/>
      <c r="AC40" s="1125"/>
    </row>
    <row r="41" spans="1:29" s="1169" customFormat="1" ht="24" customHeight="1">
      <c r="A41"/>
      <c r="B41"/>
      <c r="C41" s="1088" t="s">
        <v>455</v>
      </c>
      <c r="D41" s="1089" t="s">
        <v>211</v>
      </c>
      <c r="E41" s="1089">
        <v>83990</v>
      </c>
      <c r="F41" s="1089" t="s">
        <v>197</v>
      </c>
      <c r="G41" s="1089">
        <v>11</v>
      </c>
      <c r="H41" s="1089">
        <v>62195451.47200001</v>
      </c>
      <c r="I41" s="1231">
        <f>56541319.52-I40</f>
        <v>3138239.5200000033</v>
      </c>
      <c r="J41" s="1231">
        <f>2258680-J40</f>
        <v>0</v>
      </c>
      <c r="K41" s="1231"/>
      <c r="L41" s="1231">
        <f t="shared" si="31"/>
        <v>3138239.5200000033</v>
      </c>
      <c r="M41" s="1231"/>
      <c r="N41" s="1231"/>
      <c r="O41" s="1231">
        <f t="shared" si="32"/>
        <v>0</v>
      </c>
      <c r="P41" s="1355">
        <f t="shared" si="33"/>
        <v>3138239.5200000033</v>
      </c>
      <c r="Q41" s="1174">
        <v>58799999.520000003</v>
      </c>
      <c r="R41" s="1174">
        <v>55661760</v>
      </c>
      <c r="S41" s="1174">
        <v>55661760</v>
      </c>
      <c r="T41" s="1174">
        <f>+Q41-S41</f>
        <v>3138239.5200000033</v>
      </c>
      <c r="U41" s="1174">
        <v>3138239.5200000033</v>
      </c>
      <c r="V41" s="1174"/>
      <c r="W41" s="1174"/>
      <c r="X41" s="1174"/>
      <c r="Y41" s="1174"/>
      <c r="Z41" s="1174" t="s">
        <v>60</v>
      </c>
      <c r="AA41" s="1174" t="s">
        <v>1336</v>
      </c>
      <c r="AB41" s="1174"/>
      <c r="AC41" s="1174"/>
    </row>
    <row r="42" spans="1:29" ht="33.75" customHeight="1">
      <c r="A42" s="288"/>
      <c r="B42" s="288" t="s">
        <v>1491</v>
      </c>
      <c r="C42" s="93" t="s">
        <v>1071</v>
      </c>
      <c r="D42" s="95"/>
      <c r="E42" s="95"/>
      <c r="F42" s="95" t="s">
        <v>1099</v>
      </c>
      <c r="G42" s="95">
        <v>50</v>
      </c>
      <c r="H42" s="95"/>
      <c r="I42" s="497">
        <f t="shared" ref="I42:O42" si="39">SUM(I43:I44)</f>
        <v>8077500</v>
      </c>
      <c r="J42" s="497">
        <f t="shared" si="39"/>
        <v>0</v>
      </c>
      <c r="K42" s="497">
        <f t="shared" si="39"/>
        <v>80775000</v>
      </c>
      <c r="L42" s="497">
        <f t="shared" si="39"/>
        <v>88852500</v>
      </c>
      <c r="M42" s="497">
        <f t="shared" si="39"/>
        <v>0</v>
      </c>
      <c r="N42" s="497">
        <f t="shared" si="39"/>
        <v>0</v>
      </c>
      <c r="O42" s="497">
        <f t="shared" si="39"/>
        <v>0</v>
      </c>
      <c r="P42" s="122">
        <f>SUM(P43:P44)</f>
        <v>88852500</v>
      </c>
      <c r="Q42" s="292"/>
      <c r="R42" s="292"/>
      <c r="S42" s="292"/>
      <c r="T42" s="292"/>
      <c r="U42" s="292"/>
      <c r="V42" s="292"/>
      <c r="W42" s="292"/>
      <c r="X42" s="292"/>
      <c r="Y42" s="292"/>
      <c r="Z42" s="292"/>
      <c r="AB42" s="292"/>
      <c r="AC42" s="292"/>
    </row>
    <row r="43" spans="1:29" s="1169" customFormat="1" ht="24" customHeight="1">
      <c r="A43"/>
      <c r="B43"/>
      <c r="C43" s="1088" t="s">
        <v>696</v>
      </c>
      <c r="D43" s="1089" t="s">
        <v>457</v>
      </c>
      <c r="E43" s="1089">
        <v>91131</v>
      </c>
      <c r="F43" s="1089" t="s">
        <v>232</v>
      </c>
      <c r="G43" s="1089">
        <v>50</v>
      </c>
      <c r="H43" s="1089">
        <v>1615500</v>
      </c>
      <c r="I43" s="1231"/>
      <c r="J43" s="1231"/>
      <c r="K43" s="1231">
        <v>80775000</v>
      </c>
      <c r="L43" s="1231">
        <f>SUM(I43:K43)</f>
        <v>80775000</v>
      </c>
      <c r="M43" s="1231"/>
      <c r="N43" s="1231"/>
      <c r="O43" s="1231">
        <f>SUM(M43:N43)</f>
        <v>0</v>
      </c>
      <c r="P43" s="1355">
        <f>+O43+L43</f>
        <v>80775000</v>
      </c>
      <c r="Q43" s="1174">
        <v>80775000</v>
      </c>
      <c r="R43" s="1174"/>
      <c r="S43" s="1174"/>
      <c r="T43" s="1174">
        <f t="shared" si="34"/>
        <v>80775000</v>
      </c>
      <c r="U43" s="1174"/>
      <c r="V43" s="1174"/>
      <c r="W43" s="1174">
        <v>80775000</v>
      </c>
      <c r="X43" s="1174"/>
      <c r="Y43" s="1174"/>
      <c r="Z43" s="1174" t="s">
        <v>60</v>
      </c>
      <c r="AA43" s="1174" t="s">
        <v>1337</v>
      </c>
      <c r="AB43" s="1174"/>
      <c r="AC43" s="1174"/>
    </row>
    <row r="44" spans="1:29" s="1169" customFormat="1" ht="24" customHeight="1">
      <c r="A44"/>
      <c r="B44"/>
      <c r="C44" s="1088" t="s">
        <v>456</v>
      </c>
      <c r="D44" s="1089" t="s">
        <v>211</v>
      </c>
      <c r="E44" s="1089">
        <v>83990</v>
      </c>
      <c r="F44" s="1089" t="s">
        <v>448</v>
      </c>
      <c r="G44" s="1089">
        <v>1</v>
      </c>
      <c r="H44" s="1089">
        <v>8077500</v>
      </c>
      <c r="I44" s="1231">
        <v>8077500</v>
      </c>
      <c r="J44" s="1231"/>
      <c r="K44" s="1231"/>
      <c r="L44" s="1231">
        <f>SUM(I44:K44)</f>
        <v>8077500</v>
      </c>
      <c r="M44" s="1231"/>
      <c r="N44" s="1231"/>
      <c r="O44" s="1231">
        <f>SUM(M44:N44)</f>
        <v>0</v>
      </c>
      <c r="P44" s="1355">
        <f>+O44+L44</f>
        <v>8077500</v>
      </c>
      <c r="Q44" s="1174">
        <v>8077500</v>
      </c>
      <c r="R44" s="1174"/>
      <c r="S44" s="1174"/>
      <c r="T44" s="1174">
        <f t="shared" si="34"/>
        <v>8077500</v>
      </c>
      <c r="U44" s="1174">
        <v>8077500</v>
      </c>
      <c r="V44" s="1174"/>
      <c r="W44" s="1174"/>
      <c r="X44" s="1174"/>
      <c r="Y44" s="1174"/>
      <c r="Z44" s="1174" t="s">
        <v>60</v>
      </c>
      <c r="AA44" s="1174" t="s">
        <v>1337</v>
      </c>
      <c r="AB44" s="1174"/>
      <c r="AC44" s="1174"/>
    </row>
    <row r="45" spans="1:29" ht="42.75" customHeight="1">
      <c r="A45"/>
      <c r="B45"/>
      <c r="C45" s="93" t="s">
        <v>1072</v>
      </c>
      <c r="D45" s="95"/>
      <c r="E45" s="95"/>
      <c r="F45" s="95" t="s">
        <v>1103</v>
      </c>
      <c r="G45" s="95">
        <v>68000</v>
      </c>
      <c r="H45" s="95"/>
      <c r="I45" s="497">
        <f t="shared" ref="I45:O45" si="40">SUM(I46:I49)</f>
        <v>1357425249</v>
      </c>
      <c r="J45" s="497">
        <f t="shared" si="40"/>
        <v>10390240</v>
      </c>
      <c r="K45" s="497">
        <f t="shared" si="40"/>
        <v>248751397</v>
      </c>
      <c r="L45" s="497">
        <f t="shared" si="40"/>
        <v>1616566886</v>
      </c>
      <c r="M45" s="497">
        <f t="shared" si="40"/>
        <v>0</v>
      </c>
      <c r="N45" s="497">
        <f t="shared" si="40"/>
        <v>190060525</v>
      </c>
      <c r="O45" s="497">
        <f t="shared" si="40"/>
        <v>190060525</v>
      </c>
      <c r="P45" s="122">
        <f>SUM(P46:P49)</f>
        <v>1806627411</v>
      </c>
      <c r="Q45" s="292"/>
      <c r="R45" s="292"/>
      <c r="S45" s="292"/>
      <c r="T45" s="292"/>
      <c r="U45" s="292"/>
      <c r="V45" s="292"/>
      <c r="W45" s="292"/>
      <c r="X45" s="292"/>
      <c r="Y45" s="292"/>
      <c r="Z45" s="292"/>
      <c r="AA45" s="292"/>
      <c r="AB45" s="292"/>
      <c r="AC45" s="292"/>
    </row>
    <row r="46" spans="1:29" s="1169" customFormat="1" ht="24" customHeight="1">
      <c r="A46"/>
      <c r="B46"/>
      <c r="C46" s="1088" t="s">
        <v>456</v>
      </c>
      <c r="D46" s="1089" t="s">
        <v>211</v>
      </c>
      <c r="E46" s="1089">
        <v>83990</v>
      </c>
      <c r="F46" s="1089" t="s">
        <v>448</v>
      </c>
      <c r="G46" s="1089">
        <v>1</v>
      </c>
      <c r="H46" s="1089">
        <v>52487680.000000007</v>
      </c>
      <c r="I46" s="1231">
        <v>52487680.000000007</v>
      </c>
      <c r="J46" s="1231"/>
      <c r="K46" s="1231"/>
      <c r="L46" s="1231">
        <f>SUM(I46:K46)</f>
        <v>52487680.000000007</v>
      </c>
      <c r="M46" s="1231"/>
      <c r="N46" s="1231"/>
      <c r="O46" s="1231">
        <f>SUM(M46:N46)</f>
        <v>0</v>
      </c>
      <c r="P46" s="1355">
        <f>+O46+L46</f>
        <v>52487680.000000007</v>
      </c>
      <c r="Q46" s="1174">
        <v>52487680.000000007</v>
      </c>
      <c r="R46" s="1174"/>
      <c r="S46" s="1174"/>
      <c r="T46" s="1174">
        <f>+Q46-R46</f>
        <v>52487680.000000007</v>
      </c>
      <c r="U46" s="1174">
        <v>52487680.000000007</v>
      </c>
      <c r="V46" s="1174"/>
      <c r="W46" s="1174"/>
      <c r="X46" s="1174"/>
      <c r="Y46" s="1174"/>
      <c r="Z46" s="1174" t="s">
        <v>42</v>
      </c>
      <c r="AA46" s="1174" t="s">
        <v>1338</v>
      </c>
      <c r="AB46" s="1174"/>
      <c r="AC46" s="1174"/>
    </row>
    <row r="47" spans="1:29" s="1158" customFormat="1" ht="24" customHeight="1">
      <c r="A47"/>
      <c r="B47"/>
      <c r="C47" s="1094" t="s">
        <v>459</v>
      </c>
      <c r="D47" s="1095" t="s">
        <v>211</v>
      </c>
      <c r="E47" s="1095">
        <v>83990</v>
      </c>
      <c r="F47" s="1095" t="s">
        <v>197</v>
      </c>
      <c r="G47" s="1095">
        <v>11</v>
      </c>
      <c r="H47" s="1095">
        <v>43212400.000000007</v>
      </c>
      <c r="I47" s="1139">
        <v>38139887</v>
      </c>
      <c r="J47" s="1139"/>
      <c r="K47" s="1139"/>
      <c r="L47" s="1139">
        <f>SUM(I47:K47)</f>
        <v>38139887</v>
      </c>
      <c r="M47" s="1139"/>
      <c r="N47" s="1139"/>
      <c r="O47" s="1139">
        <f>SUM(M47:N47)</f>
        <v>0</v>
      </c>
      <c r="P47" s="1352">
        <f>+O47+L47</f>
        <v>38139887</v>
      </c>
      <c r="Q47" s="1125">
        <v>49674240</v>
      </c>
      <c r="R47" s="1125">
        <v>38139887</v>
      </c>
      <c r="S47" s="1125">
        <v>38139887</v>
      </c>
      <c r="T47" s="1125">
        <f>+Q47-S47</f>
        <v>11534353</v>
      </c>
      <c r="U47" s="1125">
        <v>1144113</v>
      </c>
      <c r="V47" s="1125">
        <v>10390240</v>
      </c>
      <c r="W47" s="1125"/>
      <c r="X47" s="1125"/>
      <c r="Y47" s="1125"/>
      <c r="Z47" s="1125" t="s">
        <v>42</v>
      </c>
      <c r="AA47" s="1125" t="s">
        <v>1338</v>
      </c>
      <c r="AB47" s="1125"/>
      <c r="AC47" s="1125"/>
    </row>
    <row r="48" spans="1:29" s="1169" customFormat="1" ht="24" customHeight="1">
      <c r="A48"/>
      <c r="B48"/>
      <c r="C48" s="1088" t="s">
        <v>459</v>
      </c>
      <c r="D48" s="1089" t="s">
        <v>211</v>
      </c>
      <c r="E48" s="1089">
        <v>83990</v>
      </c>
      <c r="F48" s="1089" t="s">
        <v>197</v>
      </c>
      <c r="G48" s="1089">
        <v>11</v>
      </c>
      <c r="H48" s="1089">
        <v>43212400.000000007</v>
      </c>
      <c r="I48" s="1231">
        <f>39284000-I47</f>
        <v>1144113</v>
      </c>
      <c r="J48" s="1231">
        <v>10390240</v>
      </c>
      <c r="K48" s="1231"/>
      <c r="L48" s="1231">
        <f>SUM(I48:K48)</f>
        <v>11534353</v>
      </c>
      <c r="M48" s="1231"/>
      <c r="N48" s="1231"/>
      <c r="O48" s="1231">
        <f>SUM(M48:N48)</f>
        <v>0</v>
      </c>
      <c r="P48" s="1355">
        <f>+O48+L48</f>
        <v>11534353</v>
      </c>
      <c r="Q48" s="1174">
        <v>49674240</v>
      </c>
      <c r="R48" s="1174">
        <v>38139887</v>
      </c>
      <c r="S48" s="1174">
        <v>38139887</v>
      </c>
      <c r="T48" s="1174">
        <f>+Q48-S48</f>
        <v>11534353</v>
      </c>
      <c r="U48" s="1174">
        <v>1144113</v>
      </c>
      <c r="V48" s="1174">
        <v>10390240</v>
      </c>
      <c r="W48" s="1174"/>
      <c r="X48" s="1174"/>
      <c r="Y48" s="1174"/>
      <c r="Z48" s="1174" t="s">
        <v>42</v>
      </c>
      <c r="AA48" s="1174" t="s">
        <v>1338</v>
      </c>
      <c r="AB48" s="1174"/>
      <c r="AC48" s="1174"/>
    </row>
    <row r="49" spans="1:29" s="1169" customFormat="1" ht="29.25" customHeight="1">
      <c r="A49"/>
      <c r="B49"/>
      <c r="C49" s="1088" t="s">
        <v>1270</v>
      </c>
      <c r="D49" s="1089"/>
      <c r="E49" s="1089"/>
      <c r="F49" s="1089"/>
      <c r="G49" s="1089"/>
      <c r="H49" s="1089"/>
      <c r="I49" s="1231">
        <f>1235653569+30000000</f>
        <v>1265653569</v>
      </c>
      <c r="J49" s="1231"/>
      <c r="K49" s="1231">
        <f>70000000+143000000+35751397</f>
        <v>248751397</v>
      </c>
      <c r="L49" s="1231">
        <f>SUM(I49:K49)</f>
        <v>1514404966</v>
      </c>
      <c r="M49" s="1231"/>
      <c r="N49" s="1231">
        <v>190060525</v>
      </c>
      <c r="O49" s="1231">
        <f>SUM(M49:N49)</f>
        <v>190060525</v>
      </c>
      <c r="P49" s="1355">
        <f>+O49+L49</f>
        <v>1704465491</v>
      </c>
      <c r="Q49" s="1174">
        <v>1674465491</v>
      </c>
      <c r="R49" s="1174"/>
      <c r="S49" s="1174"/>
      <c r="T49" s="1174">
        <f>+Q49-R49</f>
        <v>1674465491</v>
      </c>
      <c r="U49" s="1174">
        <v>1235653569</v>
      </c>
      <c r="V49" s="1174"/>
      <c r="W49" s="1174">
        <v>248751397</v>
      </c>
      <c r="X49" s="1174"/>
      <c r="Y49" s="1174">
        <v>190060525</v>
      </c>
      <c r="Z49" s="1174" t="s">
        <v>1339</v>
      </c>
      <c r="AA49" s="1174" t="s">
        <v>1339</v>
      </c>
      <c r="AB49" s="1174"/>
      <c r="AC49" s="1174"/>
    </row>
    <row r="50" spans="1:29" ht="41.25" customHeight="1">
      <c r="A50" s="288"/>
      <c r="B50" s="288" t="s">
        <v>1492</v>
      </c>
      <c r="C50" s="93" t="s">
        <v>1416</v>
      </c>
      <c r="D50" s="95"/>
      <c r="E50" s="95"/>
      <c r="F50" s="95" t="s">
        <v>1103</v>
      </c>
      <c r="G50" s="95">
        <v>10000</v>
      </c>
      <c r="H50" s="95"/>
      <c r="I50" s="497">
        <f t="shared" ref="I50:O50" si="41">SUM(I51:I52)</f>
        <v>34500480</v>
      </c>
      <c r="J50" s="497">
        <f t="shared" si="41"/>
        <v>0</v>
      </c>
      <c r="K50" s="497">
        <f t="shared" si="41"/>
        <v>345000000</v>
      </c>
      <c r="L50" s="497">
        <f t="shared" si="41"/>
        <v>379500480</v>
      </c>
      <c r="M50" s="497">
        <f t="shared" si="41"/>
        <v>0</v>
      </c>
      <c r="N50" s="497">
        <f t="shared" si="41"/>
        <v>0</v>
      </c>
      <c r="O50" s="497">
        <f t="shared" si="41"/>
        <v>0</v>
      </c>
      <c r="P50" s="122">
        <f>SUM(P51:P52)</f>
        <v>379500480</v>
      </c>
      <c r="Q50" s="292"/>
      <c r="R50" s="292"/>
      <c r="S50" s="292"/>
      <c r="T50" s="292"/>
      <c r="U50" s="292"/>
      <c r="V50" s="292"/>
      <c r="W50" s="292"/>
      <c r="X50" s="292"/>
      <c r="Y50" s="292"/>
      <c r="Z50" s="292"/>
      <c r="AA50" s="292"/>
      <c r="AB50" s="292"/>
      <c r="AC50" s="292"/>
    </row>
    <row r="51" spans="1:29" s="1169" customFormat="1" ht="24" customHeight="1">
      <c r="A51"/>
      <c r="B51"/>
      <c r="C51" s="1088" t="s">
        <v>460</v>
      </c>
      <c r="D51" s="1089" t="s">
        <v>395</v>
      </c>
      <c r="E51" s="1089">
        <v>91131</v>
      </c>
      <c r="F51" s="1089" t="s">
        <v>458</v>
      </c>
      <c r="G51" s="1089">
        <v>30000</v>
      </c>
      <c r="H51" s="1089">
        <v>11500.160000000002</v>
      </c>
      <c r="I51" s="1231"/>
      <c r="J51" s="1231"/>
      <c r="K51" s="1231">
        <v>345000000</v>
      </c>
      <c r="L51" s="1231">
        <f>SUM(I51:K51)</f>
        <v>345000000</v>
      </c>
      <c r="M51" s="1231"/>
      <c r="N51" s="1231"/>
      <c r="O51" s="1231">
        <f>SUM(M51:N51)</f>
        <v>0</v>
      </c>
      <c r="P51" s="1355">
        <f>+O51+L51</f>
        <v>345000000</v>
      </c>
      <c r="Q51" s="1174">
        <v>345000000</v>
      </c>
      <c r="R51" s="1174"/>
      <c r="S51" s="1174"/>
      <c r="T51" s="1174">
        <f t="shared" ref="T51:T52" si="42">+Q51-R51</f>
        <v>345000000</v>
      </c>
      <c r="U51" s="1174"/>
      <c r="V51" s="1174"/>
      <c r="W51" s="1174">
        <v>345000000</v>
      </c>
      <c r="X51" s="1174"/>
      <c r="Y51" s="1174"/>
      <c r="Z51" s="1174" t="s">
        <v>43</v>
      </c>
      <c r="AA51" s="1174" t="s">
        <v>1340</v>
      </c>
      <c r="AB51" s="1174"/>
      <c r="AC51" s="1174"/>
    </row>
    <row r="52" spans="1:29" s="1169" customFormat="1" ht="24" customHeight="1">
      <c r="A52"/>
      <c r="B52"/>
      <c r="C52" s="1088" t="s">
        <v>456</v>
      </c>
      <c r="D52" s="1089" t="s">
        <v>211</v>
      </c>
      <c r="E52" s="1089">
        <v>83990</v>
      </c>
      <c r="F52" s="1089" t="s">
        <v>448</v>
      </c>
      <c r="G52" s="1089">
        <v>1</v>
      </c>
      <c r="H52" s="1089">
        <v>25860682.300000001</v>
      </c>
      <c r="I52" s="1231">
        <v>34500480</v>
      </c>
      <c r="J52" s="1231"/>
      <c r="K52" s="1231"/>
      <c r="L52" s="1231">
        <f>SUM(I52:K52)</f>
        <v>34500480</v>
      </c>
      <c r="M52" s="1231"/>
      <c r="N52" s="1231"/>
      <c r="O52" s="1231">
        <f>SUM(M52:N52)</f>
        <v>0</v>
      </c>
      <c r="P52" s="1355">
        <f>+O52+L52</f>
        <v>34500480</v>
      </c>
      <c r="Q52" s="1174">
        <v>34500480.000000007</v>
      </c>
      <c r="R52" s="1174"/>
      <c r="S52" s="1174"/>
      <c r="T52" s="1174">
        <f t="shared" si="42"/>
        <v>34500480.000000007</v>
      </c>
      <c r="U52" s="1174">
        <v>34500480.000000007</v>
      </c>
      <c r="V52" s="1174"/>
      <c r="W52" s="1174"/>
      <c r="X52" s="1174"/>
      <c r="Y52" s="1174"/>
      <c r="Z52" s="1174" t="s">
        <v>43</v>
      </c>
      <c r="AA52" s="1174" t="s">
        <v>1340</v>
      </c>
      <c r="AB52" s="1174"/>
      <c r="AC52" s="1174"/>
    </row>
    <row r="53" spans="1:29" ht="51.75" customHeight="1" thickBot="1">
      <c r="A53" s="288" t="s">
        <v>1488</v>
      </c>
      <c r="B53" s="288"/>
      <c r="C53" s="596" t="s">
        <v>1050</v>
      </c>
      <c r="D53" s="620"/>
      <c r="E53" s="620"/>
      <c r="F53" s="620" t="s">
        <v>1098</v>
      </c>
      <c r="G53" s="620">
        <v>100</v>
      </c>
      <c r="H53" s="620"/>
      <c r="I53" s="621">
        <f>+I54</f>
        <v>10000000</v>
      </c>
      <c r="J53" s="621">
        <f>+J54</f>
        <v>10000000</v>
      </c>
      <c r="K53" s="621">
        <f t="shared" ref="K53:P53" si="43">+K54</f>
        <v>0</v>
      </c>
      <c r="L53" s="621">
        <f t="shared" si="43"/>
        <v>20000000</v>
      </c>
      <c r="M53" s="621">
        <f t="shared" si="43"/>
        <v>0</v>
      </c>
      <c r="N53" s="621">
        <f t="shared" si="43"/>
        <v>0</v>
      </c>
      <c r="O53" s="621">
        <f t="shared" si="43"/>
        <v>0</v>
      </c>
      <c r="P53" s="622">
        <f t="shared" si="43"/>
        <v>20000000</v>
      </c>
      <c r="Q53" s="292"/>
      <c r="R53" s="292"/>
      <c r="S53" s="292"/>
      <c r="T53" s="292"/>
      <c r="U53" s="292"/>
      <c r="V53" s="292"/>
      <c r="W53" s="292"/>
      <c r="X53" s="292"/>
      <c r="Y53" s="292"/>
      <c r="Z53" s="292"/>
      <c r="AA53" s="292"/>
      <c r="AB53" s="292"/>
      <c r="AC53" s="292"/>
    </row>
    <row r="54" spans="1:29" s="1158" customFormat="1" ht="41.25" customHeight="1" thickBot="1">
      <c r="A54" s="288"/>
      <c r="B54" s="288" t="s">
        <v>1493</v>
      </c>
      <c r="C54" s="1081" t="s">
        <v>1051</v>
      </c>
      <c r="D54" s="1082" t="s">
        <v>211</v>
      </c>
      <c r="E54" s="1082">
        <v>83990</v>
      </c>
      <c r="F54" s="1082" t="s">
        <v>1104</v>
      </c>
      <c r="G54" s="1082">
        <v>2</v>
      </c>
      <c r="H54" s="1082">
        <v>7211117.0700800009</v>
      </c>
      <c r="I54" s="1209">
        <v>10000000</v>
      </c>
      <c r="J54" s="1209">
        <v>10000000</v>
      </c>
      <c r="K54" s="1209"/>
      <c r="L54" s="1209">
        <f>SUM(I54:K54)</f>
        <v>20000000</v>
      </c>
      <c r="M54" s="1209"/>
      <c r="N54" s="1209"/>
      <c r="O54" s="1209">
        <f>SUM(M54:N54)</f>
        <v>0</v>
      </c>
      <c r="P54" s="1210">
        <f>+O54+L54</f>
        <v>20000000</v>
      </c>
      <c r="Q54" s="1211">
        <v>20000000</v>
      </c>
      <c r="R54" s="1211">
        <v>20000000</v>
      </c>
      <c r="S54" s="1211">
        <v>20000000</v>
      </c>
      <c r="T54" s="1125">
        <f>+Q54-S54</f>
        <v>0</v>
      </c>
      <c r="U54" s="1125"/>
      <c r="V54" s="1125"/>
      <c r="W54" s="1125"/>
      <c r="X54" s="1125"/>
      <c r="Y54" s="1125"/>
      <c r="Z54" s="1125"/>
      <c r="AA54" s="1125"/>
      <c r="AB54" s="1125"/>
      <c r="AC54" s="1125"/>
    </row>
    <row r="55" spans="1:29" ht="13.5" thickBot="1">
      <c r="A55" s="286" t="s">
        <v>318</v>
      </c>
      <c r="B55" s="286"/>
      <c r="C55" s="2242" t="s">
        <v>10</v>
      </c>
      <c r="D55" s="2243"/>
      <c r="E55" s="2243"/>
      <c r="F55" s="2243"/>
      <c r="G55" s="2243"/>
      <c r="H55" s="2296"/>
      <c r="I55" s="750">
        <f>++I10+I28+I32+I53</f>
        <v>4317538147.4499998</v>
      </c>
      <c r="J55" s="750">
        <f t="shared" ref="J55:P55" si="44">++J10+J28+J32+J53</f>
        <v>328840195</v>
      </c>
      <c r="K55" s="750">
        <f t="shared" si="44"/>
        <v>3360626110.5450001</v>
      </c>
      <c r="L55" s="750">
        <f t="shared" si="44"/>
        <v>8007004452.9950008</v>
      </c>
      <c r="M55" s="750">
        <f t="shared" si="44"/>
        <v>420000000</v>
      </c>
      <c r="N55" s="750">
        <f t="shared" si="44"/>
        <v>254243640</v>
      </c>
      <c r="O55" s="750">
        <f t="shared" si="44"/>
        <v>674243640</v>
      </c>
      <c r="P55" s="750">
        <f t="shared" si="44"/>
        <v>8681248092.9950008</v>
      </c>
      <c r="Q55" s="292"/>
      <c r="R55" s="292"/>
      <c r="S55" s="292"/>
      <c r="T55" s="292"/>
      <c r="U55" s="292"/>
      <c r="V55" s="292"/>
      <c r="W55" s="292"/>
      <c r="X55" s="292"/>
      <c r="Y55" s="292"/>
      <c r="Z55" s="292"/>
      <c r="AA55" s="292"/>
      <c r="AB55" s="292"/>
      <c r="AC55" s="292"/>
    </row>
    <row r="56" spans="1:29" ht="13.5" thickBot="1">
      <c r="A56" s="286"/>
      <c r="B56" s="286"/>
      <c r="C56" s="119"/>
      <c r="I56" s="121"/>
      <c r="J56" s="121"/>
      <c r="K56" s="121"/>
      <c r="L56" s="121"/>
      <c r="M56" s="121"/>
      <c r="N56" s="121"/>
      <c r="O56" s="121"/>
      <c r="P56" s="121"/>
      <c r="Q56" s="378"/>
      <c r="R56" s="292"/>
      <c r="S56" s="292"/>
      <c r="T56" s="292"/>
      <c r="U56" s="292"/>
      <c r="V56" s="292"/>
      <c r="W56" s="292"/>
      <c r="X56" s="292"/>
      <c r="Y56" s="292"/>
      <c r="Z56" s="292"/>
      <c r="AA56" s="292"/>
      <c r="AB56" s="292"/>
      <c r="AC56" s="292"/>
    </row>
    <row r="57" spans="1:29" ht="13.5" thickBot="1">
      <c r="C57" s="119"/>
      <c r="I57" s="472">
        <v>4317538147.4499998</v>
      </c>
      <c r="J57" s="472">
        <v>328840195</v>
      </c>
      <c r="K57" s="472">
        <v>3360626110.5450001</v>
      </c>
      <c r="L57" s="472">
        <v>8007004452.9950008</v>
      </c>
      <c r="M57" s="472">
        <v>420000000</v>
      </c>
      <c r="N57" s="472">
        <v>254243640</v>
      </c>
      <c r="O57" s="472">
        <v>674243640</v>
      </c>
      <c r="P57" s="472">
        <v>8681248092.9950008</v>
      </c>
      <c r="Q57" s="292"/>
      <c r="R57" s="292"/>
      <c r="S57" s="292"/>
      <c r="T57" s="292"/>
      <c r="U57" s="292"/>
      <c r="V57" s="292"/>
      <c r="W57" s="292"/>
      <c r="X57" s="292"/>
      <c r="Y57" s="292"/>
      <c r="Z57" s="292"/>
      <c r="AA57" s="292"/>
      <c r="AB57" s="292"/>
      <c r="AC57" s="292"/>
    </row>
    <row r="58" spans="1:29">
      <c r="C58" s="119"/>
      <c r="L58" s="96"/>
      <c r="M58" s="119"/>
      <c r="N58" s="119"/>
      <c r="O58" s="119"/>
      <c r="Q58" s="292"/>
    </row>
    <row r="59" spans="1:29">
      <c r="C59" s="119"/>
      <c r="D59" s="749"/>
      <c r="I59" s="749">
        <f t="shared" ref="I59:M59" si="45">+I57-I55</f>
        <v>0</v>
      </c>
      <c r="J59" s="749">
        <f t="shared" si="45"/>
        <v>0</v>
      </c>
      <c r="K59" s="749">
        <f t="shared" si="45"/>
        <v>0</v>
      </c>
      <c r="L59" s="749">
        <f t="shared" si="45"/>
        <v>0</v>
      </c>
      <c r="M59" s="749">
        <f t="shared" si="45"/>
        <v>0</v>
      </c>
      <c r="N59" s="749"/>
      <c r="O59" s="749">
        <f>+O57-O55</f>
        <v>0</v>
      </c>
      <c r="P59" s="749">
        <f>+P57-P55</f>
        <v>0</v>
      </c>
    </row>
    <row r="60" spans="1:29">
      <c r="C60" s="119"/>
      <c r="I60" s="749"/>
      <c r="L60" s="96"/>
      <c r="M60" s="119"/>
      <c r="N60" s="119"/>
      <c r="O60" s="119"/>
    </row>
    <row r="61" spans="1:29">
      <c r="D61" s="1"/>
      <c r="E61" s="1"/>
      <c r="F61" s="1"/>
      <c r="G61" s="1"/>
      <c r="H61" s="1"/>
      <c r="I61" s="1"/>
      <c r="J61" s="1"/>
    </row>
  </sheetData>
  <mergeCells count="30">
    <mergeCell ref="C55:H55"/>
    <mergeCell ref="M7:N7"/>
    <mergeCell ref="N8:N9"/>
    <mergeCell ref="I7:I9"/>
    <mergeCell ref="J7:J9"/>
    <mergeCell ref="K7:K9"/>
    <mergeCell ref="L7:L9"/>
    <mergeCell ref="A7:A9"/>
    <mergeCell ref="B7:B9"/>
    <mergeCell ref="C7:C9"/>
    <mergeCell ref="D7:D9"/>
    <mergeCell ref="E7:E9"/>
    <mergeCell ref="C1:C3"/>
    <mergeCell ref="O1:P1"/>
    <mergeCell ref="O2:P2"/>
    <mergeCell ref="O3:P3"/>
    <mergeCell ref="D1:N3"/>
    <mergeCell ref="C5:P5"/>
    <mergeCell ref="C6:P6"/>
    <mergeCell ref="F7:F9"/>
    <mergeCell ref="G7:G9"/>
    <mergeCell ref="H7:H9"/>
    <mergeCell ref="O7:O9"/>
    <mergeCell ref="P7:P9"/>
    <mergeCell ref="M8:M9"/>
    <mergeCell ref="Z7:AA7"/>
    <mergeCell ref="U7:Y7"/>
    <mergeCell ref="X8:Y8"/>
    <mergeCell ref="U8:W8"/>
    <mergeCell ref="T8:T9"/>
  </mergeCells>
  <pageMargins left="0.7" right="0.7" top="0.75" bottom="0.75" header="0.3" footer="0.3"/>
  <pageSetup paperSize="9" orientation="portrait" verticalDpi="597"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tint="-4.9989318521683403E-2"/>
  </sheetPr>
  <dimension ref="A1:M17"/>
  <sheetViews>
    <sheetView workbookViewId="0">
      <selection activeCell="G30" sqref="G30"/>
    </sheetView>
  </sheetViews>
  <sheetFormatPr baseColWidth="10" defaultRowHeight="15"/>
  <cols>
    <col min="1" max="1" width="10.7109375" customWidth="1"/>
    <col min="2" max="2" width="38.140625" customWidth="1"/>
    <col min="3" max="3" width="8.42578125" customWidth="1"/>
    <col min="4" max="4" width="8.5703125" customWidth="1"/>
    <col min="5" max="5" width="15.5703125" customWidth="1"/>
    <col min="6" max="7" width="16.42578125" customWidth="1"/>
    <col min="8" max="8" width="16.7109375" customWidth="1"/>
    <col min="9" max="9" width="14.5703125" customWidth="1"/>
    <col min="10" max="10" width="15.42578125" customWidth="1"/>
    <col min="11" max="11" width="17" customWidth="1"/>
    <col min="13" max="13" width="14.140625" bestFit="1" customWidth="1"/>
  </cols>
  <sheetData>
    <row r="1" spans="1:13">
      <c r="B1" s="2201"/>
      <c r="C1" s="2185" t="s">
        <v>367</v>
      </c>
      <c r="D1" s="2186"/>
      <c r="E1" s="2186"/>
      <c r="F1" s="2186"/>
      <c r="G1" s="2186"/>
      <c r="H1" s="2186"/>
      <c r="I1" s="2186"/>
      <c r="J1" s="2248" t="s">
        <v>364</v>
      </c>
      <c r="K1" s="2249"/>
    </row>
    <row r="2" spans="1:13">
      <c r="B2" s="2202"/>
      <c r="C2" s="2188"/>
      <c r="D2" s="2189"/>
      <c r="E2" s="2189"/>
      <c r="F2" s="2189"/>
      <c r="G2" s="2189"/>
      <c r="H2" s="2189"/>
      <c r="I2" s="2189"/>
      <c r="J2" s="2250" t="s">
        <v>365</v>
      </c>
      <c r="K2" s="2251"/>
    </row>
    <row r="3" spans="1:13" ht="15.75" thickBot="1">
      <c r="B3" s="2203"/>
      <c r="C3" s="2191"/>
      <c r="D3" s="2192"/>
      <c r="E3" s="2192"/>
      <c r="F3" s="2192"/>
      <c r="G3" s="2192"/>
      <c r="H3" s="2192"/>
      <c r="I3" s="2192"/>
      <c r="J3" s="2252" t="s">
        <v>366</v>
      </c>
      <c r="K3" s="2253"/>
    </row>
    <row r="4" spans="1:13" ht="9.75" customHeight="1" thickBot="1">
      <c r="B4" s="995"/>
      <c r="C4" s="995"/>
      <c r="D4" s="995"/>
      <c r="E4" s="995"/>
      <c r="F4" s="995"/>
      <c r="G4" s="995"/>
      <c r="H4" s="995"/>
      <c r="I4" s="995"/>
      <c r="J4" s="995"/>
      <c r="K4" s="995"/>
    </row>
    <row r="5" spans="1:13" s="1" customFormat="1" ht="24.75" customHeight="1" thickBot="1">
      <c r="B5" s="2278" t="s">
        <v>179</v>
      </c>
      <c r="C5" s="2279"/>
      <c r="D5" s="2279"/>
      <c r="E5" s="2279"/>
      <c r="F5" s="2279"/>
      <c r="G5" s="2279"/>
      <c r="H5" s="2279"/>
      <c r="I5" s="2279"/>
      <c r="J5" s="2279"/>
      <c r="K5" s="2280"/>
    </row>
    <row r="6" spans="1:13" ht="12.75" customHeight="1" thickBot="1">
      <c r="B6" s="2145" t="s">
        <v>1395</v>
      </c>
      <c r="C6" s="2146"/>
      <c r="D6" s="2146"/>
      <c r="E6" s="2146"/>
      <c r="F6" s="2146"/>
      <c r="G6" s="2146"/>
      <c r="H6" s="2146"/>
      <c r="I6" s="2146"/>
      <c r="J6" s="2146"/>
      <c r="K6" s="2147"/>
    </row>
    <row r="7" spans="1:13" ht="15" customHeight="1" thickBot="1">
      <c r="A7" s="2270" t="s">
        <v>278</v>
      </c>
      <c r="B7" s="2304" t="s">
        <v>465</v>
      </c>
      <c r="C7" s="2297">
        <v>2024</v>
      </c>
      <c r="D7" s="2298"/>
      <c r="E7" s="2298"/>
      <c r="F7" s="2298"/>
      <c r="G7" s="2298"/>
      <c r="H7" s="2298"/>
      <c r="I7" s="2298"/>
      <c r="J7" s="2299"/>
      <c r="K7" s="2210" t="s">
        <v>1014</v>
      </c>
    </row>
    <row r="8" spans="1:13" ht="33.75" customHeight="1" thickBot="1">
      <c r="A8" s="2271"/>
      <c r="B8" s="2305"/>
      <c r="C8" s="2307" t="s">
        <v>190</v>
      </c>
      <c r="D8" s="2269" t="s">
        <v>191</v>
      </c>
      <c r="E8" s="2267" t="s">
        <v>194</v>
      </c>
      <c r="F8" s="2267" t="s">
        <v>215</v>
      </c>
      <c r="G8" s="2267" t="s">
        <v>192</v>
      </c>
      <c r="H8" s="2302" t="s">
        <v>965</v>
      </c>
      <c r="I8" s="199" t="s">
        <v>527</v>
      </c>
      <c r="J8" s="2141" t="s">
        <v>995</v>
      </c>
      <c r="K8" s="2180"/>
    </row>
    <row r="9" spans="1:13" ht="32.25" customHeight="1" thickBot="1">
      <c r="A9" s="2272"/>
      <c r="B9" s="2306"/>
      <c r="C9" s="2308"/>
      <c r="D9" s="2267"/>
      <c r="E9" s="2300"/>
      <c r="F9" s="2300"/>
      <c r="G9" s="2300"/>
      <c r="H9" s="2303"/>
      <c r="I9" s="204" t="s">
        <v>277</v>
      </c>
      <c r="J9" s="2144"/>
      <c r="K9" s="2180"/>
    </row>
    <row r="10" spans="1:13" ht="81" customHeight="1" thickBot="1">
      <c r="A10" s="856">
        <v>3203047</v>
      </c>
      <c r="B10" s="857" t="s">
        <v>1030</v>
      </c>
      <c r="C10" s="1695" t="s">
        <v>1098</v>
      </c>
      <c r="D10" s="1695">
        <v>100</v>
      </c>
      <c r="E10" s="992">
        <f>SUM(E11)</f>
        <v>133162476.111065</v>
      </c>
      <c r="F10" s="992">
        <f>SUM(F11)</f>
        <v>1701579480.9818401</v>
      </c>
      <c r="G10" s="992">
        <f>SUM(G11)</f>
        <v>56744000</v>
      </c>
      <c r="H10" s="992">
        <f t="shared" ref="H10:K10" si="0">SUM(H11)</f>
        <v>1891485957.092905</v>
      </c>
      <c r="I10" s="992">
        <f t="shared" si="0"/>
        <v>614287141</v>
      </c>
      <c r="J10" s="992">
        <f t="shared" si="0"/>
        <v>614287141</v>
      </c>
      <c r="K10" s="992">
        <f t="shared" si="0"/>
        <v>2505773098.092905</v>
      </c>
    </row>
    <row r="11" spans="1:13" ht="27" customHeight="1" thickBot="1">
      <c r="B11" s="587" t="s">
        <v>1031</v>
      </c>
      <c r="C11" s="1696" t="s">
        <v>1106</v>
      </c>
      <c r="D11" s="1696">
        <v>2</v>
      </c>
      <c r="E11" s="993">
        <f>+'ACCIONES 320303'!J11</f>
        <v>133162476.111065</v>
      </c>
      <c r="F11" s="993">
        <f>+'ACCIONES 320303'!K11</f>
        <v>1701579480.9818401</v>
      </c>
      <c r="G11" s="993">
        <f>+'ACCIONES 320303'!L11</f>
        <v>56744000</v>
      </c>
      <c r="H11" s="993">
        <f>+'ACCIONES 320303'!M11</f>
        <v>1891485957.092905</v>
      </c>
      <c r="I11" s="993">
        <f>+'ACCIONES 320303'!N11</f>
        <v>614287141</v>
      </c>
      <c r="J11" s="993">
        <f>+'ACCIONES 320303'!O11</f>
        <v>614287141</v>
      </c>
      <c r="K11" s="994">
        <f>+'ACCIONES 320303'!P11</f>
        <v>2505773098.092905</v>
      </c>
    </row>
    <row r="12" spans="1:13" ht="24" customHeight="1" thickBot="1">
      <c r="B12" s="2191" t="s">
        <v>226</v>
      </c>
      <c r="C12" s="2192"/>
      <c r="D12" s="2301"/>
      <c r="E12" s="282">
        <f t="shared" ref="E12:K12" si="1">+E10</f>
        <v>133162476.111065</v>
      </c>
      <c r="F12" s="282">
        <f>+F10</f>
        <v>1701579480.9818401</v>
      </c>
      <c r="G12" s="282">
        <f t="shared" ref="G12" si="2">+G10</f>
        <v>56744000</v>
      </c>
      <c r="H12" s="282">
        <f t="shared" si="1"/>
        <v>1891485957.092905</v>
      </c>
      <c r="I12" s="282">
        <f t="shared" si="1"/>
        <v>614287141</v>
      </c>
      <c r="J12" s="282">
        <f t="shared" si="1"/>
        <v>614287141</v>
      </c>
      <c r="K12" s="282">
        <f t="shared" si="1"/>
        <v>2505773098.092905</v>
      </c>
    </row>
    <row r="14" spans="1:13" ht="15.75" thickBot="1"/>
    <row r="15" spans="1:13" ht="15.75" thickBot="1">
      <c r="E15" s="223">
        <v>133162476.111065</v>
      </c>
      <c r="F15" s="223">
        <v>1701579480.9818401</v>
      </c>
      <c r="G15" s="223">
        <v>56744000</v>
      </c>
      <c r="H15" s="223">
        <v>1891485957.092905</v>
      </c>
      <c r="I15" s="223">
        <v>614287141</v>
      </c>
      <c r="J15" s="223">
        <v>614287141</v>
      </c>
      <c r="K15" s="223">
        <v>2505773098.092905</v>
      </c>
    </row>
    <row r="16" spans="1:13">
      <c r="M16" s="25"/>
    </row>
    <row r="17" spans="5:11">
      <c r="E17" s="25">
        <f t="shared" ref="E17:K17" si="3">+E15-E12</f>
        <v>0</v>
      </c>
      <c r="F17" s="25">
        <f t="shared" si="3"/>
        <v>0</v>
      </c>
      <c r="G17" s="25"/>
      <c r="H17" s="25">
        <f t="shared" si="3"/>
        <v>0</v>
      </c>
      <c r="I17" s="25">
        <f t="shared" si="3"/>
        <v>0</v>
      </c>
      <c r="J17" s="25">
        <f t="shared" si="3"/>
        <v>0</v>
      </c>
      <c r="K17" s="25">
        <f t="shared" si="3"/>
        <v>0</v>
      </c>
    </row>
  </sheetData>
  <mergeCells count="19">
    <mergeCell ref="B12:D12"/>
    <mergeCell ref="H8:H9"/>
    <mergeCell ref="A7:A9"/>
    <mergeCell ref="B7:B9"/>
    <mergeCell ref="D8:D9"/>
    <mergeCell ref="C8:C9"/>
    <mergeCell ref="E8:E9"/>
    <mergeCell ref="G8:G9"/>
    <mergeCell ref="K7:K9"/>
    <mergeCell ref="C7:J7"/>
    <mergeCell ref="B1:B3"/>
    <mergeCell ref="J1:K1"/>
    <mergeCell ref="J2:K2"/>
    <mergeCell ref="J3:K3"/>
    <mergeCell ref="B5:K5"/>
    <mergeCell ref="B6:K6"/>
    <mergeCell ref="C1:I3"/>
    <mergeCell ref="J8:J9"/>
    <mergeCell ref="F8:F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0" tint="-4.9989318521683403E-2"/>
  </sheetPr>
  <dimension ref="A1:Y23"/>
  <sheetViews>
    <sheetView zoomScaleNormal="100" zoomScaleSheetLayoutView="70" workbookViewId="0">
      <pane xSplit="13" ySplit="19" topLeftCell="N20" activePane="bottomRight" state="frozen"/>
      <selection activeCell="C1" sqref="C1"/>
      <selection pane="topRight" activeCell="N1" sqref="N1"/>
      <selection pane="bottomLeft" activeCell="C20" sqref="C20"/>
      <selection pane="bottomRight" activeCell="G30" sqref="G30"/>
    </sheetView>
  </sheetViews>
  <sheetFormatPr baseColWidth="10" defaultRowHeight="15"/>
  <cols>
    <col min="1" max="1" width="6.5703125" customWidth="1"/>
    <col min="2" max="2" width="7.42578125" customWidth="1"/>
    <col min="3" max="3" width="39.28515625" customWidth="1"/>
    <col min="4" max="4" width="21" style="99" customWidth="1"/>
    <col min="5" max="5" width="13.140625" style="99" customWidth="1"/>
    <col min="6" max="8" width="9.42578125" style="99" customWidth="1"/>
    <col min="9" max="10" width="17.140625" style="99" customWidth="1"/>
    <col min="11" max="12" width="15" style="99" customWidth="1"/>
    <col min="13" max="13" width="15.28515625" customWidth="1"/>
    <col min="14" max="14" width="14.140625" customWidth="1"/>
    <col min="15" max="15" width="16" customWidth="1"/>
    <col min="16" max="16" width="15.42578125" customWidth="1"/>
    <col min="17" max="18" width="14.140625" bestFit="1" customWidth="1"/>
    <col min="19" max="19" width="13.42578125" customWidth="1"/>
    <col min="20" max="20" width="15.140625" bestFit="1" customWidth="1"/>
    <col min="21" max="21" width="13.42578125" bestFit="1" customWidth="1"/>
    <col min="22" max="22" width="17.7109375" bestFit="1" customWidth="1"/>
    <col min="23" max="23" width="20.140625" customWidth="1"/>
  </cols>
  <sheetData>
    <row r="1" spans="1:25" s="1" customFormat="1" ht="23.25" customHeight="1">
      <c r="C1" s="2201"/>
      <c r="D1" s="2185" t="s">
        <v>367</v>
      </c>
      <c r="E1" s="2186"/>
      <c r="F1" s="2186"/>
      <c r="G1" s="2186"/>
      <c r="H1" s="2186"/>
      <c r="I1" s="2186"/>
      <c r="J1" s="2186"/>
      <c r="K1" s="2186"/>
      <c r="L1" s="2186"/>
      <c r="M1" s="2186"/>
      <c r="N1" s="2186"/>
      <c r="O1" s="2248" t="s">
        <v>364</v>
      </c>
      <c r="P1" s="2249"/>
      <c r="Q1"/>
    </row>
    <row r="2" spans="1:25" s="1" customFormat="1" ht="23.25" customHeight="1">
      <c r="C2" s="2202"/>
      <c r="D2" s="2188"/>
      <c r="E2" s="2189"/>
      <c r="F2" s="2189"/>
      <c r="G2" s="2189"/>
      <c r="H2" s="2189"/>
      <c r="I2" s="2189"/>
      <c r="J2" s="2189"/>
      <c r="K2" s="2189"/>
      <c r="L2" s="2189"/>
      <c r="M2" s="2189"/>
      <c r="N2" s="2189"/>
      <c r="O2" s="2250" t="s">
        <v>365</v>
      </c>
      <c r="P2" s="2251"/>
      <c r="Q2"/>
    </row>
    <row r="3" spans="1:25" s="1" customFormat="1" ht="23.25" customHeight="1" thickBot="1">
      <c r="C3" s="2203"/>
      <c r="D3" s="2191"/>
      <c r="E3" s="2192"/>
      <c r="F3" s="2192"/>
      <c r="G3" s="2192"/>
      <c r="H3" s="2192"/>
      <c r="I3" s="2192"/>
      <c r="J3" s="2192"/>
      <c r="K3" s="2192"/>
      <c r="L3" s="2192"/>
      <c r="M3" s="2192"/>
      <c r="N3" s="2192"/>
      <c r="O3" s="2252" t="s">
        <v>366</v>
      </c>
      <c r="P3" s="2253"/>
      <c r="Q3"/>
    </row>
    <row r="4" spans="1:25" s="1" customFormat="1" ht="13.5" customHeight="1" thickBot="1">
      <c r="Q4"/>
    </row>
    <row r="5" spans="1:25" s="1" customFormat="1" ht="12.75" customHeight="1" thickBot="1">
      <c r="C5" s="2278" t="s">
        <v>179</v>
      </c>
      <c r="D5" s="2279"/>
      <c r="E5" s="2279"/>
      <c r="F5" s="2279"/>
      <c r="G5" s="2279"/>
      <c r="H5" s="2279"/>
      <c r="I5" s="2279"/>
      <c r="J5" s="2279"/>
      <c r="K5" s="2279"/>
      <c r="L5" s="2279"/>
      <c r="M5" s="2279"/>
      <c r="N5" s="2279"/>
      <c r="O5" s="2279"/>
      <c r="P5" s="2280"/>
      <c r="Q5"/>
    </row>
    <row r="6" spans="1:25" ht="15.75" thickBot="1">
      <c r="C6" s="2276" t="s">
        <v>1396</v>
      </c>
      <c r="D6" s="2277"/>
      <c r="E6" s="2277"/>
      <c r="F6" s="2277"/>
      <c r="G6" s="2277"/>
      <c r="H6" s="2277"/>
      <c r="I6" s="2277"/>
      <c r="J6" s="2277"/>
      <c r="K6" s="2277"/>
      <c r="L6" s="2277"/>
      <c r="M6" s="2277"/>
      <c r="N6" s="2277"/>
      <c r="O6" s="2277"/>
      <c r="P6" s="2277"/>
    </row>
    <row r="7" spans="1:25" ht="20.25" customHeight="1" thickBot="1">
      <c r="A7" s="2309" t="s">
        <v>368</v>
      </c>
      <c r="B7" s="2295" t="s">
        <v>369</v>
      </c>
      <c r="C7" s="2135" t="s">
        <v>311</v>
      </c>
      <c r="D7" s="2135" t="s">
        <v>312</v>
      </c>
      <c r="E7" s="2135" t="s">
        <v>207</v>
      </c>
      <c r="F7" s="2135" t="s">
        <v>350</v>
      </c>
      <c r="G7" s="2135" t="s">
        <v>313</v>
      </c>
      <c r="H7" s="2135" t="s">
        <v>191</v>
      </c>
      <c r="I7" s="2135" t="s">
        <v>387</v>
      </c>
      <c r="J7" s="2269" t="s">
        <v>194</v>
      </c>
      <c r="K7" s="2269" t="s">
        <v>215</v>
      </c>
      <c r="L7" s="2267" t="s">
        <v>192</v>
      </c>
      <c r="M7" s="2135" t="s">
        <v>965</v>
      </c>
      <c r="N7" s="395" t="s">
        <v>527</v>
      </c>
      <c r="O7" s="2135" t="s">
        <v>995</v>
      </c>
      <c r="P7" s="2135" t="s">
        <v>1014</v>
      </c>
      <c r="Q7" s="745" t="s">
        <v>1280</v>
      </c>
      <c r="R7" s="1024" t="s">
        <v>1276</v>
      </c>
      <c r="S7" s="1024" t="s">
        <v>1277</v>
      </c>
      <c r="T7" s="2156" t="s">
        <v>1278</v>
      </c>
      <c r="U7" s="2155" t="s">
        <v>1279</v>
      </c>
      <c r="V7" s="2155"/>
      <c r="W7" s="2154" t="s">
        <v>1302</v>
      </c>
      <c r="X7" s="2154"/>
    </row>
    <row r="8" spans="1:25" ht="15" customHeight="1" thickBot="1">
      <c r="A8" s="2309"/>
      <c r="B8" s="2295"/>
      <c r="C8" s="2135"/>
      <c r="D8" s="2135"/>
      <c r="E8" s="2135"/>
      <c r="F8" s="2135"/>
      <c r="G8" s="2135"/>
      <c r="H8" s="2135"/>
      <c r="I8" s="2135"/>
      <c r="J8" s="2269"/>
      <c r="K8" s="2269"/>
      <c r="L8" s="2300"/>
      <c r="M8" s="2273"/>
      <c r="N8" s="2267" t="s">
        <v>277</v>
      </c>
      <c r="O8" s="2135"/>
      <c r="P8" s="2135"/>
      <c r="Q8" s="1030"/>
      <c r="R8" s="1030"/>
      <c r="S8" s="1030"/>
      <c r="T8" s="2156"/>
      <c r="U8" s="1032" t="s">
        <v>1286</v>
      </c>
      <c r="V8" s="1055" t="s">
        <v>1284</v>
      </c>
      <c r="W8" s="157" t="s">
        <v>1288</v>
      </c>
      <c r="X8" s="157" t="s">
        <v>1289</v>
      </c>
    </row>
    <row r="9" spans="1:25" ht="18.75" customHeight="1" thickBot="1">
      <c r="A9" s="2309"/>
      <c r="B9" s="2295"/>
      <c r="C9" s="2210"/>
      <c r="D9" s="2210"/>
      <c r="E9" s="2210"/>
      <c r="F9" s="2210"/>
      <c r="G9" s="2210"/>
      <c r="H9" s="2210"/>
      <c r="I9" s="2210"/>
      <c r="J9" s="2267"/>
      <c r="K9" s="2267"/>
      <c r="L9" s="1184"/>
      <c r="M9" s="2139"/>
      <c r="N9" s="2300"/>
      <c r="O9" s="2135"/>
      <c r="P9" s="2135"/>
      <c r="U9" s="1038" t="s">
        <v>277</v>
      </c>
      <c r="V9" s="1038" t="s">
        <v>277</v>
      </c>
    </row>
    <row r="10" spans="1:25" ht="105" customHeight="1" thickBot="1">
      <c r="A10" s="279">
        <v>218</v>
      </c>
      <c r="B10" s="288"/>
      <c r="C10" s="793" t="s">
        <v>1030</v>
      </c>
      <c r="D10" s="794"/>
      <c r="E10" s="794"/>
      <c r="F10" s="794"/>
      <c r="G10" s="794" t="s">
        <v>1098</v>
      </c>
      <c r="H10" s="794">
        <v>100</v>
      </c>
      <c r="I10" s="795">
        <f t="shared" ref="I10:O10" si="0">+I11</f>
        <v>0</v>
      </c>
      <c r="J10" s="796">
        <f t="shared" si="0"/>
        <v>133162476.111065</v>
      </c>
      <c r="K10" s="796">
        <f t="shared" si="0"/>
        <v>1701579480.9818401</v>
      </c>
      <c r="L10" s="796">
        <f t="shared" si="0"/>
        <v>56744000</v>
      </c>
      <c r="M10" s="796">
        <f>+M11</f>
        <v>1891485957.092905</v>
      </c>
      <c r="N10" s="796">
        <f t="shared" si="0"/>
        <v>614287141</v>
      </c>
      <c r="O10" s="796">
        <f t="shared" si="0"/>
        <v>614287141</v>
      </c>
      <c r="P10" s="796">
        <f>+P11</f>
        <v>2505773098.092905</v>
      </c>
      <c r="Q10" s="25"/>
      <c r="R10" s="25"/>
      <c r="S10" s="25"/>
      <c r="T10" s="25"/>
      <c r="U10" s="25"/>
      <c r="V10" s="25"/>
      <c r="W10" t="s">
        <v>234</v>
      </c>
      <c r="X10" t="s">
        <v>1342</v>
      </c>
      <c r="Y10" t="s">
        <v>1343</v>
      </c>
    </row>
    <row r="11" spans="1:25" ht="25.5" customHeight="1">
      <c r="A11" s="279"/>
      <c r="B11" s="288" t="s">
        <v>1494</v>
      </c>
      <c r="C11" s="210" t="s">
        <v>1031</v>
      </c>
      <c r="D11" s="500"/>
      <c r="E11" s="500"/>
      <c r="F11" s="500"/>
      <c r="G11" s="500" t="s">
        <v>1106</v>
      </c>
      <c r="H11" s="500">
        <v>2</v>
      </c>
      <c r="I11" s="797">
        <f>+I13</f>
        <v>0</v>
      </c>
      <c r="J11" s="502">
        <f>SUM(J12:J15)</f>
        <v>133162476.111065</v>
      </c>
      <c r="K11" s="502">
        <f t="shared" ref="K11:P11" si="1">SUM(K12:K15)</f>
        <v>1701579480.9818401</v>
      </c>
      <c r="L11" s="502">
        <f t="shared" si="1"/>
        <v>56744000</v>
      </c>
      <c r="M11" s="502">
        <f t="shared" si="1"/>
        <v>1891485957.092905</v>
      </c>
      <c r="N11" s="502">
        <f t="shared" si="1"/>
        <v>614287141</v>
      </c>
      <c r="O11" s="502">
        <f t="shared" si="1"/>
        <v>614287141</v>
      </c>
      <c r="P11" s="502">
        <f t="shared" si="1"/>
        <v>2505773098.092905</v>
      </c>
      <c r="Q11" s="25"/>
      <c r="R11" s="25"/>
      <c r="S11" s="1054"/>
      <c r="T11" s="25"/>
      <c r="U11" s="25"/>
      <c r="V11" s="25"/>
    </row>
    <row r="12" spans="1:25" s="1176" customFormat="1">
      <c r="A12"/>
      <c r="B12"/>
      <c r="C12" s="1094" t="s">
        <v>1169</v>
      </c>
      <c r="D12" s="1618" t="s">
        <v>807</v>
      </c>
      <c r="E12" s="1618"/>
      <c r="F12" s="1618">
        <v>94110</v>
      </c>
      <c r="G12" s="1618"/>
      <c r="H12" s="1618"/>
      <c r="I12" s="1618"/>
      <c r="J12" s="1618"/>
      <c r="K12" s="1619">
        <v>1305200000</v>
      </c>
      <c r="L12" s="1619"/>
      <c r="M12" s="1134">
        <f>SUM(J12:L12)</f>
        <v>1305200000</v>
      </c>
      <c r="N12" s="1134"/>
      <c r="O12" s="1134">
        <f>+N12</f>
        <v>0</v>
      </c>
      <c r="P12" s="1135">
        <f>+O12+M12</f>
        <v>1305200000</v>
      </c>
      <c r="Q12" s="1275">
        <v>1551511680.9818401</v>
      </c>
      <c r="R12" s="1275">
        <v>1305200000</v>
      </c>
      <c r="S12" s="1276"/>
      <c r="T12" s="1275">
        <f>+Q12-R12</f>
        <v>246311680.98184013</v>
      </c>
      <c r="U12" s="1275"/>
      <c r="V12" s="1275">
        <v>246311680.98184013</v>
      </c>
    </row>
    <row r="13" spans="1:25" s="1277" customFormat="1">
      <c r="A13"/>
      <c r="B13"/>
      <c r="C13" s="1088" t="s">
        <v>1169</v>
      </c>
      <c r="D13" s="1620" t="s">
        <v>807</v>
      </c>
      <c r="E13" s="1620"/>
      <c r="F13" s="1620">
        <v>94110</v>
      </c>
      <c r="G13" s="1620"/>
      <c r="H13" s="1620"/>
      <c r="I13" s="1620"/>
      <c r="J13" s="1620"/>
      <c r="K13" s="1621">
        <f>937224539.98184+76849600-85000000+8150400+764354941-K12</f>
        <v>396379480.98184013</v>
      </c>
      <c r="L13" s="1621">
        <f>86744000-30000000</f>
        <v>56744000</v>
      </c>
      <c r="M13" s="1173">
        <f>SUM(J13:L13)</f>
        <v>453123480.98184013</v>
      </c>
      <c r="N13" s="1173">
        <f>622437541-8150400</f>
        <v>614287141</v>
      </c>
      <c r="O13" s="1173">
        <f>+N13</f>
        <v>614287141</v>
      </c>
      <c r="P13" s="1198">
        <f>+O13+M13</f>
        <v>1067410621.9818401</v>
      </c>
      <c r="Q13" s="1282">
        <v>1551511680.9818401</v>
      </c>
      <c r="R13" s="1282">
        <v>1305200000</v>
      </c>
      <c r="S13" s="1283"/>
      <c r="T13" s="1282">
        <f>+Q13-R13</f>
        <v>246311680.98184013</v>
      </c>
      <c r="U13" s="1282"/>
      <c r="V13" s="1282">
        <v>246311680.98184013</v>
      </c>
    </row>
    <row r="14" spans="1:25" s="1176" customFormat="1">
      <c r="A14"/>
      <c r="B14"/>
      <c r="C14" s="1273" t="s">
        <v>204</v>
      </c>
      <c r="D14" s="1098"/>
      <c r="E14" s="1098"/>
      <c r="F14" s="1098"/>
      <c r="G14" s="1098"/>
      <c r="H14" s="1098"/>
      <c r="I14" s="1274"/>
      <c r="J14" s="1274">
        <f>39539699+11663222</f>
        <v>51202921</v>
      </c>
      <c r="K14" s="1180"/>
      <c r="L14" s="1180"/>
      <c r="M14" s="1134">
        <f>SUM(J14:L14)</f>
        <v>51202921</v>
      </c>
      <c r="N14" s="1180"/>
      <c r="O14" s="1134">
        <f>+N14</f>
        <v>0</v>
      </c>
      <c r="P14" s="1135">
        <f>+O14+M14</f>
        <v>51202921</v>
      </c>
      <c r="Q14" s="1275"/>
      <c r="R14" s="1275"/>
      <c r="S14" s="1276"/>
      <c r="T14" s="1275"/>
      <c r="U14" s="1275"/>
      <c r="V14" s="1275"/>
    </row>
    <row r="15" spans="1:25" s="1277" customFormat="1" ht="15.75" thickBot="1">
      <c r="A15"/>
      <c r="B15"/>
      <c r="C15" s="1278" t="s">
        <v>204</v>
      </c>
      <c r="D15" s="1279"/>
      <c r="E15" s="1279"/>
      <c r="F15" s="1279"/>
      <c r="G15" s="1279"/>
      <c r="H15" s="1279"/>
      <c r="I15" s="1280"/>
      <c r="J15" s="1280">
        <f>133162476.111065-J14</f>
        <v>81959555.111065</v>
      </c>
      <c r="K15" s="1281"/>
      <c r="L15" s="1281"/>
      <c r="M15" s="1173">
        <f>SUM(J15:L15)</f>
        <v>81959555.111065</v>
      </c>
      <c r="N15" s="1281"/>
      <c r="O15" s="1173">
        <f>+N15</f>
        <v>0</v>
      </c>
      <c r="P15" s="1198">
        <f>+O15+M15</f>
        <v>81959555.111065</v>
      </c>
      <c r="Q15" s="1282"/>
      <c r="R15" s="1282"/>
      <c r="S15" s="1283"/>
      <c r="T15" s="1282"/>
      <c r="U15" s="1282"/>
      <c r="V15" s="1282"/>
    </row>
    <row r="16" spans="1:25" ht="15.75" thickBot="1">
      <c r="A16" t="s">
        <v>318</v>
      </c>
      <c r="B16" s="289"/>
      <c r="C16" s="2148" t="s">
        <v>10</v>
      </c>
      <c r="D16" s="2149"/>
      <c r="E16" s="2149"/>
      <c r="F16" s="2149"/>
      <c r="G16" s="2149"/>
      <c r="H16" s="2149"/>
      <c r="I16" s="2310"/>
      <c r="J16" s="585">
        <f t="shared" ref="J16:P16" si="2">+J10</f>
        <v>133162476.111065</v>
      </c>
      <c r="K16" s="585">
        <f t="shared" si="2"/>
        <v>1701579480.9818401</v>
      </c>
      <c r="L16" s="585">
        <f t="shared" si="2"/>
        <v>56744000</v>
      </c>
      <c r="M16" s="585">
        <f t="shared" si="2"/>
        <v>1891485957.092905</v>
      </c>
      <c r="N16" s="585">
        <f t="shared" si="2"/>
        <v>614287141</v>
      </c>
      <c r="O16" s="585">
        <f t="shared" si="2"/>
        <v>614287141</v>
      </c>
      <c r="P16" s="586">
        <f t="shared" si="2"/>
        <v>2505773098.092905</v>
      </c>
      <c r="Q16" s="25"/>
      <c r="R16" s="25"/>
      <c r="S16" s="25"/>
      <c r="T16" s="25"/>
      <c r="U16" s="25"/>
      <c r="V16" s="25"/>
    </row>
    <row r="17" spans="2:22" ht="15.75" thickBot="1">
      <c r="B17" s="289"/>
      <c r="C17" s="125"/>
      <c r="M17" s="99"/>
      <c r="N17" s="99"/>
      <c r="O17" s="99"/>
      <c r="P17" s="99"/>
      <c r="Q17" s="25"/>
      <c r="R17" s="76"/>
      <c r="S17" s="25"/>
      <c r="T17" s="25"/>
      <c r="U17" s="25"/>
      <c r="V17" s="25"/>
    </row>
    <row r="18" spans="2:22" ht="15.75" thickBot="1">
      <c r="C18" s="125"/>
      <c r="J18" s="223">
        <v>133162476.111065</v>
      </c>
      <c r="K18" s="223">
        <v>1701579480.9818401</v>
      </c>
      <c r="L18" s="223">
        <v>56744000</v>
      </c>
      <c r="M18" s="223">
        <v>1891485957.092905</v>
      </c>
      <c r="N18" s="223">
        <v>614287141</v>
      </c>
      <c r="O18" s="223">
        <v>614287141</v>
      </c>
      <c r="P18" s="223">
        <v>2505773098.092905</v>
      </c>
      <c r="Q18" s="25"/>
      <c r="R18" s="25"/>
      <c r="S18" s="25"/>
      <c r="T18" s="25"/>
      <c r="U18" s="25"/>
      <c r="V18" s="25"/>
    </row>
    <row r="19" spans="2:22">
      <c r="C19" s="125"/>
      <c r="M19" s="99"/>
      <c r="N19" s="125"/>
      <c r="O19" s="125"/>
      <c r="Q19" s="25"/>
      <c r="R19" s="25"/>
      <c r="S19" s="25"/>
      <c r="T19" s="25"/>
      <c r="U19" s="25"/>
      <c r="V19" s="25"/>
    </row>
    <row r="20" spans="2:22">
      <c r="C20" s="125"/>
      <c r="D20" s="182"/>
      <c r="J20" s="182">
        <f t="shared" ref="J20:P20" si="3">+J18-J16</f>
        <v>0</v>
      </c>
      <c r="K20" s="182">
        <f t="shared" si="3"/>
        <v>0</v>
      </c>
      <c r="L20" s="182"/>
      <c r="M20" s="182">
        <f t="shared" si="3"/>
        <v>0</v>
      </c>
      <c r="N20" s="182">
        <f t="shared" si="3"/>
        <v>0</v>
      </c>
      <c r="O20" s="182">
        <f t="shared" si="3"/>
        <v>0</v>
      </c>
      <c r="P20" s="182">
        <f t="shared" si="3"/>
        <v>0</v>
      </c>
      <c r="Q20" s="25"/>
      <c r="R20" s="25"/>
      <c r="S20" s="25"/>
      <c r="T20" s="25"/>
      <c r="U20" s="25"/>
      <c r="V20" s="25"/>
    </row>
    <row r="21" spans="2:22">
      <c r="C21" s="125"/>
      <c r="M21" s="99"/>
      <c r="N21" s="125"/>
      <c r="O21" s="125"/>
      <c r="Q21" s="25"/>
      <c r="R21" s="25"/>
      <c r="S21" s="25"/>
      <c r="T21" s="25"/>
      <c r="U21" s="25"/>
      <c r="V21" s="25"/>
    </row>
    <row r="22" spans="2:22">
      <c r="D22"/>
      <c r="E22"/>
      <c r="F22"/>
      <c r="G22"/>
      <c r="H22"/>
      <c r="I22"/>
      <c r="J22"/>
      <c r="K22"/>
      <c r="L22"/>
    </row>
    <row r="23" spans="2:22">
      <c r="M23" s="25"/>
    </row>
  </sheetData>
  <mergeCells count="27">
    <mergeCell ref="C16:I16"/>
    <mergeCell ref="M7:M9"/>
    <mergeCell ref="H7:H9"/>
    <mergeCell ref="C7:C9"/>
    <mergeCell ref="D7:D9"/>
    <mergeCell ref="E7:E9"/>
    <mergeCell ref="F7:F9"/>
    <mergeCell ref="G7:G9"/>
    <mergeCell ref="I7:I9"/>
    <mergeCell ref="K7:K9"/>
    <mergeCell ref="J7:J9"/>
    <mergeCell ref="C5:P5"/>
    <mergeCell ref="C6:P6"/>
    <mergeCell ref="O7:O9"/>
    <mergeCell ref="P7:P9"/>
    <mergeCell ref="N8:N9"/>
    <mergeCell ref="C1:C3"/>
    <mergeCell ref="O1:P1"/>
    <mergeCell ref="O2:P2"/>
    <mergeCell ref="O3:P3"/>
    <mergeCell ref="D1:N3"/>
    <mergeCell ref="W7:X7"/>
    <mergeCell ref="T7:T8"/>
    <mergeCell ref="U7:V7"/>
    <mergeCell ref="A7:A9"/>
    <mergeCell ref="B7:B9"/>
    <mergeCell ref="L7:L8"/>
  </mergeCells>
  <pageMargins left="0.7" right="0.7" top="0.75" bottom="0.75" header="0.3" footer="0.3"/>
  <pageSetup paperSize="9" orientation="portrait" verticalDpi="597"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tint="-4.9989318521683403E-2"/>
  </sheetPr>
  <dimension ref="A1:I18"/>
  <sheetViews>
    <sheetView workbookViewId="0">
      <selection activeCell="F31" sqref="F31"/>
    </sheetView>
  </sheetViews>
  <sheetFormatPr baseColWidth="10" defaultRowHeight="15"/>
  <cols>
    <col min="1" max="1" width="11.42578125" customWidth="1"/>
    <col min="2" max="2" width="46.42578125" customWidth="1"/>
    <col min="3" max="4" width="11.42578125" customWidth="1"/>
    <col min="5" max="6" width="13.7109375" customWidth="1"/>
    <col min="7" max="7" width="14.28515625" bestFit="1" customWidth="1"/>
    <col min="8" max="8" width="12.7109375" customWidth="1"/>
    <col min="9" max="9" width="15.28515625" bestFit="1" customWidth="1"/>
  </cols>
  <sheetData>
    <row r="1" spans="1:9" ht="15" customHeight="1">
      <c r="B1" s="2323"/>
      <c r="C1" s="2313" t="s">
        <v>367</v>
      </c>
      <c r="D1" s="2314"/>
      <c r="E1" s="2314"/>
      <c r="F1" s="2314"/>
      <c r="G1" s="2315"/>
      <c r="H1" s="2248" t="s">
        <v>364</v>
      </c>
      <c r="I1" s="2249"/>
    </row>
    <row r="2" spans="1:9">
      <c r="B2" s="2324"/>
      <c r="C2" s="2316"/>
      <c r="D2" s="2317"/>
      <c r="E2" s="2317"/>
      <c r="F2" s="2317"/>
      <c r="G2" s="2318"/>
      <c r="H2" s="2250" t="s">
        <v>365</v>
      </c>
      <c r="I2" s="2251"/>
    </row>
    <row r="3" spans="1:9" ht="15.75" thickBot="1">
      <c r="B3" s="2325"/>
      <c r="C3" s="2319"/>
      <c r="D3" s="2320"/>
      <c r="E3" s="2320"/>
      <c r="F3" s="2320"/>
      <c r="G3" s="2321"/>
      <c r="H3" s="2252" t="s">
        <v>366</v>
      </c>
      <c r="I3" s="2253"/>
    </row>
    <row r="4" spans="1:9" ht="10.5" customHeight="1" thickBot="1">
      <c r="B4" s="1"/>
      <c r="C4" s="1"/>
      <c r="D4" s="1"/>
      <c r="E4" s="1"/>
      <c r="F4" s="1"/>
    </row>
    <row r="5" spans="1:9" ht="15.75" thickBot="1">
      <c r="B5" s="2278" t="s">
        <v>181</v>
      </c>
      <c r="C5" s="2279"/>
      <c r="D5" s="2279"/>
      <c r="E5" s="2279"/>
      <c r="F5" s="2279"/>
      <c r="G5" s="2279"/>
      <c r="H5" s="2279"/>
      <c r="I5" s="2280"/>
    </row>
    <row r="6" spans="1:9" ht="15.75" thickBot="1">
      <c r="B6" s="2276" t="s">
        <v>1397</v>
      </c>
      <c r="C6" s="2277"/>
      <c r="D6" s="2277"/>
      <c r="E6" s="2277"/>
      <c r="F6" s="2277"/>
      <c r="G6" s="2277"/>
      <c r="H6" s="2277"/>
      <c r="I6" s="2322"/>
    </row>
    <row r="7" spans="1:9" ht="28.5" customHeight="1" thickBot="1">
      <c r="A7" s="2135" t="s">
        <v>278</v>
      </c>
      <c r="B7" s="2330" t="s">
        <v>188</v>
      </c>
      <c r="C7" s="2331">
        <v>2024</v>
      </c>
      <c r="D7" s="2331"/>
      <c r="E7" s="2331"/>
      <c r="F7" s="2331"/>
      <c r="G7" s="496" t="s">
        <v>530</v>
      </c>
      <c r="H7" s="2312" t="s">
        <v>995</v>
      </c>
      <c r="I7" s="2311" t="s">
        <v>1014</v>
      </c>
    </row>
    <row r="8" spans="1:9" ht="15" customHeight="1" thickBot="1">
      <c r="A8" s="2135"/>
      <c r="B8" s="2330"/>
      <c r="C8" s="2159" t="s">
        <v>214</v>
      </c>
      <c r="D8" s="2135" t="s">
        <v>191</v>
      </c>
      <c r="E8" s="890" t="s">
        <v>189</v>
      </c>
      <c r="F8" s="2135" t="s">
        <v>1029</v>
      </c>
      <c r="G8" s="2135" t="s">
        <v>208</v>
      </c>
      <c r="H8" s="2326"/>
      <c r="I8" s="2311"/>
    </row>
    <row r="9" spans="1:9" ht="15.75" thickBot="1">
      <c r="A9" s="2135"/>
      <c r="B9" s="2330"/>
      <c r="C9" s="2159"/>
      <c r="D9" s="2135"/>
      <c r="E9" s="199" t="s">
        <v>194</v>
      </c>
      <c r="F9" s="2135"/>
      <c r="G9" s="2210"/>
      <c r="H9" s="2327"/>
      <c r="I9" s="2312"/>
    </row>
    <row r="10" spans="1:9" ht="26.25" thickBot="1">
      <c r="A10" s="853">
        <v>3204055</v>
      </c>
      <c r="B10" s="854" t="s">
        <v>1437</v>
      </c>
      <c r="C10" s="74" t="s">
        <v>1098</v>
      </c>
      <c r="D10" s="74">
        <v>100</v>
      </c>
      <c r="E10" s="855">
        <f>SUM(E11)</f>
        <v>53212301.200000003</v>
      </c>
      <c r="F10" s="855">
        <f t="shared" ref="F10:I10" si="0">SUM(F11)</f>
        <v>53212301.200000003</v>
      </c>
      <c r="G10" s="855">
        <f t="shared" si="0"/>
        <v>0</v>
      </c>
      <c r="H10" s="855">
        <f t="shared" si="0"/>
        <v>0</v>
      </c>
      <c r="I10" s="855">
        <f t="shared" si="0"/>
        <v>53212301.200000003</v>
      </c>
    </row>
    <row r="11" spans="1:9" ht="26.25" thickBot="1">
      <c r="B11" s="581" t="s">
        <v>1025</v>
      </c>
      <c r="C11" s="1652" t="s">
        <v>1098</v>
      </c>
      <c r="D11" s="1652">
        <v>100</v>
      </c>
      <c r="E11" s="582">
        <f>+'ACCIONES 320401'!J11</f>
        <v>53212301.200000003</v>
      </c>
      <c r="F11" s="582">
        <f>+'ACCIONES 320401'!K11</f>
        <v>53212301.200000003</v>
      </c>
      <c r="G11" s="582">
        <f>+'ACCIONES 320401'!L11</f>
        <v>0</v>
      </c>
      <c r="H11" s="582">
        <f>+'ACCIONES 320401'!M11</f>
        <v>0</v>
      </c>
      <c r="I11" s="583">
        <f>+'ACCIONES 320401'!N11</f>
        <v>53212301.200000003</v>
      </c>
    </row>
    <row r="12" spans="1:9" ht="39" thickBot="1">
      <c r="A12" s="575">
        <v>3204048</v>
      </c>
      <c r="B12" s="576" t="s">
        <v>1026</v>
      </c>
      <c r="C12" s="350" t="s">
        <v>1098</v>
      </c>
      <c r="D12" s="350">
        <v>100</v>
      </c>
      <c r="E12" s="584">
        <f>SUM(E13)</f>
        <v>422019753.59999996</v>
      </c>
      <c r="F12" s="584">
        <f t="shared" ref="F12:I12" si="1">SUM(F13)</f>
        <v>422019753.59999996</v>
      </c>
      <c r="G12" s="584">
        <f t="shared" si="1"/>
        <v>56274817</v>
      </c>
      <c r="H12" s="584">
        <f t="shared" si="1"/>
        <v>56274817</v>
      </c>
      <c r="I12" s="584">
        <f t="shared" si="1"/>
        <v>478294570.59999996</v>
      </c>
    </row>
    <row r="13" spans="1:9" ht="26.25" thickBot="1">
      <c r="B13" s="581" t="s">
        <v>1027</v>
      </c>
      <c r="C13" s="1652" t="s">
        <v>1098</v>
      </c>
      <c r="D13" s="1652">
        <v>100</v>
      </c>
      <c r="E13" s="582">
        <f>+'ACCIONES 320401'!J17</f>
        <v>422019753.59999996</v>
      </c>
      <c r="F13" s="582">
        <f>+'ACCIONES 320401'!K17</f>
        <v>422019753.59999996</v>
      </c>
      <c r="G13" s="582">
        <f>+'ACCIONES 320401'!L17</f>
        <v>56274817</v>
      </c>
      <c r="H13" s="582">
        <f>+'ACCIONES 320401'!M17</f>
        <v>56274817</v>
      </c>
      <c r="I13" s="583">
        <f>+'ACCIONES 320401'!N17</f>
        <v>478294570.59999996</v>
      </c>
    </row>
    <row r="14" spans="1:9" ht="16.5" thickBot="1">
      <c r="B14" s="2328" t="s">
        <v>226</v>
      </c>
      <c r="C14" s="2329"/>
      <c r="D14" s="2329"/>
      <c r="E14" s="585">
        <f t="shared" ref="E14:I14" si="2">+E12+E10</f>
        <v>475232054.79999995</v>
      </c>
      <c r="F14" s="586">
        <f t="shared" si="2"/>
        <v>475232054.79999995</v>
      </c>
      <c r="G14" s="585">
        <f t="shared" si="2"/>
        <v>56274817</v>
      </c>
      <c r="H14" s="586">
        <f t="shared" si="2"/>
        <v>56274817</v>
      </c>
      <c r="I14" s="586">
        <f t="shared" si="2"/>
        <v>531506871.79999995</v>
      </c>
    </row>
    <row r="15" spans="1:9" ht="15.75" thickBot="1"/>
    <row r="16" spans="1:9" ht="15.75" thickBot="1">
      <c r="E16" s="181">
        <v>475232054.79999995</v>
      </c>
      <c r="F16" s="181">
        <v>475232054.79999995</v>
      </c>
      <c r="G16" s="181">
        <v>56274817</v>
      </c>
      <c r="H16" s="181">
        <v>56274817</v>
      </c>
      <c r="I16" s="181">
        <v>531506872</v>
      </c>
    </row>
    <row r="18" spans="5:9">
      <c r="E18" s="15">
        <f t="shared" ref="E18:I18" si="3">+E16-E14</f>
        <v>0</v>
      </c>
      <c r="F18" s="15">
        <f t="shared" si="3"/>
        <v>0</v>
      </c>
      <c r="G18" s="15">
        <f t="shared" si="3"/>
        <v>0</v>
      </c>
      <c r="H18" s="15">
        <f t="shared" si="3"/>
        <v>0</v>
      </c>
      <c r="I18" s="15">
        <f t="shared" si="3"/>
        <v>0.20000004768371582</v>
      </c>
    </row>
  </sheetData>
  <mergeCells count="17">
    <mergeCell ref="A7:A9"/>
    <mergeCell ref="B14:D14"/>
    <mergeCell ref="B7:B9"/>
    <mergeCell ref="C7:F7"/>
    <mergeCell ref="F8:F9"/>
    <mergeCell ref="C8:C9"/>
    <mergeCell ref="D8:D9"/>
    <mergeCell ref="G8:G9"/>
    <mergeCell ref="I7:I9"/>
    <mergeCell ref="C1:G3"/>
    <mergeCell ref="B5:I5"/>
    <mergeCell ref="B6:I6"/>
    <mergeCell ref="B1:B3"/>
    <mergeCell ref="H1:I1"/>
    <mergeCell ref="H2:I2"/>
    <mergeCell ref="H3:I3"/>
    <mergeCell ref="H7:H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theme="0" tint="-4.9989318521683403E-2"/>
  </sheetPr>
  <dimension ref="A1:V52"/>
  <sheetViews>
    <sheetView zoomScale="70" zoomScaleNormal="70" workbookViewId="0">
      <pane xSplit="9" ySplit="9" topLeftCell="J10" activePane="bottomRight" state="frozen"/>
      <selection activeCell="F55" sqref="F55"/>
      <selection pane="topRight" activeCell="F55" sqref="F55"/>
      <selection pane="bottomLeft" activeCell="F55" sqref="F55"/>
      <selection pane="bottomRight" activeCell="K34" sqref="K34"/>
    </sheetView>
  </sheetViews>
  <sheetFormatPr baseColWidth="10" defaultColWidth="11.42578125" defaultRowHeight="15"/>
  <cols>
    <col min="1" max="1" width="7.7109375" style="1055" customWidth="1"/>
    <col min="2" max="2" width="7.5703125" style="1055" customWidth="1"/>
    <col min="3" max="3" width="39.42578125" style="125" customWidth="1"/>
    <col min="4" max="4" width="20.7109375" style="125" customWidth="1"/>
    <col min="5" max="6" width="11.42578125" style="125" customWidth="1"/>
    <col min="7" max="7" width="13.28515625" style="99" customWidth="1"/>
    <col min="8" max="8" width="15.5703125" style="99" customWidth="1"/>
    <col min="9" max="9" width="1.7109375" style="99" customWidth="1"/>
    <col min="10" max="10" width="17.140625" style="99" customWidth="1"/>
    <col min="11" max="11" width="19.140625" style="125" customWidth="1"/>
    <col min="12" max="12" width="17" style="125" customWidth="1"/>
    <col min="13" max="13" width="13.5703125" style="125" customWidth="1"/>
    <col min="14" max="14" width="16.85546875" style="125" customWidth="1"/>
    <col min="15" max="15" width="12.140625" style="125" bestFit="1" customWidth="1"/>
    <col min="16" max="16" width="11.5703125" style="125" bestFit="1" customWidth="1"/>
    <col min="17" max="17" width="14.5703125" style="125" bestFit="1" customWidth="1"/>
    <col min="18" max="18" width="14.7109375" style="125" bestFit="1" customWidth="1"/>
    <col min="19" max="19" width="13.42578125" style="125" bestFit="1" customWidth="1"/>
    <col min="20" max="20" width="13.85546875" style="125" bestFit="1" customWidth="1"/>
    <col min="21" max="16384" width="11.42578125" style="125"/>
  </cols>
  <sheetData>
    <row r="1" spans="1:22">
      <c r="C1" s="2323"/>
      <c r="D1" s="2185" t="s">
        <v>367</v>
      </c>
      <c r="E1" s="2186"/>
      <c r="F1" s="2186"/>
      <c r="G1" s="2186"/>
      <c r="H1" s="2186"/>
      <c r="I1" s="2186"/>
      <c r="J1" s="2186"/>
      <c r="K1" s="2187"/>
      <c r="L1" s="2248" t="s">
        <v>364</v>
      </c>
      <c r="M1" s="2332"/>
      <c r="N1" s="2249"/>
    </row>
    <row r="2" spans="1:22">
      <c r="C2" s="2324"/>
      <c r="D2" s="2188"/>
      <c r="E2" s="2189"/>
      <c r="F2" s="2189"/>
      <c r="G2" s="2189"/>
      <c r="H2" s="2189"/>
      <c r="I2" s="2189"/>
      <c r="J2" s="2189"/>
      <c r="K2" s="2190"/>
      <c r="L2" s="2250" t="s">
        <v>365</v>
      </c>
      <c r="M2" s="2333"/>
      <c r="N2" s="2251"/>
    </row>
    <row r="3" spans="1:22" ht="15.75" thickBot="1">
      <c r="C3" s="2325"/>
      <c r="D3" s="2191"/>
      <c r="E3" s="2192"/>
      <c r="F3" s="2192"/>
      <c r="G3" s="2192"/>
      <c r="H3" s="2192"/>
      <c r="I3" s="2192"/>
      <c r="J3" s="2192"/>
      <c r="K3" s="2193"/>
      <c r="L3" s="2252" t="s">
        <v>366</v>
      </c>
      <c r="M3" s="2334"/>
      <c r="N3" s="2253"/>
    </row>
    <row r="4" spans="1:22" s="1" customFormat="1" ht="9" customHeight="1" thickBot="1">
      <c r="A4" s="1840"/>
      <c r="B4" s="1840"/>
      <c r="C4" s="292"/>
      <c r="D4" s="292"/>
      <c r="E4" s="292"/>
      <c r="F4" s="292"/>
      <c r="G4" s="292"/>
      <c r="H4" s="292"/>
      <c r="I4" s="292"/>
      <c r="J4" s="292"/>
      <c r="K4" s="292"/>
      <c r="L4" s="292"/>
      <c r="M4" s="292"/>
      <c r="N4" s="292"/>
    </row>
    <row r="5" spans="1:22" s="1" customFormat="1" ht="15.75" customHeight="1" thickBot="1">
      <c r="A5" s="1840"/>
      <c r="B5" s="1840"/>
      <c r="C5" s="2338" t="s">
        <v>181</v>
      </c>
      <c r="D5" s="2339"/>
      <c r="E5" s="2339"/>
      <c r="F5" s="2339"/>
      <c r="G5" s="2339"/>
      <c r="H5" s="2339"/>
      <c r="I5" s="2339"/>
      <c r="J5" s="2339"/>
      <c r="K5" s="2339"/>
      <c r="L5" s="2339"/>
      <c r="M5" s="2339"/>
      <c r="N5" s="2340"/>
    </row>
    <row r="6" spans="1:22" ht="15.75" thickBot="1">
      <c r="C6" s="2335" t="s">
        <v>1397</v>
      </c>
      <c r="D6" s="2336"/>
      <c r="E6" s="2336"/>
      <c r="F6" s="2336"/>
      <c r="G6" s="2336"/>
      <c r="H6" s="2336"/>
      <c r="I6" s="2336"/>
      <c r="J6" s="2336"/>
      <c r="K6" s="2336"/>
      <c r="L6" s="2336"/>
      <c r="M6" s="2336"/>
      <c r="N6" s="2337"/>
    </row>
    <row r="7" spans="1:22" ht="26.25" customHeight="1" thickBot="1">
      <c r="A7" s="2309" t="s">
        <v>368</v>
      </c>
      <c r="B7" s="2295" t="s">
        <v>369</v>
      </c>
      <c r="C7" s="2311" t="s">
        <v>311</v>
      </c>
      <c r="D7" s="2311" t="s">
        <v>312</v>
      </c>
      <c r="E7" s="2343" t="s">
        <v>207</v>
      </c>
      <c r="F7" s="2343" t="s">
        <v>351</v>
      </c>
      <c r="G7" s="2311" t="s">
        <v>313</v>
      </c>
      <c r="H7" s="2311" t="s">
        <v>191</v>
      </c>
      <c r="I7" s="2312" t="s">
        <v>433</v>
      </c>
      <c r="J7" s="889" t="s">
        <v>189</v>
      </c>
      <c r="K7" s="2311" t="s">
        <v>1028</v>
      </c>
      <c r="L7" s="510" t="s">
        <v>530</v>
      </c>
      <c r="M7" s="2311" t="s">
        <v>995</v>
      </c>
      <c r="N7" s="2311" t="s">
        <v>1014</v>
      </c>
      <c r="O7" s="745" t="s">
        <v>1280</v>
      </c>
      <c r="P7" s="1024" t="s">
        <v>1276</v>
      </c>
      <c r="Q7" s="1024" t="s">
        <v>1277</v>
      </c>
      <c r="R7" s="2156" t="s">
        <v>1278</v>
      </c>
      <c r="S7" s="2155" t="s">
        <v>1279</v>
      </c>
      <c r="T7" s="2155"/>
      <c r="U7" s="2154" t="s">
        <v>1302</v>
      </c>
      <c r="V7" s="2154"/>
    </row>
    <row r="8" spans="1:22" ht="15" customHeight="1" thickBot="1">
      <c r="A8" s="2309"/>
      <c r="B8" s="2295"/>
      <c r="C8" s="2311"/>
      <c r="D8" s="2311"/>
      <c r="E8" s="2343"/>
      <c r="F8" s="2343"/>
      <c r="G8" s="2311"/>
      <c r="H8" s="2311"/>
      <c r="I8" s="2326"/>
      <c r="J8" s="2311" t="s">
        <v>208</v>
      </c>
      <c r="K8" s="2311"/>
      <c r="L8" s="2311" t="s">
        <v>208</v>
      </c>
      <c r="M8" s="2311"/>
      <c r="N8" s="2311"/>
      <c r="O8" s="1030"/>
      <c r="P8" s="1030"/>
      <c r="Q8" s="1030"/>
      <c r="R8" s="2156"/>
      <c r="S8" s="1032" t="s">
        <v>1286</v>
      </c>
      <c r="T8" s="1051" t="s">
        <v>1284</v>
      </c>
      <c r="U8" s="157" t="s">
        <v>1288</v>
      </c>
      <c r="V8" s="157" t="s">
        <v>1289</v>
      </c>
    </row>
    <row r="9" spans="1:22" ht="15.75" thickBot="1">
      <c r="A9" s="2309"/>
      <c r="B9" s="2295"/>
      <c r="C9" s="2312"/>
      <c r="D9" s="2312"/>
      <c r="E9" s="2344"/>
      <c r="F9" s="2344"/>
      <c r="G9" s="2312"/>
      <c r="H9" s="2312"/>
      <c r="I9" s="2326"/>
      <c r="J9" s="2312"/>
      <c r="K9" s="2312"/>
      <c r="L9" s="2312"/>
      <c r="M9" s="2312"/>
      <c r="N9" s="2312"/>
      <c r="O9"/>
      <c r="P9"/>
      <c r="Q9"/>
      <c r="R9"/>
      <c r="S9" s="1038" t="s">
        <v>194</v>
      </c>
      <c r="T9" s="1038" t="s">
        <v>194</v>
      </c>
    </row>
    <row r="10" spans="1:22" ht="36.75" customHeight="1" thickBot="1">
      <c r="A10" s="152">
        <v>219</v>
      </c>
      <c r="B10" s="487"/>
      <c r="C10" s="564" t="s">
        <v>1437</v>
      </c>
      <c r="D10" s="565"/>
      <c r="E10" s="565"/>
      <c r="F10" s="565"/>
      <c r="G10" s="566" t="s">
        <v>1098</v>
      </c>
      <c r="H10" s="877">
        <v>100</v>
      </c>
      <c r="I10" s="566"/>
      <c r="J10" s="567">
        <f t="shared" ref="J10:N10" si="0">+J11</f>
        <v>53212301.200000003</v>
      </c>
      <c r="K10" s="567">
        <f t="shared" si="0"/>
        <v>53212301.200000003</v>
      </c>
      <c r="L10" s="567">
        <f t="shared" si="0"/>
        <v>0</v>
      </c>
      <c r="M10" s="567">
        <f t="shared" si="0"/>
        <v>0</v>
      </c>
      <c r="N10" s="568">
        <f t="shared" si="0"/>
        <v>53212301.200000003</v>
      </c>
      <c r="O10" s="1052"/>
      <c r="P10" s="1052"/>
      <c r="Q10" s="1052"/>
      <c r="R10" s="1052"/>
      <c r="S10" s="1052"/>
      <c r="T10" s="1052"/>
    </row>
    <row r="11" spans="1:22" ht="38.25" customHeight="1" thickBot="1">
      <c r="A11" s="152"/>
      <c r="B11" s="487" t="s">
        <v>1495</v>
      </c>
      <c r="C11" s="569" t="s">
        <v>1025</v>
      </c>
      <c r="D11" s="570"/>
      <c r="E11" s="570"/>
      <c r="F11" s="570"/>
      <c r="G11" s="1697" t="s">
        <v>1098</v>
      </c>
      <c r="H11" s="725">
        <v>100</v>
      </c>
      <c r="I11" s="570"/>
      <c r="J11" s="571">
        <f t="shared" ref="J11:N11" si="1">SUM(J12:J15)</f>
        <v>53212301.200000003</v>
      </c>
      <c r="K11" s="571">
        <f t="shared" si="1"/>
        <v>53212301.200000003</v>
      </c>
      <c r="L11" s="571">
        <f t="shared" si="1"/>
        <v>0</v>
      </c>
      <c r="M11" s="571">
        <f t="shared" si="1"/>
        <v>0</v>
      </c>
      <c r="N11" s="572">
        <f t="shared" si="1"/>
        <v>53212301.200000003</v>
      </c>
      <c r="O11" s="1052"/>
      <c r="P11" s="1052"/>
      <c r="Q11" s="1052"/>
      <c r="R11" s="1052"/>
      <c r="S11" s="1052"/>
      <c r="T11" s="1052"/>
    </row>
    <row r="12" spans="1:22" s="1137" customFormat="1" ht="15.75" customHeight="1">
      <c r="A12" s="1038"/>
      <c r="B12" s="1038"/>
      <c r="C12" s="1152" t="s">
        <v>694</v>
      </c>
      <c r="D12" s="1153" t="s">
        <v>211</v>
      </c>
      <c r="E12" s="1154" t="s">
        <v>352</v>
      </c>
      <c r="F12" s="1154" t="s">
        <v>466</v>
      </c>
      <c r="G12" s="1153" t="s">
        <v>197</v>
      </c>
      <c r="H12" s="1153"/>
      <c r="I12" s="1153"/>
      <c r="J12" s="1155">
        <v>38152000</v>
      </c>
      <c r="K12" s="1156">
        <f>+SUM(J12:J12)</f>
        <v>38152000</v>
      </c>
      <c r="L12" s="1155"/>
      <c r="M12" s="1155">
        <f>+L12</f>
        <v>0</v>
      </c>
      <c r="N12" s="1157">
        <f>+K12+M12</f>
        <v>38152000</v>
      </c>
      <c r="O12" s="1136">
        <v>38152000</v>
      </c>
      <c r="P12" s="1136">
        <v>38152000</v>
      </c>
      <c r="Q12" s="1136">
        <v>38152000</v>
      </c>
      <c r="R12" s="1136">
        <f>+O12-Q12</f>
        <v>0</v>
      </c>
      <c r="S12" s="1136"/>
      <c r="T12" s="1136"/>
      <c r="U12" s="1137" t="s">
        <v>55</v>
      </c>
      <c r="V12" s="1137" t="s">
        <v>1350</v>
      </c>
    </row>
    <row r="13" spans="1:22" s="1137" customFormat="1" ht="32.25" customHeight="1">
      <c r="A13" s="1038"/>
      <c r="B13" s="1038"/>
      <c r="C13" s="1138" t="s">
        <v>857</v>
      </c>
      <c r="D13" s="1131" t="s">
        <v>211</v>
      </c>
      <c r="E13" s="1132" t="s">
        <v>352</v>
      </c>
      <c r="F13" s="1132" t="s">
        <v>466</v>
      </c>
      <c r="G13" s="1131" t="s">
        <v>197</v>
      </c>
      <c r="H13" s="1131"/>
      <c r="I13" s="1131"/>
      <c r="J13" s="1133">
        <f>4285800*1.004*1.5</f>
        <v>6454414.8000000007</v>
      </c>
      <c r="K13" s="1134">
        <f>+SUM(J13:J13)</f>
        <v>6454414.8000000007</v>
      </c>
      <c r="L13" s="1133"/>
      <c r="M13" s="1133">
        <f>+L13</f>
        <v>0</v>
      </c>
      <c r="N13" s="1135">
        <f>+K13+M13</f>
        <v>6454414.8000000007</v>
      </c>
      <c r="O13" s="1136">
        <v>6454414.8000000007</v>
      </c>
      <c r="P13" s="1136">
        <v>6454414.8000000007</v>
      </c>
      <c r="Q13" s="1136">
        <v>6454414.8000000007</v>
      </c>
      <c r="R13" s="1136">
        <f t="shared" ref="R13:R15" si="2">+O13-Q13</f>
        <v>0</v>
      </c>
      <c r="S13" s="1136"/>
      <c r="T13" s="1136"/>
      <c r="U13" s="1137" t="s">
        <v>55</v>
      </c>
      <c r="V13" s="1137" t="s">
        <v>1350</v>
      </c>
    </row>
    <row r="14" spans="1:22" s="1137" customFormat="1" ht="24.75" customHeight="1">
      <c r="A14" s="1038"/>
      <c r="B14" s="1038"/>
      <c r="C14" s="1130" t="s">
        <v>517</v>
      </c>
      <c r="D14" s="1131" t="s">
        <v>211</v>
      </c>
      <c r="E14" s="1132" t="s">
        <v>352</v>
      </c>
      <c r="F14" s="1132" t="s">
        <v>466</v>
      </c>
      <c r="G14" s="1131" t="s">
        <v>197</v>
      </c>
      <c r="H14" s="1131"/>
      <c r="I14" s="1131"/>
      <c r="J14" s="1133">
        <v>4302943.2</v>
      </c>
      <c r="K14" s="1134">
        <f>+SUM(J14:J14)</f>
        <v>4302943.2</v>
      </c>
      <c r="L14" s="1133"/>
      <c r="M14" s="1133">
        <f>+L14</f>
        <v>0</v>
      </c>
      <c r="N14" s="1135">
        <f>+K14+M14</f>
        <v>4302943.2</v>
      </c>
      <c r="O14" s="1136">
        <v>4302943.2</v>
      </c>
      <c r="P14" s="1136">
        <v>4302943.2</v>
      </c>
      <c r="Q14" s="1136">
        <v>4302943.2</v>
      </c>
      <c r="R14" s="1136">
        <f t="shared" si="2"/>
        <v>0</v>
      </c>
      <c r="S14" s="1136"/>
      <c r="T14" s="1136"/>
      <c r="U14" s="1137" t="s">
        <v>55</v>
      </c>
      <c r="V14" s="1137" t="s">
        <v>1350</v>
      </c>
    </row>
    <row r="15" spans="1:22" s="1137" customFormat="1" ht="27" customHeight="1" thickBot="1">
      <c r="A15" s="1038"/>
      <c r="B15" s="1038"/>
      <c r="C15" s="1130" t="s">
        <v>518</v>
      </c>
      <c r="D15" s="1131" t="s">
        <v>211</v>
      </c>
      <c r="E15" s="1132" t="s">
        <v>352</v>
      </c>
      <c r="F15" s="1132" t="s">
        <v>466</v>
      </c>
      <c r="G15" s="1131" t="s">
        <v>197</v>
      </c>
      <c r="H15" s="1131"/>
      <c r="I15" s="1131"/>
      <c r="J15" s="1133">
        <v>4302943.2</v>
      </c>
      <c r="K15" s="1134">
        <f>+SUM(J15:J15)</f>
        <v>4302943.2</v>
      </c>
      <c r="L15" s="1133"/>
      <c r="M15" s="1133">
        <f>+L15</f>
        <v>0</v>
      </c>
      <c r="N15" s="1135">
        <f>+K15+M15</f>
        <v>4302943.2</v>
      </c>
      <c r="O15" s="1136">
        <v>4302943.2</v>
      </c>
      <c r="P15" s="1136">
        <v>4302943.2</v>
      </c>
      <c r="Q15" s="1136">
        <v>4302943.2</v>
      </c>
      <c r="R15" s="1136">
        <f t="shared" si="2"/>
        <v>0</v>
      </c>
      <c r="S15" s="1136"/>
      <c r="T15" s="1136"/>
      <c r="U15" s="1137" t="s">
        <v>55</v>
      </c>
      <c r="V15" s="1137" t="s">
        <v>1350</v>
      </c>
    </row>
    <row r="16" spans="1:22" ht="45" customHeight="1" thickBot="1">
      <c r="A16" s="152">
        <v>220</v>
      </c>
      <c r="B16" s="1883"/>
      <c r="C16" s="1878" t="s">
        <v>1026</v>
      </c>
      <c r="D16" s="577"/>
      <c r="E16" s="577"/>
      <c r="F16" s="577"/>
      <c r="G16" s="578" t="s">
        <v>1098</v>
      </c>
      <c r="H16" s="1698">
        <v>100</v>
      </c>
      <c r="I16" s="578"/>
      <c r="J16" s="579">
        <f t="shared" ref="J16:N16" si="3">+J17</f>
        <v>422019753.59999996</v>
      </c>
      <c r="K16" s="579">
        <f t="shared" si="3"/>
        <v>422019753.59999996</v>
      </c>
      <c r="L16" s="579">
        <f t="shared" si="3"/>
        <v>56274817</v>
      </c>
      <c r="M16" s="579">
        <f t="shared" si="3"/>
        <v>56274817</v>
      </c>
      <c r="N16" s="580">
        <f t="shared" si="3"/>
        <v>478294570.59999996</v>
      </c>
      <c r="O16" s="1052"/>
      <c r="P16" s="1052"/>
      <c r="Q16" s="1052"/>
      <c r="R16" s="1052"/>
      <c r="S16" s="1052"/>
      <c r="T16" s="1052"/>
    </row>
    <row r="17" spans="1:22" ht="38.25" customHeight="1" thickBot="1">
      <c r="A17" s="1879"/>
      <c r="B17" s="1880" t="s">
        <v>1497</v>
      </c>
      <c r="C17" s="573" t="s">
        <v>1027</v>
      </c>
      <c r="D17" s="574"/>
      <c r="E17" s="574"/>
      <c r="F17" s="574"/>
      <c r="G17" s="574" t="s">
        <v>1098</v>
      </c>
      <c r="H17" s="399">
        <v>100</v>
      </c>
      <c r="I17" s="574"/>
      <c r="J17" s="475">
        <f t="shared" ref="J17:N17" si="4">SUM(J18:J42)</f>
        <v>422019753.59999996</v>
      </c>
      <c r="K17" s="475">
        <f t="shared" si="4"/>
        <v>422019753.59999996</v>
      </c>
      <c r="L17" s="475">
        <f t="shared" si="4"/>
        <v>56274817</v>
      </c>
      <c r="M17" s="475">
        <f t="shared" si="4"/>
        <v>56274817</v>
      </c>
      <c r="N17" s="476">
        <f t="shared" si="4"/>
        <v>478294570.59999996</v>
      </c>
      <c r="O17" s="1052"/>
      <c r="P17" s="1052"/>
      <c r="Q17" s="1052"/>
      <c r="R17" s="1052"/>
      <c r="S17" s="1052"/>
      <c r="T17" s="1052"/>
    </row>
    <row r="18" spans="1:22" s="1137" customFormat="1">
      <c r="A18" s="1038"/>
      <c r="B18" s="1038"/>
      <c r="C18" s="1146" t="s">
        <v>798</v>
      </c>
      <c r="D18" s="1147" t="s">
        <v>211</v>
      </c>
      <c r="E18" s="1148" t="s">
        <v>352</v>
      </c>
      <c r="F18" s="1148" t="s">
        <v>466</v>
      </c>
      <c r="G18" s="1147" t="s">
        <v>197</v>
      </c>
      <c r="H18" s="1147"/>
      <c r="I18" s="1147"/>
      <c r="J18" s="1149">
        <v>38726488.800000004</v>
      </c>
      <c r="K18" s="1150">
        <f t="shared" ref="K18:K42" si="5">+SUM(J18:J18)</f>
        <v>38726488.800000004</v>
      </c>
      <c r="L18" s="1149"/>
      <c r="M18" s="1149">
        <f>+L18</f>
        <v>0</v>
      </c>
      <c r="N18" s="1151">
        <f>+L18+K18</f>
        <v>38726488.800000004</v>
      </c>
      <c r="O18" s="1136">
        <v>38726488.800000004</v>
      </c>
      <c r="P18" s="1136">
        <v>38726489</v>
      </c>
      <c r="Q18" s="1136">
        <v>38726489</v>
      </c>
      <c r="R18" s="1136">
        <f>+O18-Q18</f>
        <v>-0.19999999552965164</v>
      </c>
      <c r="S18" s="1136"/>
      <c r="T18" s="1136"/>
      <c r="U18" s="1137" t="s">
        <v>54</v>
      </c>
      <c r="V18" s="1137" t="s">
        <v>1351</v>
      </c>
    </row>
    <row r="19" spans="1:22" s="1137" customFormat="1">
      <c r="A19" s="1038"/>
      <c r="B19" s="1038"/>
      <c r="C19" s="1130" t="s">
        <v>799</v>
      </c>
      <c r="D19" s="1131" t="s">
        <v>211</v>
      </c>
      <c r="E19" s="1132" t="s">
        <v>352</v>
      </c>
      <c r="F19" s="1132" t="s">
        <v>466</v>
      </c>
      <c r="G19" s="1131" t="s">
        <v>197</v>
      </c>
      <c r="H19" s="1131"/>
      <c r="I19" s="1131"/>
      <c r="J19" s="1133">
        <v>19997632</v>
      </c>
      <c r="K19" s="1134">
        <f t="shared" si="5"/>
        <v>19997632</v>
      </c>
      <c r="L19" s="1133"/>
      <c r="M19" s="1133">
        <f t="shared" ref="M19:M42" si="6">+L19</f>
        <v>0</v>
      </c>
      <c r="N19" s="1135">
        <f t="shared" ref="N19:N42" si="7">+L19+K19</f>
        <v>19997632</v>
      </c>
      <c r="O19" s="1136">
        <v>19997632</v>
      </c>
      <c r="P19" s="1136">
        <v>19997632</v>
      </c>
      <c r="Q19" s="1136">
        <v>19997632</v>
      </c>
      <c r="R19" s="1136">
        <f t="shared" ref="R19:R42" si="8">+O19-Q19</f>
        <v>0</v>
      </c>
      <c r="S19" s="1136"/>
      <c r="T19" s="1136"/>
      <c r="U19" s="1137" t="s">
        <v>54</v>
      </c>
      <c r="V19" s="1137" t="s">
        <v>1351</v>
      </c>
    </row>
    <row r="20" spans="1:22" s="1141" customFormat="1" ht="16.5" customHeight="1">
      <c r="A20" s="1038"/>
      <c r="B20" s="1038"/>
      <c r="C20" s="1200" t="s">
        <v>798</v>
      </c>
      <c r="D20" s="1140" t="s">
        <v>211</v>
      </c>
      <c r="E20" s="1140" t="s">
        <v>352</v>
      </c>
      <c r="F20" s="1140" t="s">
        <v>466</v>
      </c>
      <c r="G20" s="1140" t="s">
        <v>197</v>
      </c>
      <c r="H20" s="1140"/>
      <c r="I20" s="1140"/>
      <c r="J20" s="1201"/>
      <c r="K20" s="1202">
        <f t="shared" si="5"/>
        <v>0</v>
      </c>
      <c r="L20" s="1201">
        <f>16384698-5020000</f>
        <v>11364698</v>
      </c>
      <c r="M20" s="1201">
        <f t="shared" si="6"/>
        <v>11364698</v>
      </c>
      <c r="N20" s="1203">
        <f t="shared" si="7"/>
        <v>11364698</v>
      </c>
      <c r="O20" s="1204">
        <v>11364698</v>
      </c>
      <c r="P20" s="1204"/>
      <c r="Q20" s="1204"/>
      <c r="R20" s="1204">
        <f>+O20-P20</f>
        <v>11364698</v>
      </c>
      <c r="S20" s="1204"/>
      <c r="T20" s="1204">
        <v>11364698</v>
      </c>
      <c r="U20" s="1141" t="s">
        <v>54</v>
      </c>
      <c r="V20" s="1141" t="s">
        <v>1351</v>
      </c>
    </row>
    <row r="21" spans="1:22" s="1141" customFormat="1" ht="16.5" customHeight="1">
      <c r="A21" s="1038"/>
      <c r="B21" s="1038"/>
      <c r="C21" s="1200" t="s">
        <v>798</v>
      </c>
      <c r="D21" s="1140" t="s">
        <v>211</v>
      </c>
      <c r="E21" s="1140" t="s">
        <v>352</v>
      </c>
      <c r="F21" s="1140" t="s">
        <v>466</v>
      </c>
      <c r="G21" s="1140" t="s">
        <v>197</v>
      </c>
      <c r="H21" s="1140"/>
      <c r="I21" s="1140"/>
      <c r="J21" s="1201"/>
      <c r="K21" s="1202">
        <f t="shared" si="5"/>
        <v>0</v>
      </c>
      <c r="L21" s="1201">
        <f>16384698-5020000</f>
        <v>11364698</v>
      </c>
      <c r="M21" s="1201">
        <f t="shared" si="6"/>
        <v>11364698</v>
      </c>
      <c r="N21" s="1203">
        <f t="shared" si="7"/>
        <v>11364698</v>
      </c>
      <c r="O21" s="1204">
        <v>11364698</v>
      </c>
      <c r="P21" s="1204"/>
      <c r="Q21" s="1204"/>
      <c r="R21" s="1204">
        <f>+O21-P21</f>
        <v>11364698</v>
      </c>
      <c r="S21" s="1204"/>
      <c r="T21" s="1204">
        <v>11364698</v>
      </c>
      <c r="U21" s="1141" t="s">
        <v>54</v>
      </c>
      <c r="V21" s="1141" t="s">
        <v>1351</v>
      </c>
    </row>
    <row r="22" spans="1:22" s="1137" customFormat="1" ht="39.75" customHeight="1">
      <c r="A22" s="1038"/>
      <c r="B22" s="1038"/>
      <c r="C22" s="1130" t="s">
        <v>889</v>
      </c>
      <c r="D22" s="1131" t="s">
        <v>211</v>
      </c>
      <c r="E22" s="1132" t="s">
        <v>352</v>
      </c>
      <c r="F22" s="1132" t="s">
        <v>466</v>
      </c>
      <c r="G22" s="1131" t="s">
        <v>197</v>
      </c>
      <c r="H22" s="1131"/>
      <c r="I22" s="1131"/>
      <c r="J22" s="1133">
        <f>30613968-8349264</f>
        <v>22264704</v>
      </c>
      <c r="K22" s="1134">
        <f t="shared" si="5"/>
        <v>22264704</v>
      </c>
      <c r="L22" s="1133"/>
      <c r="M22" s="1133">
        <f t="shared" si="6"/>
        <v>0</v>
      </c>
      <c r="N22" s="1135">
        <f t="shared" si="7"/>
        <v>22264704</v>
      </c>
      <c r="O22" s="1136">
        <v>22264704</v>
      </c>
      <c r="P22" s="1136">
        <v>22264704</v>
      </c>
      <c r="Q22" s="1136">
        <v>22264704</v>
      </c>
      <c r="R22" s="1136">
        <f t="shared" si="8"/>
        <v>0</v>
      </c>
      <c r="S22" s="1136"/>
      <c r="T22" s="1136"/>
      <c r="U22" s="1137" t="s">
        <v>54</v>
      </c>
      <c r="V22" s="1137" t="s">
        <v>1351</v>
      </c>
    </row>
    <row r="23" spans="1:22" s="1137" customFormat="1" ht="25.5">
      <c r="A23" s="1038"/>
      <c r="B23" s="1038"/>
      <c r="C23" s="1130" t="s">
        <v>649</v>
      </c>
      <c r="D23" s="1131" t="s">
        <v>211</v>
      </c>
      <c r="E23" s="1132" t="s">
        <v>352</v>
      </c>
      <c r="F23" s="1132" t="s">
        <v>466</v>
      </c>
      <c r="G23" s="1131" t="s">
        <v>197</v>
      </c>
      <c r="H23" s="1131"/>
      <c r="I23" s="1131"/>
      <c r="J23" s="1133">
        <v>11368894.399999976</v>
      </c>
      <c r="K23" s="1134">
        <f t="shared" si="5"/>
        <v>11368894.399999976</v>
      </c>
      <c r="L23" s="1133"/>
      <c r="M23" s="1133">
        <f t="shared" si="6"/>
        <v>0</v>
      </c>
      <c r="N23" s="1135">
        <f t="shared" si="7"/>
        <v>11368894.399999976</v>
      </c>
      <c r="O23" s="1136">
        <v>11368894</v>
      </c>
      <c r="P23" s="1136">
        <v>11368894</v>
      </c>
      <c r="Q23" s="1136">
        <v>11368894</v>
      </c>
      <c r="R23" s="1136">
        <f t="shared" si="8"/>
        <v>0</v>
      </c>
      <c r="S23" s="1136"/>
      <c r="T23" s="1136"/>
      <c r="U23" s="1137" t="s">
        <v>54</v>
      </c>
      <c r="V23" s="1137" t="s">
        <v>1351</v>
      </c>
    </row>
    <row r="24" spans="1:22" s="1137" customFormat="1" ht="25.5">
      <c r="A24" s="1038"/>
      <c r="B24" s="1038"/>
      <c r="C24" s="1130" t="s">
        <v>800</v>
      </c>
      <c r="D24" s="1131" t="s">
        <v>211</v>
      </c>
      <c r="E24" s="1132" t="s">
        <v>352</v>
      </c>
      <c r="F24" s="1132" t="s">
        <v>466</v>
      </c>
      <c r="G24" s="1131" t="s">
        <v>197</v>
      </c>
      <c r="H24" s="1131"/>
      <c r="I24" s="1131"/>
      <c r="J24" s="1133">
        <v>14539225.199999999</v>
      </c>
      <c r="K24" s="1134">
        <f t="shared" si="5"/>
        <v>14539225.199999999</v>
      </c>
      <c r="L24" s="1133"/>
      <c r="M24" s="1133">
        <f t="shared" si="6"/>
        <v>0</v>
      </c>
      <c r="N24" s="1135">
        <f t="shared" si="7"/>
        <v>14539225.199999999</v>
      </c>
      <c r="O24" s="1136">
        <v>14539225</v>
      </c>
      <c r="P24" s="1136">
        <v>14539225</v>
      </c>
      <c r="Q24" s="1136">
        <v>14539225</v>
      </c>
      <c r="R24" s="1136">
        <f t="shared" si="8"/>
        <v>0</v>
      </c>
      <c r="S24" s="1136"/>
      <c r="T24" s="1136"/>
      <c r="U24" s="1137" t="s">
        <v>54</v>
      </c>
      <c r="V24" s="1137" t="s">
        <v>1351</v>
      </c>
    </row>
    <row r="25" spans="1:22" s="1137" customFormat="1">
      <c r="A25" s="1038"/>
      <c r="B25" s="1038"/>
      <c r="C25" s="1130" t="s">
        <v>687</v>
      </c>
      <c r="D25" s="1131" t="s">
        <v>211</v>
      </c>
      <c r="E25" s="1132" t="s">
        <v>352</v>
      </c>
      <c r="F25" s="1132" t="s">
        <v>466</v>
      </c>
      <c r="G25" s="1131" t="s">
        <v>197</v>
      </c>
      <c r="H25" s="1131"/>
      <c r="I25" s="1131"/>
      <c r="J25" s="1133">
        <v>13682512</v>
      </c>
      <c r="K25" s="1134">
        <f t="shared" si="5"/>
        <v>13682512</v>
      </c>
      <c r="L25" s="1133"/>
      <c r="M25" s="1133">
        <f t="shared" si="6"/>
        <v>0</v>
      </c>
      <c r="N25" s="1135">
        <f t="shared" si="7"/>
        <v>13682512</v>
      </c>
      <c r="O25" s="1136">
        <v>13682512</v>
      </c>
      <c r="P25" s="1136">
        <v>13682512</v>
      </c>
      <c r="Q25" s="1136">
        <v>13682512</v>
      </c>
      <c r="R25" s="1136">
        <f t="shared" si="8"/>
        <v>0</v>
      </c>
      <c r="S25" s="1136"/>
      <c r="T25" s="1136"/>
      <c r="U25" s="1137" t="s">
        <v>54</v>
      </c>
      <c r="V25" s="1137" t="s">
        <v>1351</v>
      </c>
    </row>
    <row r="26" spans="1:22" s="1141" customFormat="1" ht="16.5" customHeight="1">
      <c r="A26" s="1038"/>
      <c r="B26" s="1038"/>
      <c r="C26" s="1200" t="s">
        <v>904</v>
      </c>
      <c r="D26" s="1140" t="s">
        <v>211</v>
      </c>
      <c r="E26" s="1140" t="s">
        <v>352</v>
      </c>
      <c r="F26" s="1140" t="s">
        <v>466</v>
      </c>
      <c r="G26" s="1140" t="s">
        <v>197</v>
      </c>
      <c r="H26" s="1140"/>
      <c r="I26" s="1140"/>
      <c r="J26" s="1201"/>
      <c r="K26" s="1202">
        <f t="shared" si="5"/>
        <v>0</v>
      </c>
      <c r="L26" s="1201">
        <f>16384698-5020000</f>
        <v>11364698</v>
      </c>
      <c r="M26" s="1201">
        <f t="shared" si="6"/>
        <v>11364698</v>
      </c>
      <c r="N26" s="1203">
        <f t="shared" si="7"/>
        <v>11364698</v>
      </c>
      <c r="O26" s="1204">
        <v>11364698</v>
      </c>
      <c r="P26" s="1204"/>
      <c r="Q26" s="1204"/>
      <c r="R26" s="1204">
        <f t="shared" ref="R26:R29" si="9">+O26-P26</f>
        <v>11364698</v>
      </c>
      <c r="S26" s="1204"/>
      <c r="T26" s="1204">
        <v>11364698</v>
      </c>
      <c r="U26" s="1141" t="s">
        <v>54</v>
      </c>
      <c r="V26" s="1141" t="s">
        <v>1351</v>
      </c>
    </row>
    <row r="27" spans="1:22" s="1141" customFormat="1" ht="16.5" customHeight="1">
      <c r="A27" s="1038"/>
      <c r="B27" s="1038"/>
      <c r="C27" s="1200" t="s">
        <v>904</v>
      </c>
      <c r="D27" s="1140" t="s">
        <v>211</v>
      </c>
      <c r="E27" s="1140" t="s">
        <v>352</v>
      </c>
      <c r="F27" s="1140" t="s">
        <v>466</v>
      </c>
      <c r="G27" s="1140" t="s">
        <v>197</v>
      </c>
      <c r="H27" s="1140"/>
      <c r="I27" s="1140"/>
      <c r="J27" s="1201"/>
      <c r="K27" s="1202">
        <f t="shared" si="5"/>
        <v>0</v>
      </c>
      <c r="L27" s="1201">
        <f>16384698-5020000</f>
        <v>11364698</v>
      </c>
      <c r="M27" s="1201">
        <f t="shared" si="6"/>
        <v>11364698</v>
      </c>
      <c r="N27" s="1203">
        <f t="shared" si="7"/>
        <v>11364698</v>
      </c>
      <c r="O27" s="1204">
        <v>11364698</v>
      </c>
      <c r="P27" s="1204"/>
      <c r="Q27" s="1204"/>
      <c r="R27" s="1204">
        <f t="shared" si="9"/>
        <v>11364698</v>
      </c>
      <c r="S27" s="1204"/>
      <c r="T27" s="1204">
        <v>11364698</v>
      </c>
      <c r="U27" s="1141" t="s">
        <v>54</v>
      </c>
      <c r="V27" s="1141" t="s">
        <v>1351</v>
      </c>
    </row>
    <row r="28" spans="1:22" s="1261" customFormat="1" ht="16.5" customHeight="1">
      <c r="A28" s="1038"/>
      <c r="B28" s="1038"/>
      <c r="C28" s="1264" t="s">
        <v>799</v>
      </c>
      <c r="D28" s="1262" t="s">
        <v>211</v>
      </c>
      <c r="E28" s="1214" t="s">
        <v>352</v>
      </c>
      <c r="F28" s="1214" t="s">
        <v>466</v>
      </c>
      <c r="G28" s="1262" t="s">
        <v>197</v>
      </c>
      <c r="H28" s="1262"/>
      <c r="I28" s="1262"/>
      <c r="J28" s="1231">
        <v>18702512</v>
      </c>
      <c r="K28" s="1173">
        <f t="shared" si="5"/>
        <v>18702512</v>
      </c>
      <c r="L28" s="1172"/>
      <c r="M28" s="1172">
        <f t="shared" si="6"/>
        <v>0</v>
      </c>
      <c r="N28" s="1198">
        <f t="shared" si="7"/>
        <v>18702512</v>
      </c>
      <c r="O28" s="1263">
        <v>18702512</v>
      </c>
      <c r="P28" s="1263"/>
      <c r="Q28" s="1263"/>
      <c r="R28" s="1263">
        <f t="shared" si="9"/>
        <v>18702512</v>
      </c>
      <c r="S28" s="1263">
        <v>18702512</v>
      </c>
      <c r="T28" s="1263"/>
      <c r="U28" s="1261" t="s">
        <v>54</v>
      </c>
      <c r="V28" s="1261" t="s">
        <v>1351</v>
      </c>
    </row>
    <row r="29" spans="1:22" s="1261" customFormat="1" ht="16.5" customHeight="1">
      <c r="A29" s="1038"/>
      <c r="B29" s="1038"/>
      <c r="C29" s="1264" t="s">
        <v>691</v>
      </c>
      <c r="D29" s="1262" t="s">
        <v>211</v>
      </c>
      <c r="E29" s="1214" t="s">
        <v>352</v>
      </c>
      <c r="F29" s="1214" t="s">
        <v>466</v>
      </c>
      <c r="G29" s="1262" t="s">
        <v>197</v>
      </c>
      <c r="H29" s="1262"/>
      <c r="I29" s="1262"/>
      <c r="J29" s="1231">
        <f>9314000*1.004/4*1</f>
        <v>2337814</v>
      </c>
      <c r="K29" s="1173">
        <f t="shared" si="5"/>
        <v>2337814</v>
      </c>
      <c r="L29" s="1172"/>
      <c r="M29" s="1172">
        <f t="shared" si="6"/>
        <v>0</v>
      </c>
      <c r="N29" s="1198">
        <f t="shared" si="7"/>
        <v>2337814</v>
      </c>
      <c r="O29" s="1263">
        <v>2337814</v>
      </c>
      <c r="P29" s="1263"/>
      <c r="Q29" s="1263"/>
      <c r="R29" s="1263">
        <f t="shared" si="9"/>
        <v>2337814</v>
      </c>
      <c r="S29" s="1263">
        <v>2337814</v>
      </c>
      <c r="T29" s="1263"/>
      <c r="U29" s="1261" t="s">
        <v>54</v>
      </c>
      <c r="V29" s="1261" t="s">
        <v>1351</v>
      </c>
    </row>
    <row r="30" spans="1:22" s="1137" customFormat="1">
      <c r="A30" s="1038"/>
      <c r="B30" s="1038"/>
      <c r="C30" s="1138" t="s">
        <v>653</v>
      </c>
      <c r="D30" s="1131" t="s">
        <v>471</v>
      </c>
      <c r="E30" s="1132" t="s">
        <v>352</v>
      </c>
      <c r="F30" s="1132" t="s">
        <v>475</v>
      </c>
      <c r="G30" s="1131" t="s">
        <v>197</v>
      </c>
      <c r="H30" s="1131"/>
      <c r="I30" s="1131"/>
      <c r="J30" s="1133">
        <f>10121826+4675628</f>
        <v>14797454</v>
      </c>
      <c r="K30" s="1134">
        <f t="shared" si="5"/>
        <v>14797454</v>
      </c>
      <c r="L30" s="1133"/>
      <c r="M30" s="1133">
        <f t="shared" si="6"/>
        <v>0</v>
      </c>
      <c r="N30" s="1135">
        <f t="shared" si="7"/>
        <v>14797454</v>
      </c>
      <c r="O30" s="1136">
        <v>14797454</v>
      </c>
      <c r="P30" s="1136">
        <v>14797454</v>
      </c>
      <c r="Q30" s="1136">
        <v>14797454</v>
      </c>
      <c r="R30" s="1136">
        <f t="shared" si="8"/>
        <v>0</v>
      </c>
      <c r="S30" s="1136"/>
      <c r="T30" s="1136"/>
      <c r="U30" s="1137" t="s">
        <v>54</v>
      </c>
      <c r="V30" s="1137" t="s">
        <v>1351</v>
      </c>
    </row>
    <row r="31" spans="1:22" s="1137" customFormat="1">
      <c r="A31" s="1038"/>
      <c r="B31" s="1038"/>
      <c r="C31" s="1130" t="s">
        <v>654</v>
      </c>
      <c r="D31" s="1131" t="s">
        <v>211</v>
      </c>
      <c r="E31" s="1132" t="s">
        <v>352</v>
      </c>
      <c r="F31" s="1132" t="s">
        <v>475</v>
      </c>
      <c r="G31" s="1131" t="s">
        <v>197</v>
      </c>
      <c r="H31" s="1131"/>
      <c r="I31" s="1131"/>
      <c r="J31" s="1133">
        <f>7614336-660230.4</f>
        <v>6954105.5999999996</v>
      </c>
      <c r="K31" s="1134">
        <f t="shared" si="5"/>
        <v>6954105.5999999996</v>
      </c>
      <c r="L31" s="1133"/>
      <c r="M31" s="1133">
        <f t="shared" si="6"/>
        <v>0</v>
      </c>
      <c r="N31" s="1135">
        <f t="shared" si="7"/>
        <v>6954105.5999999996</v>
      </c>
      <c r="O31" s="1136">
        <v>6954106</v>
      </c>
      <c r="P31" s="1136">
        <v>6954106</v>
      </c>
      <c r="Q31" s="1136">
        <v>6954106</v>
      </c>
      <c r="R31" s="1136">
        <f t="shared" si="8"/>
        <v>0</v>
      </c>
      <c r="S31" s="1136"/>
      <c r="T31" s="1136"/>
      <c r="U31" s="1137" t="s">
        <v>54</v>
      </c>
      <c r="V31" s="1137" t="s">
        <v>1351</v>
      </c>
    </row>
    <row r="32" spans="1:22" s="1137" customFormat="1">
      <c r="A32" s="1038"/>
      <c r="B32" s="1038"/>
      <c r="C32" s="1130" t="s">
        <v>654</v>
      </c>
      <c r="D32" s="1131" t="s">
        <v>211</v>
      </c>
      <c r="E32" s="1132" t="s">
        <v>352</v>
      </c>
      <c r="F32" s="1132" t="s">
        <v>475</v>
      </c>
      <c r="G32" s="1131" t="s">
        <v>197</v>
      </c>
      <c r="H32" s="1131"/>
      <c r="I32" s="1131"/>
      <c r="J32" s="1133">
        <v>4568601.5999999996</v>
      </c>
      <c r="K32" s="1134">
        <f t="shared" si="5"/>
        <v>4568601.5999999996</v>
      </c>
      <c r="L32" s="1133"/>
      <c r="M32" s="1133">
        <f t="shared" si="6"/>
        <v>0</v>
      </c>
      <c r="N32" s="1135">
        <f t="shared" si="7"/>
        <v>4568601.5999999996</v>
      </c>
      <c r="O32" s="1136">
        <v>4568602</v>
      </c>
      <c r="P32" s="1136">
        <v>4568602</v>
      </c>
      <c r="Q32" s="1136">
        <v>4568602</v>
      </c>
      <c r="R32" s="1136">
        <f t="shared" si="8"/>
        <v>0</v>
      </c>
      <c r="S32" s="1136"/>
      <c r="T32" s="1136"/>
      <c r="U32" s="1137" t="s">
        <v>54</v>
      </c>
      <c r="V32" s="1137" t="s">
        <v>1351</v>
      </c>
    </row>
    <row r="33" spans="1:22" s="1137" customFormat="1">
      <c r="A33" s="1038"/>
      <c r="B33" s="1038"/>
      <c r="C33" s="1130" t="s">
        <v>688</v>
      </c>
      <c r="D33" s="1131" t="s">
        <v>211</v>
      </c>
      <c r="E33" s="1132" t="s">
        <v>352</v>
      </c>
      <c r="F33" s="1132" t="s">
        <v>466</v>
      </c>
      <c r="G33" s="1131" t="s">
        <v>197</v>
      </c>
      <c r="H33" s="1131"/>
      <c r="I33" s="1131"/>
      <c r="J33" s="1133">
        <v>17211772.800000001</v>
      </c>
      <c r="K33" s="1134">
        <f t="shared" si="5"/>
        <v>17211772.800000001</v>
      </c>
      <c r="L33" s="1133"/>
      <c r="M33" s="1133">
        <f t="shared" si="6"/>
        <v>0</v>
      </c>
      <c r="N33" s="1135">
        <f t="shared" si="7"/>
        <v>17211772.800000001</v>
      </c>
      <c r="O33" s="1136">
        <v>17211773</v>
      </c>
      <c r="P33" s="1136">
        <v>17211773</v>
      </c>
      <c r="Q33" s="1136">
        <v>17211773</v>
      </c>
      <c r="R33" s="1136">
        <f t="shared" si="8"/>
        <v>0</v>
      </c>
      <c r="S33" s="1136"/>
      <c r="T33" s="1136"/>
      <c r="U33" s="1137" t="s">
        <v>54</v>
      </c>
      <c r="V33" s="1137" t="s">
        <v>1351</v>
      </c>
    </row>
    <row r="34" spans="1:22" s="1261" customFormat="1" ht="26.25" customHeight="1">
      <c r="A34" s="1038"/>
      <c r="B34" s="1038"/>
      <c r="C34" s="1264" t="s">
        <v>688</v>
      </c>
      <c r="D34" s="1262" t="s">
        <v>211</v>
      </c>
      <c r="E34" s="1214" t="s">
        <v>352</v>
      </c>
      <c r="F34" s="1214" t="s">
        <v>466</v>
      </c>
      <c r="G34" s="1262" t="s">
        <v>197</v>
      </c>
      <c r="H34" s="1262"/>
      <c r="I34" s="1262"/>
      <c r="J34" s="1172">
        <v>5224555.1999999881</v>
      </c>
      <c r="K34" s="1173">
        <f t="shared" si="5"/>
        <v>5224555.1999999881</v>
      </c>
      <c r="L34" s="1172">
        <v>10816025</v>
      </c>
      <c r="M34" s="1172">
        <f t="shared" si="6"/>
        <v>10816025</v>
      </c>
      <c r="N34" s="1198">
        <f t="shared" si="7"/>
        <v>16040580.199999988</v>
      </c>
      <c r="O34" s="1263">
        <v>16040580.199999988</v>
      </c>
      <c r="P34" s="1263"/>
      <c r="Q34" s="1263"/>
      <c r="R34" s="1263">
        <f t="shared" ref="R34:R35" si="10">+O34-P34</f>
        <v>16040580.199999988</v>
      </c>
      <c r="S34" s="1263">
        <v>5224555.1999999881</v>
      </c>
      <c r="T34" s="1263">
        <v>10816025</v>
      </c>
      <c r="U34" s="1261" t="s">
        <v>54</v>
      </c>
      <c r="V34" s="1261" t="s">
        <v>1351</v>
      </c>
    </row>
    <row r="35" spans="1:22" s="1144" customFormat="1">
      <c r="A35" s="1038"/>
      <c r="B35" s="1038"/>
      <c r="C35" s="1138" t="s">
        <v>689</v>
      </c>
      <c r="D35" s="1132" t="s">
        <v>211</v>
      </c>
      <c r="E35" s="1132" t="s">
        <v>352</v>
      </c>
      <c r="F35" s="1132" t="s">
        <v>466</v>
      </c>
      <c r="G35" s="1132" t="s">
        <v>197</v>
      </c>
      <c r="H35" s="1132"/>
      <c r="I35" s="1132"/>
      <c r="J35" s="1139">
        <f>20695954-2337814</f>
        <v>18358140</v>
      </c>
      <c r="K35" s="1117">
        <f t="shared" si="5"/>
        <v>18358140</v>
      </c>
      <c r="L35" s="1139"/>
      <c r="M35" s="1139">
        <f t="shared" si="6"/>
        <v>0</v>
      </c>
      <c r="N35" s="1142">
        <f t="shared" si="7"/>
        <v>18358140</v>
      </c>
      <c r="O35" s="1143">
        <v>18358140</v>
      </c>
      <c r="P35" s="1143"/>
      <c r="Q35" s="1143"/>
      <c r="R35" s="1143">
        <f t="shared" si="10"/>
        <v>18358140</v>
      </c>
      <c r="S35" s="1143">
        <v>18358140</v>
      </c>
      <c r="T35" s="1143"/>
      <c r="U35" s="1144" t="s">
        <v>54</v>
      </c>
      <c r="V35" s="1144" t="s">
        <v>1351</v>
      </c>
    </row>
    <row r="36" spans="1:22" s="1137" customFormat="1" ht="25.5">
      <c r="A36" s="1038"/>
      <c r="B36" s="1038"/>
      <c r="C36" s="1138" t="s">
        <v>861</v>
      </c>
      <c r="D36" s="1131" t="s">
        <v>211</v>
      </c>
      <c r="E36" s="1131" t="s">
        <v>352</v>
      </c>
      <c r="F36" s="1131" t="s">
        <v>466</v>
      </c>
      <c r="G36" s="1131" t="s">
        <v>197</v>
      </c>
      <c r="H36" s="1131"/>
      <c r="I36" s="1131"/>
      <c r="J36" s="1139">
        <f>4285800*8.5*1.004</f>
        <v>36575017.200000003</v>
      </c>
      <c r="K36" s="1134">
        <f t="shared" si="5"/>
        <v>36575017.200000003</v>
      </c>
      <c r="L36" s="1133"/>
      <c r="M36" s="1133">
        <f t="shared" si="6"/>
        <v>0</v>
      </c>
      <c r="N36" s="1135">
        <f t="shared" si="7"/>
        <v>36575017.200000003</v>
      </c>
      <c r="O36" s="1136">
        <v>36575017.200000003</v>
      </c>
      <c r="P36" s="1136">
        <v>36575017.200000003</v>
      </c>
      <c r="Q36" s="1136">
        <v>36575017.200000003</v>
      </c>
      <c r="R36" s="1136">
        <f t="shared" si="8"/>
        <v>0</v>
      </c>
      <c r="S36" s="1136"/>
      <c r="T36" s="1136"/>
      <c r="U36" s="1137" t="s">
        <v>54</v>
      </c>
      <c r="V36" s="1137" t="s">
        <v>1351</v>
      </c>
    </row>
    <row r="37" spans="1:22" s="1261" customFormat="1">
      <c r="A37" s="1038"/>
      <c r="B37" s="1038"/>
      <c r="C37" s="1212" t="s">
        <v>690</v>
      </c>
      <c r="D37" s="1262" t="s">
        <v>211</v>
      </c>
      <c r="E37" s="1262" t="s">
        <v>352</v>
      </c>
      <c r="F37" s="1262" t="s">
        <v>466</v>
      </c>
      <c r="G37" s="1262" t="s">
        <v>197</v>
      </c>
      <c r="H37" s="1262"/>
      <c r="I37" s="1262"/>
      <c r="J37" s="1231">
        <v>0</v>
      </c>
      <c r="K37" s="1173">
        <f t="shared" si="5"/>
        <v>0</v>
      </c>
      <c r="L37" s="1172"/>
      <c r="M37" s="1172">
        <f t="shared" si="6"/>
        <v>0</v>
      </c>
      <c r="N37" s="1198">
        <f t="shared" si="7"/>
        <v>0</v>
      </c>
      <c r="O37" s="1263">
        <v>0</v>
      </c>
      <c r="P37" s="1263"/>
      <c r="Q37" s="1263"/>
      <c r="R37" s="1263">
        <f>+O37-P37</f>
        <v>0</v>
      </c>
      <c r="S37" s="1263"/>
      <c r="T37" s="1263"/>
      <c r="U37" s="1261" t="s">
        <v>54</v>
      </c>
      <c r="V37" s="1261" t="s">
        <v>1351</v>
      </c>
    </row>
    <row r="38" spans="1:22" s="1144" customFormat="1">
      <c r="A38" s="1038"/>
      <c r="B38" s="1038"/>
      <c r="C38" s="1138" t="s">
        <v>863</v>
      </c>
      <c r="D38" s="1140" t="s">
        <v>211</v>
      </c>
      <c r="E38" s="1140" t="s">
        <v>352</v>
      </c>
      <c r="F38" s="1140" t="s">
        <v>466</v>
      </c>
      <c r="G38" s="1140" t="s">
        <v>197</v>
      </c>
      <c r="H38" s="1140"/>
      <c r="I38" s="1140"/>
      <c r="J38" s="1139">
        <f>20613500*1.004-2337814</f>
        <v>18358140</v>
      </c>
      <c r="K38" s="1117">
        <f t="shared" si="5"/>
        <v>18358140</v>
      </c>
      <c r="L38" s="1139"/>
      <c r="M38" s="1139">
        <f t="shared" si="6"/>
        <v>0</v>
      </c>
      <c r="N38" s="1142">
        <f t="shared" si="7"/>
        <v>18358140</v>
      </c>
      <c r="O38" s="1143">
        <v>18358140</v>
      </c>
      <c r="P38" s="1143"/>
      <c r="Q38" s="1143"/>
      <c r="R38" s="1143">
        <f>+O38-P38</f>
        <v>18358140</v>
      </c>
      <c r="S38" s="1143">
        <v>18358140</v>
      </c>
      <c r="T38" s="1143"/>
      <c r="U38" s="1144" t="s">
        <v>54</v>
      </c>
      <c r="V38" s="1144" t="s">
        <v>1351</v>
      </c>
    </row>
    <row r="39" spans="1:22" s="1137" customFormat="1">
      <c r="A39" s="1038"/>
      <c r="B39" s="1038"/>
      <c r="C39" s="1138" t="s">
        <v>691</v>
      </c>
      <c r="D39" s="1131" t="s">
        <v>211</v>
      </c>
      <c r="E39" s="1132" t="s">
        <v>352</v>
      </c>
      <c r="F39" s="1131" t="s">
        <v>466</v>
      </c>
      <c r="G39" s="1131" t="s">
        <v>197</v>
      </c>
      <c r="H39" s="1131"/>
      <c r="I39" s="1131"/>
      <c r="J39" s="1133">
        <v>43029432</v>
      </c>
      <c r="K39" s="1134">
        <f t="shared" si="5"/>
        <v>43029432</v>
      </c>
      <c r="L39" s="1133"/>
      <c r="M39" s="1133">
        <f t="shared" si="6"/>
        <v>0</v>
      </c>
      <c r="N39" s="1135">
        <f t="shared" si="7"/>
        <v>43029432</v>
      </c>
      <c r="O39" s="1136">
        <v>43029432</v>
      </c>
      <c r="P39" s="1136">
        <v>43029432</v>
      </c>
      <c r="Q39" s="1136">
        <v>43029432</v>
      </c>
      <c r="R39" s="1136">
        <f t="shared" si="8"/>
        <v>0</v>
      </c>
      <c r="S39" s="1136"/>
      <c r="T39" s="1136"/>
      <c r="U39" s="1137" t="s">
        <v>54</v>
      </c>
      <c r="V39" s="1137" t="s">
        <v>1351</v>
      </c>
    </row>
    <row r="40" spans="1:22" s="1137" customFormat="1">
      <c r="A40" s="1038"/>
      <c r="B40" s="1038"/>
      <c r="C40" s="1130" t="s">
        <v>692</v>
      </c>
      <c r="D40" s="1131" t="s">
        <v>524</v>
      </c>
      <c r="E40" s="1132" t="s">
        <v>352</v>
      </c>
      <c r="F40" s="1132" t="s">
        <v>466</v>
      </c>
      <c r="G40" s="1131" t="s">
        <v>197</v>
      </c>
      <c r="H40" s="1131"/>
      <c r="I40" s="1131"/>
      <c r="J40" s="1133">
        <v>83607698</v>
      </c>
      <c r="K40" s="1134">
        <f t="shared" si="5"/>
        <v>83607698</v>
      </c>
      <c r="L40" s="1133"/>
      <c r="M40" s="1133">
        <f t="shared" si="6"/>
        <v>0</v>
      </c>
      <c r="N40" s="1135">
        <f t="shared" si="7"/>
        <v>83607698</v>
      </c>
      <c r="O40" s="1136">
        <v>83607698</v>
      </c>
      <c r="P40" s="1136">
        <v>83607698</v>
      </c>
      <c r="Q40" s="1136">
        <v>83607698</v>
      </c>
      <c r="R40" s="1136">
        <f t="shared" si="8"/>
        <v>0</v>
      </c>
      <c r="S40" s="1136"/>
      <c r="T40" s="1136"/>
      <c r="U40" s="1137" t="s">
        <v>54</v>
      </c>
      <c r="V40" s="1137" t="s">
        <v>1351</v>
      </c>
    </row>
    <row r="41" spans="1:22" s="1137" customFormat="1" ht="38.25">
      <c r="A41" s="1038"/>
      <c r="B41" s="1038"/>
      <c r="C41" s="1130" t="s">
        <v>693</v>
      </c>
      <c r="D41" s="1131" t="s">
        <v>524</v>
      </c>
      <c r="E41" s="1132" t="s">
        <v>352</v>
      </c>
      <c r="F41" s="1132" t="s">
        <v>466</v>
      </c>
      <c r="G41" s="1131" t="s">
        <v>197</v>
      </c>
      <c r="H41" s="1145"/>
      <c r="I41" s="1131"/>
      <c r="J41" s="1133">
        <v>15461600</v>
      </c>
      <c r="K41" s="1134">
        <f t="shared" si="5"/>
        <v>15461600</v>
      </c>
      <c r="L41" s="1133"/>
      <c r="M41" s="1133">
        <f t="shared" si="6"/>
        <v>0</v>
      </c>
      <c r="N41" s="1135">
        <f t="shared" si="7"/>
        <v>15461600</v>
      </c>
      <c r="O41" s="1136">
        <v>15461600</v>
      </c>
      <c r="P41" s="1136">
        <v>15461600</v>
      </c>
      <c r="Q41" s="1136">
        <v>15461600</v>
      </c>
      <c r="R41" s="1136">
        <f t="shared" si="8"/>
        <v>0</v>
      </c>
      <c r="S41" s="1136"/>
      <c r="T41" s="1136"/>
      <c r="U41" s="1137" t="s">
        <v>54</v>
      </c>
      <c r="V41" s="1137" t="s">
        <v>1351</v>
      </c>
    </row>
    <row r="42" spans="1:22" s="1137" customFormat="1" ht="25.5">
      <c r="A42" s="1038"/>
      <c r="B42" s="1038"/>
      <c r="C42" s="1130" t="s">
        <v>858</v>
      </c>
      <c r="D42" s="1131" t="s">
        <v>211</v>
      </c>
      <c r="E42" s="1132" t="s">
        <v>352</v>
      </c>
      <c r="F42" s="1132" t="s">
        <v>466</v>
      </c>
      <c r="G42" s="1131" t="s">
        <v>197</v>
      </c>
      <c r="H42" s="1131"/>
      <c r="I42" s="1131"/>
      <c r="J42" s="1133">
        <f>7904190.8+8349264.00000001</f>
        <v>16253454.80000001</v>
      </c>
      <c r="K42" s="1134">
        <f t="shared" si="5"/>
        <v>16253454.80000001</v>
      </c>
      <c r="L42" s="1133"/>
      <c r="M42" s="1133">
        <f t="shared" si="6"/>
        <v>0</v>
      </c>
      <c r="N42" s="1135">
        <f t="shared" si="7"/>
        <v>16253454.80000001</v>
      </c>
      <c r="O42" s="1136">
        <v>16253455</v>
      </c>
      <c r="P42" s="1136">
        <v>16253455</v>
      </c>
      <c r="Q42" s="1136">
        <v>16253455</v>
      </c>
      <c r="R42" s="1136">
        <f t="shared" si="8"/>
        <v>0</v>
      </c>
      <c r="S42" s="1136"/>
      <c r="T42" s="1136"/>
      <c r="U42" s="1137" t="s">
        <v>54</v>
      </c>
      <c r="V42" s="1137" t="s">
        <v>1351</v>
      </c>
    </row>
    <row r="43" spans="1:22" ht="16.5" customHeight="1" thickBot="1">
      <c r="B43" s="1881"/>
      <c r="C43" s="2341" t="s">
        <v>10</v>
      </c>
      <c r="D43" s="2342"/>
      <c r="E43" s="2342"/>
      <c r="F43" s="2342"/>
      <c r="G43" s="2342"/>
      <c r="H43" s="2342"/>
      <c r="I43" s="561"/>
      <c r="J43" s="562">
        <f>+J10+J16</f>
        <v>475232054.79999995</v>
      </c>
      <c r="K43" s="562">
        <f>+K10+K16</f>
        <v>475232054.79999995</v>
      </c>
      <c r="L43" s="562">
        <f>+L10+L16</f>
        <v>56274817</v>
      </c>
      <c r="M43" s="562">
        <f>+L43</f>
        <v>56274817</v>
      </c>
      <c r="N43" s="563">
        <f>+N10+N16</f>
        <v>531506871.79999995</v>
      </c>
      <c r="O43" s="1052"/>
      <c r="P43" s="1052"/>
      <c r="Q43" s="1052"/>
      <c r="R43" s="1052"/>
      <c r="S43" s="1052"/>
      <c r="T43" s="1052"/>
    </row>
    <row r="44" spans="1:22" ht="15.75" thickBot="1">
      <c r="K44" s="126"/>
      <c r="L44" s="99"/>
      <c r="M44" s="99"/>
      <c r="N44" s="126"/>
      <c r="O44" s="1052"/>
      <c r="P44" s="1052"/>
      <c r="Q44" s="1052"/>
      <c r="R44" s="1053">
        <f>SUM(R11:R43)</f>
        <v>119255978</v>
      </c>
      <c r="S44" s="1053">
        <f t="shared" ref="S44:T44" si="11">SUM(S11:S43)</f>
        <v>62981161.199999988</v>
      </c>
      <c r="T44" s="1053">
        <f t="shared" si="11"/>
        <v>56274817</v>
      </c>
    </row>
    <row r="45" spans="1:22" ht="15.75" thickBot="1">
      <c r="J45" s="181">
        <v>475232054.79999995</v>
      </c>
      <c r="K45" s="181">
        <v>475232054.79999995</v>
      </c>
      <c r="L45" s="181">
        <v>56274817</v>
      </c>
      <c r="M45" s="181">
        <f>+L45</f>
        <v>56274817</v>
      </c>
      <c r="N45" s="181">
        <f>+M45+K45</f>
        <v>531506871.79999995</v>
      </c>
    </row>
    <row r="46" spans="1:22">
      <c r="L46" s="99"/>
      <c r="M46" s="99"/>
    </row>
    <row r="47" spans="1:22">
      <c r="J47" s="127">
        <f t="shared" ref="J47:N47" si="12">+J45-J43</f>
        <v>0</v>
      </c>
      <c r="K47" s="127">
        <f t="shared" si="12"/>
        <v>0</v>
      </c>
      <c r="L47" s="127">
        <f t="shared" si="12"/>
        <v>0</v>
      </c>
      <c r="M47" s="127">
        <f t="shared" si="12"/>
        <v>0</v>
      </c>
      <c r="N47" s="127">
        <f t="shared" si="12"/>
        <v>0</v>
      </c>
    </row>
    <row r="48" spans="1:22">
      <c r="N48" s="127">
        <f>SUBTOTAL(9,N12:N42)</f>
        <v>1488096012.9999998</v>
      </c>
      <c r="O48" s="125" t="s">
        <v>1385</v>
      </c>
    </row>
    <row r="49" spans="6:10">
      <c r="H49" s="125"/>
      <c r="I49" s="125"/>
      <c r="J49" s="125"/>
    </row>
    <row r="51" spans="6:10">
      <c r="J51" s="127"/>
    </row>
    <row r="52" spans="6:10">
      <c r="F52" s="126"/>
    </row>
  </sheetData>
  <autoFilter ref="A9:V45"/>
  <mergeCells count="25">
    <mergeCell ref="C43:H43"/>
    <mergeCell ref="J8:J9"/>
    <mergeCell ref="K7:K9"/>
    <mergeCell ref="C7:C9"/>
    <mergeCell ref="D7:D9"/>
    <mergeCell ref="G7:G9"/>
    <mergeCell ref="H7:H9"/>
    <mergeCell ref="F7:F9"/>
    <mergeCell ref="E7:E9"/>
    <mergeCell ref="I7:I9"/>
    <mergeCell ref="C6:N6"/>
    <mergeCell ref="C5:N5"/>
    <mergeCell ref="L8:L9"/>
    <mergeCell ref="N7:N9"/>
    <mergeCell ref="M7:M9"/>
    <mergeCell ref="C1:C3"/>
    <mergeCell ref="L1:N1"/>
    <mergeCell ref="L2:N2"/>
    <mergeCell ref="L3:N3"/>
    <mergeCell ref="D1:K3"/>
    <mergeCell ref="U7:V7"/>
    <mergeCell ref="R7:R8"/>
    <mergeCell ref="S7:T7"/>
    <mergeCell ref="A7:A9"/>
    <mergeCell ref="B7:B9"/>
  </mergeCells>
  <pageMargins left="0.7" right="0.7" top="0.75" bottom="0.75" header="0.3" footer="0.3"/>
  <pageSetup paperSize="9" orientation="portrait" verticalDpi="597"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0" tint="-4.9989318521683403E-2"/>
  </sheetPr>
  <dimension ref="A1:I18"/>
  <sheetViews>
    <sheetView workbookViewId="0">
      <selection activeCell="B26" sqref="B26"/>
    </sheetView>
  </sheetViews>
  <sheetFormatPr baseColWidth="10" defaultRowHeight="15"/>
  <cols>
    <col min="1" max="1" width="11.42578125" customWidth="1"/>
    <col min="2" max="2" width="41.140625" customWidth="1"/>
    <col min="3" max="7" width="15.7109375" customWidth="1"/>
    <col min="8" max="8" width="12.28515625" customWidth="1"/>
    <col min="9" max="9" width="13" customWidth="1"/>
  </cols>
  <sheetData>
    <row r="1" spans="1:9" ht="15" customHeight="1">
      <c r="B1" s="2323"/>
      <c r="C1" s="2185" t="s">
        <v>434</v>
      </c>
      <c r="D1" s="2186"/>
      <c r="E1" s="2186"/>
      <c r="F1" s="2248" t="s">
        <v>980</v>
      </c>
      <c r="G1" s="2249"/>
    </row>
    <row r="2" spans="1:9">
      <c r="B2" s="2324"/>
      <c r="C2" s="2188"/>
      <c r="D2" s="2189"/>
      <c r="E2" s="2189"/>
      <c r="F2" s="2250" t="s">
        <v>365</v>
      </c>
      <c r="G2" s="2251"/>
    </row>
    <row r="3" spans="1:9" ht="15.75" customHeight="1" thickBot="1">
      <c r="B3" s="2325"/>
      <c r="C3" s="2191"/>
      <c r="D3" s="2192"/>
      <c r="E3" s="2192"/>
      <c r="F3" s="2252" t="s">
        <v>366</v>
      </c>
      <c r="G3" s="2253"/>
    </row>
    <row r="4" spans="1:9" ht="15.75" thickBot="1"/>
    <row r="5" spans="1:9" ht="15.75" thickBot="1">
      <c r="B5" s="2145" t="s">
        <v>353</v>
      </c>
      <c r="C5" s="2146"/>
      <c r="D5" s="2146"/>
      <c r="E5" s="2146"/>
      <c r="F5" s="2146"/>
      <c r="G5" s="2147"/>
    </row>
    <row r="6" spans="1:9" s="1" customFormat="1" ht="15.75" customHeight="1" thickBot="1">
      <c r="A6" s="254"/>
      <c r="B6" s="2145" t="s">
        <v>1410</v>
      </c>
      <c r="C6" s="2146"/>
      <c r="D6" s="2146"/>
      <c r="E6" s="2146"/>
      <c r="F6" s="2146"/>
      <c r="G6" s="2147"/>
    </row>
    <row r="7" spans="1:9" ht="15" customHeight="1" thickBot="1">
      <c r="A7" s="2135" t="s">
        <v>278</v>
      </c>
      <c r="B7" s="2198" t="s">
        <v>188</v>
      </c>
      <c r="C7" s="2159">
        <v>2024</v>
      </c>
      <c r="D7" s="2159"/>
      <c r="E7" s="2159"/>
      <c r="F7" s="2159"/>
      <c r="G7" s="2159"/>
    </row>
    <row r="8" spans="1:9" ht="15.75" thickBot="1">
      <c r="A8" s="2135"/>
      <c r="B8" s="2198"/>
      <c r="C8" s="2159" t="s">
        <v>190</v>
      </c>
      <c r="D8" s="2159" t="s">
        <v>191</v>
      </c>
      <c r="E8" s="193" t="s">
        <v>213</v>
      </c>
      <c r="F8" s="193"/>
      <c r="G8" s="2209" t="s">
        <v>195</v>
      </c>
    </row>
    <row r="9" spans="1:9" ht="15.75" thickBot="1">
      <c r="A9" s="2135"/>
      <c r="B9" s="2198"/>
      <c r="C9" s="2159"/>
      <c r="D9" s="2159"/>
      <c r="E9" s="193" t="s">
        <v>208</v>
      </c>
      <c r="F9" s="193" t="s">
        <v>358</v>
      </c>
      <c r="G9" s="2209"/>
    </row>
    <row r="10" spans="1:9" ht="77.25" thickBot="1">
      <c r="A10" s="100">
        <v>3205022</v>
      </c>
      <c r="B10" s="154" t="s">
        <v>1438</v>
      </c>
      <c r="C10" s="1677" t="s">
        <v>1098</v>
      </c>
      <c r="D10" s="1677">
        <v>100</v>
      </c>
      <c r="E10" s="610">
        <f>SUM(E11)</f>
        <v>369480667.33938891</v>
      </c>
      <c r="F10" s="610">
        <f t="shared" ref="F10:G10" si="0">SUM(F11)</f>
        <v>0</v>
      </c>
      <c r="G10" s="962">
        <f t="shared" si="0"/>
        <v>369480667.33938891</v>
      </c>
      <c r="I10" s="174"/>
    </row>
    <row r="11" spans="1:9" ht="39" thickBot="1">
      <c r="B11" s="155" t="s">
        <v>1033</v>
      </c>
      <c r="C11" s="1676" t="s">
        <v>1104</v>
      </c>
      <c r="D11" s="1676">
        <v>37</v>
      </c>
      <c r="E11" s="611">
        <f>+'ACCIONES 320501'!L11</f>
        <v>369480667.33938891</v>
      </c>
      <c r="F11" s="611">
        <f>+'ACCIONES 320501'!M11</f>
        <v>0</v>
      </c>
      <c r="G11" s="611">
        <f>+'ACCIONES 320501'!N11</f>
        <v>369480667.33938891</v>
      </c>
      <c r="I11" s="174"/>
    </row>
    <row r="12" spans="1:9" ht="26.25" thickBot="1">
      <c r="A12" s="102" t="s">
        <v>1455</v>
      </c>
      <c r="B12" s="156" t="s">
        <v>1036</v>
      </c>
      <c r="C12" s="200" t="s">
        <v>1098</v>
      </c>
      <c r="D12" s="200">
        <v>100</v>
      </c>
      <c r="E12" s="612">
        <f>SUM(E13)</f>
        <v>0</v>
      </c>
      <c r="F12" s="612">
        <f>SUM(F13)</f>
        <v>122436024</v>
      </c>
      <c r="G12" s="800">
        <f t="shared" ref="G12" si="1">SUM(G13)</f>
        <v>122436024</v>
      </c>
      <c r="I12" s="174"/>
    </row>
    <row r="13" spans="1:9" ht="26.25" thickBot="1">
      <c r="B13" s="155" t="s">
        <v>1037</v>
      </c>
      <c r="C13" s="1700" t="s">
        <v>408</v>
      </c>
      <c r="D13" s="1700">
        <v>1</v>
      </c>
      <c r="E13" s="1699">
        <f>+'ACCIONES 320501'!L25</f>
        <v>0</v>
      </c>
      <c r="F13" s="1699">
        <f>+'ACCIONES 320501'!M25</f>
        <v>122436024</v>
      </c>
      <c r="G13" s="1699">
        <f>+'ACCIONES 320501'!N25</f>
        <v>122436024</v>
      </c>
      <c r="I13" s="174"/>
    </row>
    <row r="14" spans="1:9" ht="15.75" thickBot="1">
      <c r="B14" s="2345" t="s">
        <v>10</v>
      </c>
      <c r="C14" s="2346"/>
      <c r="D14" s="2346"/>
      <c r="E14" s="613">
        <f>+E10+E12</f>
        <v>369480667.33938891</v>
      </c>
      <c r="F14" s="613">
        <f t="shared" ref="F14:G14" si="2">+F10+F12</f>
        <v>122436024</v>
      </c>
      <c r="G14" s="613">
        <f t="shared" si="2"/>
        <v>491916691.33938891</v>
      </c>
      <c r="I14" s="174"/>
    </row>
    <row r="15" spans="1:9" ht="15.75" thickBot="1"/>
    <row r="16" spans="1:9" ht="15.75" thickBot="1">
      <c r="E16" s="209">
        <v>369480667.33938855</v>
      </c>
      <c r="F16" s="222">
        <v>122436024</v>
      </c>
      <c r="G16" s="209">
        <v>491916691.33938855</v>
      </c>
    </row>
    <row r="18" spans="5:7">
      <c r="E18" s="75">
        <f>+E16-E14</f>
        <v>0</v>
      </c>
      <c r="F18" s="75">
        <f>+F16-F14</f>
        <v>0</v>
      </c>
      <c r="G18" s="75">
        <f>+G16-G14</f>
        <v>0</v>
      </c>
    </row>
  </sheetData>
  <mergeCells count="14">
    <mergeCell ref="A7:A9"/>
    <mergeCell ref="B5:G5"/>
    <mergeCell ref="B6:G6"/>
    <mergeCell ref="B14:D14"/>
    <mergeCell ref="B7:B9"/>
    <mergeCell ref="C7:G7"/>
    <mergeCell ref="C8:C9"/>
    <mergeCell ref="D8:D9"/>
    <mergeCell ref="G8:G9"/>
    <mergeCell ref="B1:B3"/>
    <mergeCell ref="C1:E3"/>
    <mergeCell ref="F1:G1"/>
    <mergeCell ref="F2:G2"/>
    <mergeCell ref="F3:G3"/>
  </mergeCells>
  <pageMargins left="0.7" right="0.7" top="0.75" bottom="0.75" header="0.3" footer="0.3"/>
  <pageSetup paperSize="9" orientation="portrait" verticalDpi="597"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theme="0" tint="-4.9989318521683403E-2"/>
  </sheetPr>
  <dimension ref="A1:AA40"/>
  <sheetViews>
    <sheetView zoomScale="80" zoomScaleNormal="80" workbookViewId="0">
      <selection activeCell="K45" sqref="K45"/>
    </sheetView>
  </sheetViews>
  <sheetFormatPr baseColWidth="10" defaultRowHeight="15"/>
  <cols>
    <col min="1" max="1" width="6.7109375" style="294" customWidth="1"/>
    <col min="2" max="2" width="7.7109375" style="294" customWidth="1"/>
    <col min="3" max="3" width="31.42578125" customWidth="1"/>
    <col min="4" max="4" width="20.140625" customWidth="1"/>
    <col min="5" max="6" width="10.140625" customWidth="1"/>
    <col min="7" max="7" width="9.5703125" customWidth="1"/>
    <col min="8" max="8" width="6.85546875" style="99" customWidth="1"/>
    <col min="9" max="9" width="14.85546875" style="99" customWidth="1"/>
    <col min="10" max="10" width="12.85546875" customWidth="1"/>
    <col min="11" max="11" width="12.140625" customWidth="1"/>
    <col min="12" max="12" width="15.7109375" customWidth="1"/>
    <col min="13" max="13" width="18" customWidth="1"/>
    <col min="14" max="14" width="20.28515625" customWidth="1"/>
    <col min="15" max="15" width="16.5703125" customWidth="1"/>
    <col min="16" max="16" width="15.140625" customWidth="1"/>
    <col min="17" max="17" width="15.7109375" customWidth="1"/>
    <col min="18" max="18" width="13.7109375" customWidth="1"/>
    <col min="19" max="19" width="14" bestFit="1" customWidth="1"/>
    <col min="20" max="20" width="14.85546875" customWidth="1"/>
    <col min="23" max="23" width="18.42578125" customWidth="1"/>
  </cols>
  <sheetData>
    <row r="1" spans="1:23">
      <c r="C1" s="2323"/>
      <c r="D1" s="2185" t="s">
        <v>434</v>
      </c>
      <c r="E1" s="2186"/>
      <c r="F1" s="2186"/>
      <c r="G1" s="2186"/>
      <c r="H1" s="2186"/>
      <c r="I1" s="2186"/>
      <c r="J1" s="2186"/>
      <c r="K1" s="2186"/>
      <c r="L1" s="2186"/>
      <c r="M1" s="2248" t="s">
        <v>364</v>
      </c>
      <c r="N1" s="2249"/>
    </row>
    <row r="2" spans="1:23">
      <c r="C2" s="2324"/>
      <c r="D2" s="2188"/>
      <c r="E2" s="2189"/>
      <c r="F2" s="2189"/>
      <c r="G2" s="2189"/>
      <c r="H2" s="2189"/>
      <c r="I2" s="2189"/>
      <c r="J2" s="2189"/>
      <c r="K2" s="2189"/>
      <c r="L2" s="2189"/>
      <c r="M2" s="2250" t="s">
        <v>365</v>
      </c>
      <c r="N2" s="2251"/>
    </row>
    <row r="3" spans="1:23" ht="15.75" thickBot="1">
      <c r="C3" s="2325"/>
      <c r="D3" s="2191"/>
      <c r="E3" s="2192"/>
      <c r="F3" s="2192"/>
      <c r="G3" s="2192"/>
      <c r="H3" s="2192"/>
      <c r="I3" s="2192"/>
      <c r="J3" s="2192"/>
      <c r="K3" s="2192"/>
      <c r="L3" s="2192"/>
      <c r="M3" s="2252" t="s">
        <v>366</v>
      </c>
      <c r="N3" s="2253"/>
    </row>
    <row r="4" spans="1:23" ht="15.75" thickBot="1"/>
    <row r="5" spans="1:23" s="1" customFormat="1" ht="15" customHeight="1" thickBot="1">
      <c r="A5" s="120"/>
      <c r="B5" s="120"/>
      <c r="C5" s="2145" t="s">
        <v>353</v>
      </c>
      <c r="D5" s="2146"/>
      <c r="E5" s="2146"/>
      <c r="F5" s="2146"/>
      <c r="G5" s="2146"/>
      <c r="H5" s="2146"/>
      <c r="I5" s="2146"/>
      <c r="J5" s="2146"/>
      <c r="K5" s="2146"/>
      <c r="L5" s="2146"/>
      <c r="M5" s="2146"/>
      <c r="N5" s="2147"/>
    </row>
    <row r="6" spans="1:23" ht="15.75" thickBot="1">
      <c r="C6" s="2145" t="s">
        <v>1410</v>
      </c>
      <c r="D6" s="2146"/>
      <c r="E6" s="2146"/>
      <c r="F6" s="2146"/>
      <c r="G6" s="2146"/>
      <c r="H6" s="2146"/>
      <c r="I6" s="2146"/>
      <c r="J6" s="2146"/>
      <c r="K6" s="2146"/>
      <c r="L6" s="2146"/>
      <c r="M6" s="2146"/>
      <c r="N6" s="2147"/>
    </row>
    <row r="7" spans="1:23" ht="25.5" customHeight="1" thickBot="1">
      <c r="A7" s="2309" t="s">
        <v>368</v>
      </c>
      <c r="B7" s="2295" t="s">
        <v>369</v>
      </c>
      <c r="C7" s="2135" t="s">
        <v>311</v>
      </c>
      <c r="D7" s="2135" t="s">
        <v>312</v>
      </c>
      <c r="E7" s="2135" t="s">
        <v>350</v>
      </c>
      <c r="F7" s="2210" t="s">
        <v>317</v>
      </c>
      <c r="G7" s="2135" t="s">
        <v>313</v>
      </c>
      <c r="H7" s="2135" t="s">
        <v>191</v>
      </c>
      <c r="I7" s="2135" t="s">
        <v>387</v>
      </c>
      <c r="J7" s="2135" t="s">
        <v>348</v>
      </c>
      <c r="K7" s="2135" t="s">
        <v>349</v>
      </c>
      <c r="L7" s="2273" t="s">
        <v>189</v>
      </c>
      <c r="M7" s="2274"/>
      <c r="N7" s="2135" t="s">
        <v>245</v>
      </c>
      <c r="O7" s="745" t="s">
        <v>1280</v>
      </c>
      <c r="P7" s="1024" t="s">
        <v>1276</v>
      </c>
      <c r="Q7" s="1024" t="s">
        <v>1277</v>
      </c>
      <c r="R7" s="2156" t="s">
        <v>1278</v>
      </c>
      <c r="S7" s="2155" t="s">
        <v>1279</v>
      </c>
      <c r="T7" s="2155"/>
      <c r="U7" s="2154" t="s">
        <v>1302</v>
      </c>
      <c r="V7" s="2154"/>
    </row>
    <row r="8" spans="1:23" ht="15" customHeight="1" thickBot="1">
      <c r="A8" s="2309"/>
      <c r="B8" s="2295"/>
      <c r="C8" s="2135"/>
      <c r="D8" s="2135"/>
      <c r="E8" s="2135"/>
      <c r="F8" s="2180"/>
      <c r="G8" s="2135"/>
      <c r="H8" s="2135"/>
      <c r="I8" s="2135"/>
      <c r="J8" s="2135"/>
      <c r="K8" s="2135"/>
      <c r="L8" s="2135" t="s">
        <v>194</v>
      </c>
      <c r="M8" s="2210" t="s">
        <v>192</v>
      </c>
      <c r="N8" s="2135"/>
      <c r="O8" s="1030"/>
      <c r="P8" s="1030"/>
      <c r="Q8" s="1030"/>
      <c r="R8" s="2156"/>
      <c r="S8" s="2281" t="s">
        <v>1286</v>
      </c>
      <c r="T8" s="2281"/>
      <c r="U8" s="157" t="s">
        <v>1288</v>
      </c>
      <c r="V8" s="157" t="s">
        <v>1289</v>
      </c>
    </row>
    <row r="9" spans="1:23" ht="15.75" thickBot="1">
      <c r="A9" s="2347"/>
      <c r="B9" s="2348"/>
      <c r="C9" s="2210"/>
      <c r="D9" s="2210"/>
      <c r="E9" s="2210"/>
      <c r="F9" s="2180"/>
      <c r="G9" s="2210"/>
      <c r="H9" s="2210"/>
      <c r="I9" s="2210"/>
      <c r="J9" s="2210"/>
      <c r="K9" s="2210"/>
      <c r="L9" s="2210"/>
      <c r="M9" s="2180"/>
      <c r="N9" s="2210"/>
      <c r="S9" s="1038" t="s">
        <v>194</v>
      </c>
      <c r="T9" s="1038" t="s">
        <v>192</v>
      </c>
    </row>
    <row r="10" spans="1:23" ht="102.75" thickBot="1">
      <c r="A10" s="1889">
        <v>221</v>
      </c>
      <c r="B10" s="1890"/>
      <c r="C10" s="1849" t="s">
        <v>1438</v>
      </c>
      <c r="D10" s="195"/>
      <c r="E10" s="195"/>
      <c r="F10" s="195"/>
      <c r="G10" s="198" t="s">
        <v>1098</v>
      </c>
      <c r="H10" s="198">
        <v>100</v>
      </c>
      <c r="I10" s="198"/>
      <c r="J10" s="198"/>
      <c r="K10" s="198"/>
      <c r="L10" s="604">
        <f>+L11</f>
        <v>369480667.33938891</v>
      </c>
      <c r="M10" s="604">
        <f>+M11</f>
        <v>0</v>
      </c>
      <c r="N10" s="605">
        <f>+N11</f>
        <v>369480667.33938891</v>
      </c>
      <c r="O10" s="25"/>
    </row>
    <row r="11" spans="1:23" ht="51.75" thickBot="1">
      <c r="A11" s="1889"/>
      <c r="B11" s="1890" t="s">
        <v>1498</v>
      </c>
      <c r="C11" s="1884" t="s">
        <v>1033</v>
      </c>
      <c r="D11" s="398"/>
      <c r="E11" s="398"/>
      <c r="F11" s="398"/>
      <c r="G11" s="399" t="s">
        <v>1104</v>
      </c>
      <c r="H11" s="399">
        <v>37</v>
      </c>
      <c r="I11" s="399"/>
      <c r="J11" s="399"/>
      <c r="K11" s="399"/>
      <c r="L11" s="606">
        <f>SUM(L12:L23)</f>
        <v>369480667.33938891</v>
      </c>
      <c r="M11" s="606">
        <f t="shared" ref="M11:N11" si="0">SUM(M12:M23)</f>
        <v>0</v>
      </c>
      <c r="N11" s="606">
        <f t="shared" si="0"/>
        <v>369480667.33938891</v>
      </c>
      <c r="P11" s="33"/>
    </row>
    <row r="12" spans="1:23" s="1158" customFormat="1" ht="21" customHeight="1">
      <c r="A12" s="294"/>
      <c r="B12" s="294"/>
      <c r="C12" s="1885" t="s">
        <v>698</v>
      </c>
      <c r="D12" s="1194" t="s">
        <v>211</v>
      </c>
      <c r="E12" s="1194">
        <v>83990</v>
      </c>
      <c r="F12" s="1194" t="s">
        <v>593</v>
      </c>
      <c r="G12" s="1165" t="s">
        <v>405</v>
      </c>
      <c r="H12" s="1165">
        <v>11.5</v>
      </c>
      <c r="I12" s="1539">
        <f>6412846*1.10088</f>
        <v>7059773.904480001</v>
      </c>
      <c r="J12" s="1495">
        <f>+I12*H12</f>
        <v>81187399.901520014</v>
      </c>
      <c r="K12" s="1540">
        <f>+J12*1.004</f>
        <v>81512149.501126096</v>
      </c>
      <c r="L12" s="1541">
        <v>77968144</v>
      </c>
      <c r="M12" s="1542"/>
      <c r="N12" s="1543">
        <f t="shared" ref="N12:N19" si="1">SUM(L12:M12)</f>
        <v>77968144</v>
      </c>
      <c r="O12" s="1285">
        <v>77968144.501126096</v>
      </c>
      <c r="P12" s="1285">
        <v>77968144.055999994</v>
      </c>
      <c r="Q12" s="1285">
        <v>77968144.055999994</v>
      </c>
      <c r="R12" s="1285">
        <f>+O12-Q12</f>
        <v>0.44512610137462616</v>
      </c>
      <c r="S12" s="1285">
        <v>0.44512610137462616</v>
      </c>
      <c r="T12" s="1285"/>
      <c r="U12" s="1176" t="s">
        <v>1352</v>
      </c>
      <c r="V12" s="1176" t="s">
        <v>1353</v>
      </c>
      <c r="W12" s="1176"/>
    </row>
    <row r="13" spans="1:23" s="1169" customFormat="1" ht="21" customHeight="1">
      <c r="A13" s="294"/>
      <c r="B13" s="294"/>
      <c r="C13" s="1886" t="s">
        <v>698</v>
      </c>
      <c r="D13" s="1196" t="s">
        <v>211</v>
      </c>
      <c r="E13" s="1196">
        <v>83990</v>
      </c>
      <c r="F13" s="1196" t="s">
        <v>593</v>
      </c>
      <c r="G13" s="1171" t="s">
        <v>405</v>
      </c>
      <c r="H13" s="1171">
        <v>11.5</v>
      </c>
      <c r="I13" s="1544">
        <f>6412846*1.10088</f>
        <v>7059773.904480001</v>
      </c>
      <c r="J13" s="1545">
        <f>+I13*H13</f>
        <v>81187399.901520014</v>
      </c>
      <c r="K13" s="1546">
        <f>+J13*1.004</f>
        <v>81512149.501126096</v>
      </c>
      <c r="L13" s="1547">
        <f>77968144.5011261-L12</f>
        <v>0.50112609565258026</v>
      </c>
      <c r="M13" s="1548"/>
      <c r="N13" s="1549">
        <f t="shared" ref="N13" si="2">SUM(L13:M13)</f>
        <v>0.50112609565258026</v>
      </c>
      <c r="O13" s="1288">
        <v>77968144.501126096</v>
      </c>
      <c r="P13" s="1288">
        <v>77968144.055999994</v>
      </c>
      <c r="Q13" s="1288">
        <v>77968144.055999994</v>
      </c>
      <c r="R13" s="1288">
        <f>+O13-Q13</f>
        <v>0.44512610137462616</v>
      </c>
      <c r="S13" s="1288">
        <v>0.44512610137462616</v>
      </c>
      <c r="T13" s="1288"/>
      <c r="U13" s="1277" t="s">
        <v>1352</v>
      </c>
      <c r="V13" s="1277" t="s">
        <v>1353</v>
      </c>
      <c r="W13" s="1277"/>
    </row>
    <row r="14" spans="1:23" s="1" customFormat="1" ht="21" customHeight="1">
      <c r="A14" s="294"/>
      <c r="B14" s="294"/>
      <c r="C14" s="39" t="s">
        <v>699</v>
      </c>
      <c r="D14" s="6" t="s">
        <v>211</v>
      </c>
      <c r="E14" s="6">
        <v>83990</v>
      </c>
      <c r="F14" s="6" t="s">
        <v>593</v>
      </c>
      <c r="G14" s="10" t="s">
        <v>405</v>
      </c>
      <c r="H14" s="10">
        <v>10</v>
      </c>
      <c r="I14" s="775">
        <f>3771573*1.1088</f>
        <v>4181920.1424000002</v>
      </c>
      <c r="J14" s="123">
        <f t="shared" ref="J14:J18" si="3">+I14*H14</f>
        <v>41819201.424000002</v>
      </c>
      <c r="K14" s="776">
        <f t="shared" ref="K14:K18" si="4">+J14*1.004</f>
        <v>41986478.229696006</v>
      </c>
      <c r="L14" s="777">
        <v>29390534.7607872</v>
      </c>
      <c r="M14" s="335"/>
      <c r="N14" s="602">
        <f t="shared" si="1"/>
        <v>29390534.7607872</v>
      </c>
      <c r="O14" s="1039">
        <v>29390534.7607872</v>
      </c>
      <c r="P14" s="1039"/>
      <c r="Q14" s="1039"/>
      <c r="R14" s="1039">
        <f>+O14-P14</f>
        <v>29390534.7607872</v>
      </c>
      <c r="S14" s="1039">
        <v>29390534.7607872</v>
      </c>
      <c r="T14" s="1039"/>
      <c r="U14" t="s">
        <v>1352</v>
      </c>
      <c r="V14" t="s">
        <v>1353</v>
      </c>
      <c r="W14"/>
    </row>
    <row r="15" spans="1:23" s="1158" customFormat="1" ht="21" customHeight="1">
      <c r="A15" s="294"/>
      <c r="B15" s="294"/>
      <c r="C15" s="1885" t="s">
        <v>808</v>
      </c>
      <c r="D15" s="1165" t="s">
        <v>211</v>
      </c>
      <c r="E15" s="1194">
        <v>83990</v>
      </c>
      <c r="F15" s="1194" t="s">
        <v>738</v>
      </c>
      <c r="G15" s="1165" t="s">
        <v>405</v>
      </c>
      <c r="H15" s="1165">
        <v>11.5</v>
      </c>
      <c r="I15" s="1495">
        <f>4240092*1.1088</f>
        <v>4701414.0096000005</v>
      </c>
      <c r="J15" s="1495">
        <f t="shared" si="3"/>
        <v>54066261.110400006</v>
      </c>
      <c r="K15" s="1540">
        <f t="shared" si="4"/>
        <v>54282526.154841609</v>
      </c>
      <c r="L15" s="1541">
        <v>54282526.154841609</v>
      </c>
      <c r="M15" s="1550"/>
      <c r="N15" s="1284">
        <f t="shared" si="1"/>
        <v>54282526.154841609</v>
      </c>
      <c r="O15" s="1285">
        <v>54282526.154841609</v>
      </c>
      <c r="P15" s="1285">
        <v>54282526</v>
      </c>
      <c r="Q15" s="1285">
        <v>54282526</v>
      </c>
      <c r="R15" s="1285">
        <f>+O15-Q15</f>
        <v>0.15484160929918289</v>
      </c>
      <c r="S15" s="1285">
        <v>0.15484160929918289</v>
      </c>
      <c r="T15" s="1285"/>
      <c r="U15" s="1176" t="s">
        <v>1352</v>
      </c>
      <c r="V15" s="1176" t="s">
        <v>1353</v>
      </c>
      <c r="W15" s="1176"/>
    </row>
    <row r="16" spans="1:23" s="1" customFormat="1" ht="21" customHeight="1">
      <c r="A16" s="294"/>
      <c r="B16" s="294"/>
      <c r="C16" s="39" t="s">
        <v>700</v>
      </c>
      <c r="D16" s="10" t="s">
        <v>211</v>
      </c>
      <c r="E16" s="6">
        <v>83990</v>
      </c>
      <c r="F16" s="6" t="s">
        <v>738</v>
      </c>
      <c r="G16" s="10" t="s">
        <v>405</v>
      </c>
      <c r="H16" s="10">
        <v>10</v>
      </c>
      <c r="I16" s="123">
        <v>4515609</v>
      </c>
      <c r="J16" s="123">
        <f t="shared" si="3"/>
        <v>45156090</v>
      </c>
      <c r="K16" s="776">
        <f t="shared" si="4"/>
        <v>45336714.359999999</v>
      </c>
      <c r="L16" s="777">
        <v>42168000</v>
      </c>
      <c r="M16" s="335"/>
      <c r="N16" s="602">
        <f t="shared" si="1"/>
        <v>42168000</v>
      </c>
      <c r="O16" s="1039">
        <v>42168000</v>
      </c>
      <c r="P16" s="1039"/>
      <c r="Q16" s="1039"/>
      <c r="R16" s="1039">
        <f>+O16-P16</f>
        <v>42168000</v>
      </c>
      <c r="S16" s="1039">
        <v>42168000</v>
      </c>
      <c r="T16" s="1039"/>
      <c r="U16" t="s">
        <v>1352</v>
      </c>
      <c r="V16" t="s">
        <v>1353</v>
      </c>
      <c r="W16"/>
    </row>
    <row r="17" spans="1:27" s="1" customFormat="1" ht="21" customHeight="1">
      <c r="A17" s="294"/>
      <c r="B17" s="294"/>
      <c r="C17" s="39" t="s">
        <v>701</v>
      </c>
      <c r="D17" s="10" t="s">
        <v>211</v>
      </c>
      <c r="E17" s="6">
        <v>83990</v>
      </c>
      <c r="F17" s="6" t="s">
        <v>738</v>
      </c>
      <c r="G17" s="10" t="s">
        <v>405</v>
      </c>
      <c r="H17" s="10">
        <v>8</v>
      </c>
      <c r="I17" s="123">
        <v>5334361.8351593632</v>
      </c>
      <c r="J17" s="123">
        <f t="shared" si="3"/>
        <v>42674894.681274906</v>
      </c>
      <c r="K17" s="776">
        <f t="shared" si="4"/>
        <v>42845594.260000005</v>
      </c>
      <c r="L17" s="777">
        <v>37489894.977500007</v>
      </c>
      <c r="M17" s="335"/>
      <c r="N17" s="602">
        <f t="shared" si="1"/>
        <v>37489894.977500007</v>
      </c>
      <c r="O17" s="1039">
        <v>37489894.977500007</v>
      </c>
      <c r="P17" s="1039"/>
      <c r="Q17" s="1039"/>
      <c r="R17" s="1039">
        <f>+O17-P17</f>
        <v>37489894.977500007</v>
      </c>
      <c r="S17" s="1039">
        <v>37489894.977500007</v>
      </c>
      <c r="T17" s="1039"/>
      <c r="U17" t="s">
        <v>1352</v>
      </c>
      <c r="V17" t="s">
        <v>1353</v>
      </c>
      <c r="W17"/>
    </row>
    <row r="18" spans="1:27" s="1158" customFormat="1" ht="21" customHeight="1">
      <c r="A18" s="294"/>
      <c r="B18" s="294"/>
      <c r="C18" s="1885" t="s">
        <v>792</v>
      </c>
      <c r="D18" s="1165" t="s">
        <v>211</v>
      </c>
      <c r="E18" s="1194">
        <v>83990</v>
      </c>
      <c r="F18" s="1194" t="s">
        <v>738</v>
      </c>
      <c r="G18" s="1165" t="s">
        <v>405</v>
      </c>
      <c r="H18" s="1165">
        <v>1</v>
      </c>
      <c r="I18" s="1495">
        <v>1462000</v>
      </c>
      <c r="J18" s="1495">
        <f t="shared" si="3"/>
        <v>1462000</v>
      </c>
      <c r="K18" s="1540">
        <f t="shared" si="4"/>
        <v>1467848</v>
      </c>
      <c r="L18" s="1541">
        <v>1467848</v>
      </c>
      <c r="M18" s="1550"/>
      <c r="N18" s="1284">
        <f t="shared" si="1"/>
        <v>1467848</v>
      </c>
      <c r="O18" s="1285">
        <v>1467848</v>
      </c>
      <c r="P18" s="1285">
        <v>1467848</v>
      </c>
      <c r="Q18" s="1285">
        <v>1467848</v>
      </c>
      <c r="R18" s="1285">
        <f>+O18-Q18</f>
        <v>0</v>
      </c>
      <c r="S18" s="1285">
        <v>0</v>
      </c>
      <c r="T18" s="1285"/>
      <c r="U18" s="1176" t="s">
        <v>1352</v>
      </c>
      <c r="V18" s="1176" t="s">
        <v>1353</v>
      </c>
      <c r="W18" s="1176"/>
    </row>
    <row r="19" spans="1:27" s="1042" customFormat="1" ht="21" customHeight="1">
      <c r="A19" s="294"/>
      <c r="B19" s="294"/>
      <c r="C19" s="1887" t="s">
        <v>1287</v>
      </c>
      <c r="D19" s="1043">
        <v>39342842.114225097</v>
      </c>
      <c r="E19" s="1044" t="s">
        <v>1287</v>
      </c>
      <c r="F19" s="1044">
        <v>39342842.114225097</v>
      </c>
      <c r="G19" s="1043" t="s">
        <v>1287</v>
      </c>
      <c r="H19" s="1043">
        <v>39342842.114225097</v>
      </c>
      <c r="I19" s="1045" t="s">
        <v>1287</v>
      </c>
      <c r="J19" s="1045">
        <v>39342842.114225097</v>
      </c>
      <c r="K19" s="1046" t="s">
        <v>1287</v>
      </c>
      <c r="L19" s="1047">
        <f>39342842.1142251-39342842.1142251</f>
        <v>0</v>
      </c>
      <c r="M19" s="1048"/>
      <c r="N19" s="1049">
        <f t="shared" si="1"/>
        <v>0</v>
      </c>
      <c r="O19" s="1041">
        <v>39342842.114225097</v>
      </c>
      <c r="P19" s="1041"/>
      <c r="Q19" s="1041"/>
      <c r="R19" s="1041">
        <f>+O19-P19</f>
        <v>39342842.114225097</v>
      </c>
      <c r="S19" s="1041">
        <v>39342842.114225097</v>
      </c>
      <c r="T19" s="1041"/>
      <c r="U19" s="1042" t="s">
        <v>1352</v>
      </c>
      <c r="V19" s="1042" t="s">
        <v>1353</v>
      </c>
      <c r="W19" s="1050"/>
    </row>
    <row r="20" spans="1:27" s="1080" customFormat="1">
      <c r="A20" s="294"/>
      <c r="B20" s="294"/>
      <c r="C20" s="1888" t="s">
        <v>1371</v>
      </c>
      <c r="D20" s="1374" t="s">
        <v>381</v>
      </c>
      <c r="E20" s="1374">
        <v>65119</v>
      </c>
      <c r="F20" s="1374"/>
      <c r="G20" s="1374"/>
      <c r="H20" s="1374"/>
      <c r="I20" s="1374"/>
      <c r="J20" s="1374"/>
      <c r="K20" s="1374">
        <v>15000000</v>
      </c>
      <c r="L20" s="1377">
        <v>10500000</v>
      </c>
      <c r="M20" s="1376"/>
      <c r="N20" s="1551">
        <f>SUM(L20:M20)</f>
        <v>10500000</v>
      </c>
      <c r="O20" s="1285">
        <v>10500000</v>
      </c>
      <c r="P20" s="1285">
        <v>10500000</v>
      </c>
      <c r="Q20" s="1285"/>
      <c r="R20" s="1285">
        <f>+O20-P20</f>
        <v>0</v>
      </c>
      <c r="S20" s="1285">
        <v>0</v>
      </c>
      <c r="T20" s="1285"/>
      <c r="V20" s="1333"/>
      <c r="W20" s="1333"/>
      <c r="X20" s="1552"/>
      <c r="Y20" s="1552"/>
      <c r="Z20" s="1333"/>
      <c r="AA20" s="1333"/>
    </row>
    <row r="21" spans="1:27" s="1080" customFormat="1" ht="28.5">
      <c r="A21" s="294"/>
      <c r="B21" s="294"/>
      <c r="C21" s="1888" t="s">
        <v>1370</v>
      </c>
      <c r="D21" s="1095" t="s">
        <v>381</v>
      </c>
      <c r="E21" s="1095">
        <v>63399</v>
      </c>
      <c r="F21" s="1095"/>
      <c r="G21" s="1095"/>
      <c r="H21" s="1095"/>
      <c r="I21" s="1095"/>
      <c r="J21" s="1095"/>
      <c r="K21" s="1095"/>
      <c r="L21" s="1369">
        <v>4500000</v>
      </c>
      <c r="M21" s="1369"/>
      <c r="N21" s="1553">
        <f>SUM(L21:M21)</f>
        <v>4500000</v>
      </c>
      <c r="O21" s="1285">
        <v>4500000</v>
      </c>
      <c r="P21" s="1285">
        <v>4500000</v>
      </c>
      <c r="Q21" s="1285"/>
      <c r="R21" s="1285">
        <f t="shared" ref="R21:R23" si="5">+O21-P21</f>
        <v>0</v>
      </c>
      <c r="S21" s="1285">
        <v>0</v>
      </c>
      <c r="T21" s="1285"/>
      <c r="V21" s="1333"/>
      <c r="W21" s="1333"/>
      <c r="X21" s="1552"/>
      <c r="Y21" s="1552"/>
      <c r="Z21" s="1333"/>
      <c r="AA21" s="1333"/>
    </row>
    <row r="22" spans="1:27" s="1176" customFormat="1">
      <c r="A22" s="294"/>
      <c r="B22" s="294"/>
      <c r="C22" s="1108" t="s">
        <v>204</v>
      </c>
      <c r="D22" s="1108" t="s">
        <v>404</v>
      </c>
      <c r="E22" s="1108"/>
      <c r="F22" s="1108"/>
      <c r="G22" s="1095" t="s">
        <v>198</v>
      </c>
      <c r="H22" s="1095">
        <v>1</v>
      </c>
      <c r="I22" s="1095"/>
      <c r="J22" s="1095"/>
      <c r="K22" s="1095"/>
      <c r="L22" s="1110">
        <v>36369940</v>
      </c>
      <c r="M22" s="1110"/>
      <c r="N22" s="1284">
        <f>+SUM(L22:M22)</f>
        <v>36369940</v>
      </c>
      <c r="O22" s="1285">
        <v>111713718.94513361</v>
      </c>
      <c r="P22" s="1285">
        <v>29096690</v>
      </c>
      <c r="Q22" s="1285"/>
      <c r="R22" s="1285">
        <f t="shared" ref="R22" si="6">+O22-P22</f>
        <v>82617028.945133612</v>
      </c>
      <c r="S22" s="1285">
        <v>82617028.945133612</v>
      </c>
      <c r="T22" s="1285"/>
      <c r="X22" s="1286"/>
      <c r="Y22" s="1286"/>
    </row>
    <row r="23" spans="1:27" s="1277" customFormat="1" ht="15.75" thickBot="1">
      <c r="A23" s="294"/>
      <c r="B23" s="294"/>
      <c r="C23" s="1106" t="s">
        <v>204</v>
      </c>
      <c r="D23" s="1106" t="s">
        <v>404</v>
      </c>
      <c r="E23" s="1106"/>
      <c r="F23" s="1106"/>
      <c r="G23" s="1089" t="s">
        <v>198</v>
      </c>
      <c r="H23" s="1089">
        <v>1</v>
      </c>
      <c r="I23" s="1089"/>
      <c r="J23" s="1089"/>
      <c r="K23" s="1089"/>
      <c r="L23" s="1215">
        <f>111713718.945134-L22</f>
        <v>75343778.945133999</v>
      </c>
      <c r="M23" s="1215"/>
      <c r="N23" s="1287">
        <f>+SUM(L23:M23)</f>
        <v>75343778.945133999</v>
      </c>
      <c r="O23" s="1288">
        <v>111713718.94513361</v>
      </c>
      <c r="P23" s="1288">
        <v>29096690</v>
      </c>
      <c r="Q23" s="1288"/>
      <c r="R23" s="1288">
        <f t="shared" si="5"/>
        <v>82617028.945133612</v>
      </c>
      <c r="S23" s="1288">
        <v>82617028.945133612</v>
      </c>
      <c r="T23" s="1288"/>
      <c r="X23" s="1289"/>
      <c r="Y23" s="1289"/>
    </row>
    <row r="24" spans="1:27" ht="39" customHeight="1" thickBot="1">
      <c r="A24" s="1889">
        <v>222</v>
      </c>
      <c r="B24" s="1891"/>
      <c r="C24" s="596" t="s">
        <v>1036</v>
      </c>
      <c r="D24" s="200"/>
      <c r="E24" s="200"/>
      <c r="F24" s="200"/>
      <c r="G24" s="200" t="s">
        <v>1098</v>
      </c>
      <c r="H24" s="200">
        <v>100</v>
      </c>
      <c r="I24" s="200"/>
      <c r="J24" s="200"/>
      <c r="K24" s="200"/>
      <c r="L24" s="608">
        <f t="shared" ref="L24:N25" si="7">+L25</f>
        <v>0</v>
      </c>
      <c r="M24" s="608">
        <f t="shared" si="7"/>
        <v>122436024</v>
      </c>
      <c r="N24" s="609">
        <f t="shared" si="7"/>
        <v>122436024</v>
      </c>
      <c r="O24" s="1039"/>
      <c r="P24" s="1039"/>
      <c r="Q24" s="1039"/>
      <c r="R24" s="1039"/>
      <c r="S24" s="1039"/>
      <c r="T24" s="1039"/>
      <c r="W24" s="99"/>
      <c r="X24" s="99"/>
    </row>
    <row r="25" spans="1:27" ht="24.75" customHeight="1" thickBot="1">
      <c r="A25" s="1889"/>
      <c r="B25" s="1891" t="s">
        <v>1496</v>
      </c>
      <c r="C25" s="397" t="s">
        <v>1037</v>
      </c>
      <c r="D25" s="398"/>
      <c r="E25" s="398"/>
      <c r="F25" s="398"/>
      <c r="G25" s="399" t="s">
        <v>408</v>
      </c>
      <c r="H25" s="399">
        <v>1</v>
      </c>
      <c r="I25" s="398"/>
      <c r="J25" s="398"/>
      <c r="K25" s="398"/>
      <c r="L25" s="475">
        <f t="shared" si="7"/>
        <v>0</v>
      </c>
      <c r="M25" s="475">
        <f t="shared" si="7"/>
        <v>122436024</v>
      </c>
      <c r="N25" s="476">
        <f t="shared" si="7"/>
        <v>122436024</v>
      </c>
      <c r="O25" s="1039"/>
      <c r="P25" s="1039"/>
      <c r="Q25" s="1039"/>
      <c r="R25" s="1039"/>
      <c r="S25" s="1039"/>
      <c r="T25" s="1039"/>
    </row>
    <row r="26" spans="1:27" s="1333" customFormat="1" ht="27.75" customHeight="1">
      <c r="A26" s="294"/>
      <c r="B26" s="294"/>
      <c r="C26" s="1593" t="s">
        <v>611</v>
      </c>
      <c r="D26" s="1594" t="s">
        <v>211</v>
      </c>
      <c r="E26" s="1594">
        <v>83931</v>
      </c>
      <c r="F26" s="1595"/>
      <c r="G26" s="1594" t="s">
        <v>198</v>
      </c>
      <c r="H26" s="1594">
        <v>1</v>
      </c>
      <c r="I26" s="1596"/>
      <c r="J26" s="1596"/>
      <c r="K26" s="1596"/>
      <c r="L26" s="1597"/>
      <c r="M26" s="1093">
        <f>105000000+16371880+1064144</f>
        <v>122436024</v>
      </c>
      <c r="N26" s="1598">
        <f>SUM(L26:M26)</f>
        <v>122436024</v>
      </c>
      <c r="O26" s="1285">
        <v>122436024</v>
      </c>
      <c r="P26" s="1285">
        <v>122436024</v>
      </c>
      <c r="Q26" s="1285"/>
      <c r="R26" s="1285">
        <f>+O26-P26</f>
        <v>0</v>
      </c>
      <c r="S26" s="1285"/>
      <c r="T26" s="1285">
        <v>121371880</v>
      </c>
      <c r="U26" s="1333" t="s">
        <v>201</v>
      </c>
      <c r="V26" s="1333" t="s">
        <v>1317</v>
      </c>
    </row>
    <row r="27" spans="1:27" ht="15.75" thickBot="1">
      <c r="C27" s="2349" t="s">
        <v>10</v>
      </c>
      <c r="D27" s="2350"/>
      <c r="E27" s="2350"/>
      <c r="F27" s="2350"/>
      <c r="G27" s="2350"/>
      <c r="H27" s="2350"/>
      <c r="I27" s="2350"/>
      <c r="J27" s="2350"/>
      <c r="K27" s="2350"/>
      <c r="L27" s="603">
        <f t="shared" ref="L27:M27" si="8">+L10+L24</f>
        <v>369480667.33938891</v>
      </c>
      <c r="M27" s="603">
        <f t="shared" si="8"/>
        <v>122436024</v>
      </c>
      <c r="N27" s="603">
        <f>+N10+N24</f>
        <v>491916691.33938891</v>
      </c>
      <c r="O27" s="1039"/>
      <c r="P27" s="1039"/>
      <c r="Q27" s="1039"/>
      <c r="R27" s="1039"/>
      <c r="S27" s="1039"/>
      <c r="T27" s="1039"/>
      <c r="W27" s="219"/>
      <c r="X27" s="218"/>
      <c r="Y27" s="99"/>
    </row>
    <row r="28" spans="1:27" ht="15.75" thickBot="1">
      <c r="G28" s="99"/>
      <c r="J28" s="99"/>
      <c r="K28" s="99"/>
      <c r="L28" s="99"/>
      <c r="M28" s="99"/>
      <c r="N28" s="33"/>
      <c r="O28" s="1039"/>
      <c r="P28" s="1039"/>
      <c r="Q28" s="1039"/>
      <c r="R28" s="1039"/>
      <c r="S28" s="1039"/>
      <c r="T28" s="1039"/>
      <c r="X28" s="99"/>
      <c r="Y28" s="99"/>
    </row>
    <row r="29" spans="1:27" ht="15.75" thickBot="1">
      <c r="G29" s="99"/>
      <c r="J29" s="99"/>
      <c r="K29" s="99"/>
      <c r="L29" s="209">
        <v>369480667.33938855</v>
      </c>
      <c r="M29" s="222">
        <v>122436024</v>
      </c>
      <c r="N29" s="209">
        <v>491916691.33938855</v>
      </c>
      <c r="O29" s="1039"/>
      <c r="P29" s="1039"/>
      <c r="Q29" s="1039"/>
      <c r="R29" s="1040">
        <f>SUM(R12:R28)</f>
        <v>313625330.78787333</v>
      </c>
      <c r="S29" s="1040">
        <f>SUM(S12:S28)</f>
        <v>313625330.78787333</v>
      </c>
      <c r="T29" s="1040">
        <f>SUM(T12:T28)</f>
        <v>121371880</v>
      </c>
      <c r="X29" s="99"/>
      <c r="Y29" s="99"/>
    </row>
    <row r="30" spans="1:27">
      <c r="G30" s="99"/>
      <c r="J30" s="99"/>
      <c r="K30" s="99"/>
      <c r="L30" s="99"/>
      <c r="M30" s="99"/>
      <c r="O30" s="1039"/>
      <c r="P30" s="1039"/>
      <c r="Q30" s="1039"/>
      <c r="R30" s="1039"/>
      <c r="S30" s="1039"/>
      <c r="T30" s="1039"/>
      <c r="X30" s="217"/>
      <c r="Y30" s="99"/>
    </row>
    <row r="31" spans="1:27">
      <c r="L31" s="174">
        <f>+L29-L27</f>
        <v>0</v>
      </c>
      <c r="M31" s="174">
        <f>+M29-M27</f>
        <v>0</v>
      </c>
      <c r="N31" s="174">
        <f>+N29-N27</f>
        <v>0</v>
      </c>
      <c r="O31" s="1039"/>
      <c r="P31" s="1039"/>
      <c r="Q31" s="1039"/>
      <c r="R31" s="1039"/>
      <c r="S31" s="1039"/>
      <c r="T31" s="1039"/>
      <c r="X31" s="99"/>
      <c r="Y31" s="99"/>
    </row>
    <row r="32" spans="1:27">
      <c r="O32" s="1039"/>
      <c r="P32" s="1039"/>
      <c r="Q32" s="1039"/>
      <c r="R32" s="1039"/>
      <c r="S32" s="1039"/>
      <c r="T32" s="1039"/>
      <c r="X32" s="220"/>
      <c r="Y32" s="99"/>
    </row>
    <row r="33" spans="4:25">
      <c r="I33" s="217"/>
      <c r="J33" s="293"/>
      <c r="N33" s="25"/>
      <c r="O33" s="1039"/>
      <c r="P33" s="1039"/>
      <c r="Q33" s="1039"/>
      <c r="R33" s="1039"/>
      <c r="S33" s="1039"/>
      <c r="T33" s="1039"/>
      <c r="X33" s="99"/>
      <c r="Y33" s="99"/>
    </row>
    <row r="34" spans="4:25">
      <c r="O34" s="1039"/>
      <c r="P34" s="1039"/>
      <c r="Q34" s="1039"/>
      <c r="R34" s="1039"/>
      <c r="S34" s="1039"/>
      <c r="T34" s="1039"/>
      <c r="X34" s="217"/>
      <c r="Y34" s="99"/>
    </row>
    <row r="35" spans="4:25">
      <c r="K35" s="33"/>
      <c r="O35" s="1039"/>
      <c r="P35" s="1039"/>
      <c r="Q35" s="1039"/>
      <c r="R35" s="1039"/>
      <c r="S35" s="1039"/>
      <c r="T35" s="1039"/>
      <c r="X35" s="99"/>
      <c r="Y35" s="99"/>
    </row>
    <row r="36" spans="4:25">
      <c r="O36" s="1039"/>
      <c r="P36" s="1039"/>
      <c r="Q36" s="1039"/>
      <c r="R36" s="1039"/>
      <c r="S36" s="1039"/>
      <c r="T36" s="1039"/>
      <c r="X36" s="99"/>
      <c r="Y36" s="99"/>
    </row>
    <row r="37" spans="4:25">
      <c r="D37" s="216"/>
      <c r="O37" s="1039"/>
      <c r="P37" s="1039"/>
      <c r="Q37" s="1039"/>
      <c r="R37" s="1039"/>
      <c r="S37" s="1039"/>
      <c r="T37" s="1039"/>
      <c r="X37" s="99"/>
      <c r="Y37" s="99"/>
    </row>
    <row r="38" spans="4:25">
      <c r="O38" s="1039"/>
      <c r="P38" s="1039"/>
      <c r="Q38" s="1039"/>
      <c r="R38" s="1039"/>
      <c r="S38" s="1039"/>
      <c r="T38" s="1039"/>
      <c r="X38" s="99"/>
      <c r="Y38" s="99"/>
    </row>
    <row r="39" spans="4:25">
      <c r="X39" s="99"/>
      <c r="Y39" s="99"/>
    </row>
    <row r="40" spans="4:25">
      <c r="X40" s="99"/>
      <c r="Y40" s="99"/>
    </row>
  </sheetData>
  <mergeCells count="27">
    <mergeCell ref="C27:K27"/>
    <mergeCell ref="N7:N9"/>
    <mergeCell ref="L8:L9"/>
    <mergeCell ref="M8:M9"/>
    <mergeCell ref="C7:C9"/>
    <mergeCell ref="D7:D9"/>
    <mergeCell ref="E7:E9"/>
    <mergeCell ref="G7:G9"/>
    <mergeCell ref="H7:H9"/>
    <mergeCell ref="J7:J9"/>
    <mergeCell ref="K7:K9"/>
    <mergeCell ref="I7:I9"/>
    <mergeCell ref="F7:F9"/>
    <mergeCell ref="U7:V7"/>
    <mergeCell ref="A7:A9"/>
    <mergeCell ref="B7:B9"/>
    <mergeCell ref="C1:C3"/>
    <mergeCell ref="D1:L3"/>
    <mergeCell ref="M1:N1"/>
    <mergeCell ref="M2:N2"/>
    <mergeCell ref="M3:N3"/>
    <mergeCell ref="L7:M7"/>
    <mergeCell ref="C5:N5"/>
    <mergeCell ref="C6:N6"/>
    <mergeCell ref="R7:R8"/>
    <mergeCell ref="S7:T7"/>
    <mergeCell ref="S8:T8"/>
  </mergeCells>
  <pageMargins left="0.7" right="0.7" top="0.75" bottom="0.75" header="0.3" footer="0.3"/>
  <pageSetup orientation="portrait" verticalDpi="597"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theme="0" tint="-4.9989318521683403E-2"/>
  </sheetPr>
  <dimension ref="A1:J18"/>
  <sheetViews>
    <sheetView workbookViewId="0">
      <pane xSplit="4" ySplit="9" topLeftCell="E10" activePane="bottomRight" state="frozen"/>
      <selection activeCell="F55" sqref="F55"/>
      <selection pane="topRight" activeCell="F55" sqref="F55"/>
      <selection pane="bottomLeft" activeCell="F55" sqref="F55"/>
      <selection pane="bottomRight" activeCell="B33" sqref="B33"/>
    </sheetView>
  </sheetViews>
  <sheetFormatPr baseColWidth="10" defaultRowHeight="15"/>
  <cols>
    <col min="1" max="1" width="11.42578125" customWidth="1"/>
    <col min="2" max="2" width="52.7109375" customWidth="1"/>
    <col min="3" max="4" width="11.42578125" customWidth="1"/>
    <col min="5" max="5" width="14.28515625" bestFit="1" customWidth="1"/>
    <col min="6" max="6" width="16.28515625" customWidth="1"/>
    <col min="7" max="7" width="15.140625" customWidth="1"/>
    <col min="8" max="8" width="12" customWidth="1"/>
    <col min="9" max="9" width="12.85546875" customWidth="1"/>
    <col min="10" max="10" width="16" customWidth="1"/>
  </cols>
  <sheetData>
    <row r="1" spans="1:10" ht="15" customHeight="1">
      <c r="B1" s="2323"/>
      <c r="C1" s="2185" t="s">
        <v>434</v>
      </c>
      <c r="D1" s="2186"/>
      <c r="E1" s="2186"/>
      <c r="F1" s="2186"/>
      <c r="G1" s="2187"/>
      <c r="H1" s="2248" t="s">
        <v>364</v>
      </c>
      <c r="I1" s="2332"/>
      <c r="J1" s="2249"/>
    </row>
    <row r="2" spans="1:10">
      <c r="B2" s="2324"/>
      <c r="C2" s="2188"/>
      <c r="D2" s="2189"/>
      <c r="E2" s="2189"/>
      <c r="F2" s="2189"/>
      <c r="G2" s="2190"/>
      <c r="H2" s="2250" t="s">
        <v>365</v>
      </c>
      <c r="I2" s="2333"/>
      <c r="J2" s="2251"/>
    </row>
    <row r="3" spans="1:10" ht="15.75" customHeight="1" thickBot="1">
      <c r="B3" s="2325"/>
      <c r="C3" s="2191"/>
      <c r="D3" s="2192"/>
      <c r="E3" s="2192"/>
      <c r="F3" s="2192"/>
      <c r="G3" s="2193"/>
      <c r="H3" s="2252" t="s">
        <v>366</v>
      </c>
      <c r="I3" s="2334"/>
      <c r="J3" s="2253"/>
    </row>
    <row r="4" spans="1:10" ht="15.75" thickBot="1">
      <c r="B4" s="1"/>
      <c r="C4" s="1"/>
      <c r="D4" s="1"/>
      <c r="E4" s="1"/>
      <c r="F4" s="1"/>
      <c r="G4" s="1"/>
    </row>
    <row r="5" spans="1:10" ht="15.75" thickBot="1">
      <c r="B5" s="2278" t="s">
        <v>183</v>
      </c>
      <c r="C5" s="2279"/>
      <c r="D5" s="2279"/>
      <c r="E5" s="2279"/>
      <c r="F5" s="2279"/>
      <c r="G5" s="2279"/>
      <c r="H5" s="2279"/>
      <c r="I5" s="2279"/>
      <c r="J5" s="2280"/>
    </row>
    <row r="6" spans="1:10" ht="15.75" thickBot="1">
      <c r="B6" s="2276" t="s">
        <v>1398</v>
      </c>
      <c r="C6" s="2277"/>
      <c r="D6" s="2277"/>
      <c r="E6" s="2277"/>
      <c r="F6" s="2277"/>
      <c r="G6" s="2277"/>
      <c r="H6" s="2277"/>
      <c r="I6" s="2277"/>
      <c r="J6" s="2277"/>
    </row>
    <row r="7" spans="1:10" ht="15.75" customHeight="1" thickBot="1">
      <c r="A7" s="2351" t="s">
        <v>278</v>
      </c>
      <c r="B7" s="2330" t="s">
        <v>188</v>
      </c>
      <c r="C7" s="2135">
        <v>2024</v>
      </c>
      <c r="D7" s="2135"/>
      <c r="E7" s="2135"/>
      <c r="F7" s="2135"/>
      <c r="G7" s="2135"/>
      <c r="H7" s="388" t="s">
        <v>530</v>
      </c>
      <c r="I7" s="388"/>
      <c r="J7" s="2311" t="s">
        <v>319</v>
      </c>
    </row>
    <row r="8" spans="1:10" ht="15.75" customHeight="1" thickBot="1">
      <c r="A8" s="2352"/>
      <c r="B8" s="2330"/>
      <c r="C8" s="2135" t="s">
        <v>313</v>
      </c>
      <c r="D8" s="2135" t="s">
        <v>191</v>
      </c>
      <c r="E8" s="2135" t="s">
        <v>213</v>
      </c>
      <c r="F8" s="2135"/>
      <c r="G8" s="2135" t="s">
        <v>965</v>
      </c>
      <c r="H8" s="2135" t="s">
        <v>208</v>
      </c>
      <c r="I8" s="2210" t="s">
        <v>912</v>
      </c>
      <c r="J8" s="2311"/>
    </row>
    <row r="9" spans="1:10" ht="15.75" thickBot="1">
      <c r="A9" s="2353"/>
      <c r="B9" s="2330"/>
      <c r="C9" s="2135"/>
      <c r="D9" s="2135"/>
      <c r="E9" s="199" t="s">
        <v>192</v>
      </c>
      <c r="F9" s="199" t="s">
        <v>194</v>
      </c>
      <c r="G9" s="2135"/>
      <c r="H9" s="2135"/>
      <c r="I9" s="2136"/>
      <c r="J9" s="2311"/>
    </row>
    <row r="10" spans="1:10" ht="26.25" thickBot="1">
      <c r="A10" s="153">
        <v>3205017</v>
      </c>
      <c r="B10" s="467" t="s">
        <v>981</v>
      </c>
      <c r="C10" s="831" t="s">
        <v>1098</v>
      </c>
      <c r="D10" s="831">
        <v>100</v>
      </c>
      <c r="E10" s="512">
        <f t="shared" ref="E10:J10" si="0">SUM(E11:E13)</f>
        <v>1890786900.27</v>
      </c>
      <c r="F10" s="512">
        <f t="shared" si="0"/>
        <v>361165013.75999999</v>
      </c>
      <c r="G10" s="512">
        <f t="shared" si="0"/>
        <v>2251951914.0299997</v>
      </c>
      <c r="H10" s="512">
        <f t="shared" si="0"/>
        <v>50000000</v>
      </c>
      <c r="I10" s="512">
        <f t="shared" si="0"/>
        <v>50000000</v>
      </c>
      <c r="J10" s="512">
        <f t="shared" si="0"/>
        <v>2301951914.0299997</v>
      </c>
    </row>
    <row r="11" spans="1:10">
      <c r="B11" s="172" t="s">
        <v>982</v>
      </c>
      <c r="C11" s="383" t="s">
        <v>1098</v>
      </c>
      <c r="D11" s="381">
        <v>10</v>
      </c>
      <c r="E11" s="514">
        <f>+'ACCIONES 320502'!I11</f>
        <v>1890786900.27</v>
      </c>
      <c r="F11" s="514">
        <f>+'ACCIONES 320502'!J11</f>
        <v>0</v>
      </c>
      <c r="G11" s="514">
        <f>+'ACCIONES 320502'!K11</f>
        <v>1890786900.27</v>
      </c>
      <c r="H11" s="514">
        <f>+'ACCIONES 320502'!L11</f>
        <v>0</v>
      </c>
      <c r="I11" s="514">
        <f>+'ACCIONES 320502'!M11</f>
        <v>0</v>
      </c>
      <c r="J11" s="515">
        <f>+'ACCIONES 320502'!N11</f>
        <v>1890786900.27</v>
      </c>
    </row>
    <row r="12" spans="1:10" ht="38.25">
      <c r="B12" s="30" t="s">
        <v>983</v>
      </c>
      <c r="C12" s="379" t="s">
        <v>1104</v>
      </c>
      <c r="D12" s="1652">
        <v>37</v>
      </c>
      <c r="E12" s="516">
        <f>+'ACCIONES 320502'!I14</f>
        <v>0</v>
      </c>
      <c r="F12" s="516">
        <f>+'ACCIONES 320502'!J14</f>
        <v>361165013.75999999</v>
      </c>
      <c r="G12" s="516">
        <f>+'ACCIONES 320502'!K14</f>
        <v>361165013.75999999</v>
      </c>
      <c r="H12" s="516">
        <f>+'ACCIONES 320502'!L14</f>
        <v>0</v>
      </c>
      <c r="I12" s="516">
        <f>+'ACCIONES 320502'!M14</f>
        <v>0</v>
      </c>
      <c r="J12" s="517">
        <f>+'ACCIONES 320502'!N14</f>
        <v>361165013.75999999</v>
      </c>
    </row>
    <row r="13" spans="1:10" ht="26.25" thickBot="1">
      <c r="B13" s="30" t="s">
        <v>984</v>
      </c>
      <c r="C13" s="379" t="s">
        <v>1106</v>
      </c>
      <c r="D13" s="1652">
        <v>1</v>
      </c>
      <c r="E13" s="516">
        <f>+'ACCIONES 320502'!I32</f>
        <v>0</v>
      </c>
      <c r="F13" s="516">
        <f>+'ACCIONES 320502'!J32</f>
        <v>0</v>
      </c>
      <c r="G13" s="516">
        <f>+'ACCIONES 320502'!K32</f>
        <v>0</v>
      </c>
      <c r="H13" s="516">
        <f>+'ACCIONES 320502'!L32</f>
        <v>50000000</v>
      </c>
      <c r="I13" s="516">
        <f>+'ACCIONES 320502'!M32</f>
        <v>50000000</v>
      </c>
      <c r="J13" s="517">
        <f>+'ACCIONES 320502'!N32</f>
        <v>50000000</v>
      </c>
    </row>
    <row r="14" spans="1:10" ht="15.75" thickBot="1">
      <c r="B14" s="2273" t="s">
        <v>10</v>
      </c>
      <c r="C14" s="2274"/>
      <c r="D14" s="2291"/>
      <c r="E14" s="469">
        <f t="shared" ref="E14:J14" si="1">+E10</f>
        <v>1890786900.27</v>
      </c>
      <c r="F14" s="469">
        <f t="shared" si="1"/>
        <v>361165013.75999999</v>
      </c>
      <c r="G14" s="469">
        <f t="shared" si="1"/>
        <v>2251951914.0299997</v>
      </c>
      <c r="H14" s="469">
        <f t="shared" si="1"/>
        <v>50000000</v>
      </c>
      <c r="I14" s="469">
        <f t="shared" si="1"/>
        <v>50000000</v>
      </c>
      <c r="J14" s="470">
        <f t="shared" si="1"/>
        <v>2301951914.0299997</v>
      </c>
    </row>
    <row r="15" spans="1:10" ht="15.75" thickBot="1"/>
    <row r="16" spans="1:10" ht="15.75" thickBot="1">
      <c r="E16" s="472">
        <v>1890786900.27</v>
      </c>
      <c r="F16" s="472">
        <v>361165013.75999999</v>
      </c>
      <c r="G16" s="472">
        <v>2251951914.0299997</v>
      </c>
      <c r="H16" s="472">
        <v>50000000</v>
      </c>
      <c r="I16" s="472">
        <v>50000000</v>
      </c>
      <c r="J16" s="472">
        <v>2301951914.0299997</v>
      </c>
    </row>
    <row r="18" spans="5:10">
      <c r="E18" s="15">
        <f t="shared" ref="E18:J18" si="2">+E16-E14</f>
        <v>0</v>
      </c>
      <c r="F18" s="15">
        <f t="shared" si="2"/>
        <v>0</v>
      </c>
      <c r="G18" s="15">
        <f t="shared" si="2"/>
        <v>0</v>
      </c>
      <c r="H18" s="15">
        <f t="shared" si="2"/>
        <v>0</v>
      </c>
      <c r="I18" s="15">
        <f t="shared" si="2"/>
        <v>0</v>
      </c>
      <c r="J18" s="15">
        <f t="shared" si="2"/>
        <v>0</v>
      </c>
    </row>
  </sheetData>
  <mergeCells count="18">
    <mergeCell ref="A7:A9"/>
    <mergeCell ref="B14:D14"/>
    <mergeCell ref="B7:B9"/>
    <mergeCell ref="C7:G7"/>
    <mergeCell ref="E8:F8"/>
    <mergeCell ref="C8:C9"/>
    <mergeCell ref="D8:D9"/>
    <mergeCell ref="G8:G9"/>
    <mergeCell ref="J7:J9"/>
    <mergeCell ref="H8:H9"/>
    <mergeCell ref="C1:G3"/>
    <mergeCell ref="B5:J5"/>
    <mergeCell ref="B6:J6"/>
    <mergeCell ref="B1:B3"/>
    <mergeCell ref="H1:J1"/>
    <mergeCell ref="H2:J2"/>
    <mergeCell ref="H3:J3"/>
    <mergeCell ref="I8:I9"/>
  </mergeCells>
  <pageMargins left="0.7" right="0.7" top="0.75" bottom="0.75" header="0.3" footer="0.3"/>
  <pageSetup orientation="portrait" verticalDpi="597"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0" tint="-4.9989318521683403E-2"/>
  </sheetPr>
  <dimension ref="A1:W41"/>
  <sheetViews>
    <sheetView zoomScale="80" zoomScaleNormal="80" workbookViewId="0">
      <pane xSplit="8" ySplit="9" topLeftCell="I10" activePane="bottomRight" state="frozen"/>
      <selection activeCell="F55" sqref="F55"/>
      <selection pane="topRight" activeCell="F55" sqref="F55"/>
      <selection pane="bottomLeft" activeCell="F55" sqref="F55"/>
      <selection pane="bottomRight" activeCell="N30" sqref="N30"/>
    </sheetView>
  </sheetViews>
  <sheetFormatPr baseColWidth="10" defaultColWidth="11.42578125" defaultRowHeight="12.75"/>
  <cols>
    <col min="1" max="1" width="6" style="1842" customWidth="1"/>
    <col min="2" max="2" width="6.42578125" style="1842" customWidth="1"/>
    <col min="3" max="3" width="45.7109375" style="1" customWidth="1"/>
    <col min="4" max="4" width="17.42578125" style="1" customWidth="1"/>
    <col min="5" max="5" width="6.5703125" style="1" customWidth="1"/>
    <col min="6" max="6" width="11.85546875" style="96" customWidth="1"/>
    <col min="7" max="8" width="6.5703125" style="96" customWidth="1"/>
    <col min="9" max="9" width="16.140625" style="96" customWidth="1"/>
    <col min="10" max="10" width="15.42578125" style="96" customWidth="1"/>
    <col min="11" max="11" width="18.5703125" style="98" customWidth="1"/>
    <col min="12" max="12" width="16.5703125" style="1" bestFit="1" customWidth="1"/>
    <col min="13" max="13" width="15" style="1" customWidth="1"/>
    <col min="14" max="14" width="15.85546875" style="1" customWidth="1"/>
    <col min="15" max="15" width="16" style="1" customWidth="1"/>
    <col min="16" max="16" width="18.42578125" style="1" bestFit="1" customWidth="1"/>
    <col min="17" max="17" width="17" style="1" bestFit="1" customWidth="1"/>
    <col min="18" max="18" width="14.28515625" style="1" bestFit="1" customWidth="1"/>
    <col min="19" max="20" width="11.5703125" style="1" bestFit="1" customWidth="1"/>
    <col min="21" max="21" width="18.5703125" style="1" bestFit="1" customWidth="1"/>
    <col min="22" max="22" width="21.28515625" style="1" bestFit="1" customWidth="1"/>
    <col min="23" max="23" width="10.28515625" style="1" bestFit="1" customWidth="1"/>
    <col min="24" max="16384" width="11.42578125" style="1"/>
  </cols>
  <sheetData>
    <row r="1" spans="1:23" ht="15" customHeight="1">
      <c r="C1" s="2354"/>
      <c r="D1" s="2163" t="s">
        <v>434</v>
      </c>
      <c r="E1" s="2164"/>
      <c r="F1" s="2164"/>
      <c r="G1" s="2164"/>
      <c r="H1" s="2164"/>
      <c r="I1" s="2164"/>
      <c r="J1" s="2164"/>
      <c r="K1" s="2165"/>
      <c r="L1" s="2248" t="s">
        <v>364</v>
      </c>
      <c r="M1" s="2332"/>
      <c r="N1" s="2249"/>
    </row>
    <row r="2" spans="1:23">
      <c r="C2" s="2355"/>
      <c r="D2" s="2166"/>
      <c r="E2" s="2167"/>
      <c r="F2" s="2167"/>
      <c r="G2" s="2167"/>
      <c r="H2" s="2167"/>
      <c r="I2" s="2167"/>
      <c r="J2" s="2167"/>
      <c r="K2" s="2168"/>
      <c r="L2" s="2250" t="s">
        <v>365</v>
      </c>
      <c r="M2" s="2333"/>
      <c r="N2" s="2251"/>
    </row>
    <row r="3" spans="1:23" ht="15.75" customHeight="1" thickBot="1">
      <c r="C3" s="2356"/>
      <c r="D3" s="2169"/>
      <c r="E3" s="2170"/>
      <c r="F3" s="2170"/>
      <c r="G3" s="2170"/>
      <c r="H3" s="2170"/>
      <c r="I3" s="2170"/>
      <c r="J3" s="2170"/>
      <c r="K3" s="2171"/>
      <c r="L3" s="2252" t="s">
        <v>366</v>
      </c>
      <c r="M3" s="2334"/>
      <c r="N3" s="2253"/>
    </row>
    <row r="4" spans="1:23" ht="3" customHeight="1" thickBot="1">
      <c r="F4" s="1"/>
      <c r="G4" s="1"/>
      <c r="H4" s="1"/>
      <c r="I4" s="1"/>
      <c r="J4" s="1"/>
      <c r="K4" s="1"/>
    </row>
    <row r="5" spans="1:23" ht="15" customHeight="1" thickBot="1">
      <c r="C5" s="2278" t="s">
        <v>183</v>
      </c>
      <c r="D5" s="2279"/>
      <c r="E5" s="2279"/>
      <c r="F5" s="2279"/>
      <c r="G5" s="2279"/>
      <c r="H5" s="2279"/>
      <c r="I5" s="2279"/>
      <c r="J5" s="2279"/>
      <c r="K5" s="2279"/>
      <c r="L5" s="2279"/>
      <c r="M5" s="2279"/>
      <c r="N5" s="2280"/>
    </row>
    <row r="6" spans="1:23" ht="13.5" thickBot="1">
      <c r="C6" s="2145" t="s">
        <v>1398</v>
      </c>
      <c r="D6" s="2146"/>
      <c r="E6" s="2146"/>
      <c r="F6" s="2146"/>
      <c r="G6" s="2146"/>
      <c r="H6" s="2146"/>
      <c r="I6" s="2146"/>
      <c r="J6" s="2146"/>
      <c r="K6" s="2146"/>
      <c r="L6" s="2146"/>
      <c r="M6" s="2146"/>
      <c r="N6" s="2147"/>
    </row>
    <row r="7" spans="1:23" ht="27.75" customHeight="1" thickBot="1">
      <c r="A7" s="2309" t="s">
        <v>368</v>
      </c>
      <c r="B7" s="2295" t="s">
        <v>369</v>
      </c>
      <c r="C7" s="2135" t="s">
        <v>311</v>
      </c>
      <c r="D7" s="2135" t="s">
        <v>312</v>
      </c>
      <c r="E7" s="2159" t="s">
        <v>351</v>
      </c>
      <c r="F7" s="2135" t="s">
        <v>313</v>
      </c>
      <c r="G7" s="2135" t="s">
        <v>191</v>
      </c>
      <c r="H7" s="2210" t="s">
        <v>435</v>
      </c>
      <c r="I7" s="2135" t="s">
        <v>189</v>
      </c>
      <c r="J7" s="2135"/>
      <c r="K7" s="2135" t="s">
        <v>965</v>
      </c>
      <c r="L7" s="390" t="s">
        <v>530</v>
      </c>
      <c r="M7" s="2210" t="s">
        <v>912</v>
      </c>
      <c r="N7" s="2357" t="s">
        <v>909</v>
      </c>
      <c r="O7" s="745" t="s">
        <v>1280</v>
      </c>
      <c r="P7" s="1024" t="s">
        <v>1276</v>
      </c>
      <c r="Q7" s="1024" t="s">
        <v>1277</v>
      </c>
      <c r="R7" s="2156" t="s">
        <v>1278</v>
      </c>
      <c r="S7" s="2155" t="s">
        <v>1279</v>
      </c>
      <c r="T7" s="2155"/>
      <c r="U7" s="2155"/>
      <c r="V7" s="2154" t="s">
        <v>1302</v>
      </c>
      <c r="W7" s="2154"/>
    </row>
    <row r="8" spans="1:23" ht="12" customHeight="1" thickBot="1">
      <c r="A8" s="2309"/>
      <c r="B8" s="2295"/>
      <c r="C8" s="2135"/>
      <c r="D8" s="2135"/>
      <c r="E8" s="2159"/>
      <c r="F8" s="2135"/>
      <c r="G8" s="2135"/>
      <c r="H8" s="2180"/>
      <c r="I8" s="2135" t="s">
        <v>192</v>
      </c>
      <c r="J8" s="2135" t="s">
        <v>208</v>
      </c>
      <c r="K8" s="2135"/>
      <c r="L8" s="2135" t="s">
        <v>208</v>
      </c>
      <c r="M8" s="2180"/>
      <c r="N8" s="2357"/>
      <c r="O8" s="1030"/>
      <c r="P8" s="1030"/>
      <c r="Q8" s="1030"/>
      <c r="R8" s="2156"/>
      <c r="S8" s="2281" t="s">
        <v>1286</v>
      </c>
      <c r="T8" s="2281"/>
      <c r="U8" s="1032" t="s">
        <v>1284</v>
      </c>
      <c r="V8" s="157" t="s">
        <v>1288</v>
      </c>
      <c r="W8" s="157" t="s">
        <v>1289</v>
      </c>
    </row>
    <row r="9" spans="1:23" ht="21.75" customHeight="1" thickBot="1">
      <c r="A9" s="2347"/>
      <c r="B9" s="2348"/>
      <c r="C9" s="2210"/>
      <c r="D9" s="2210"/>
      <c r="E9" s="2200"/>
      <c r="F9" s="2210"/>
      <c r="G9" s="2210"/>
      <c r="H9" s="2180"/>
      <c r="I9" s="2210"/>
      <c r="J9" s="2210"/>
      <c r="K9" s="2210"/>
      <c r="L9" s="2210"/>
      <c r="M9" s="2180"/>
      <c r="N9" s="2161"/>
      <c r="S9" s="1032" t="s">
        <v>192</v>
      </c>
      <c r="T9" s="1032" t="s">
        <v>208</v>
      </c>
      <c r="U9" s="1032" t="s">
        <v>208</v>
      </c>
      <c r="V9" s="157"/>
      <c r="W9" s="157"/>
    </row>
    <row r="10" spans="1:23" ht="42" customHeight="1" thickBot="1">
      <c r="A10" s="152">
        <v>223</v>
      </c>
      <c r="B10" s="487"/>
      <c r="C10" s="467" t="s">
        <v>981</v>
      </c>
      <c r="D10" s="205"/>
      <c r="E10" s="205"/>
      <c r="F10" s="165" t="s">
        <v>1098</v>
      </c>
      <c r="G10" s="165">
        <v>100</v>
      </c>
      <c r="H10" s="165"/>
      <c r="I10" s="513">
        <f t="shared" ref="I10" si="0">+I11+I14+I32</f>
        <v>1890786900.27</v>
      </c>
      <c r="J10" s="513">
        <f t="shared" ref="J10" si="1">+J11+J14+J32</f>
        <v>361165013.75999999</v>
      </c>
      <c r="K10" s="513">
        <f t="shared" ref="K10" si="2">+K11+K14+K32</f>
        <v>2251951914.0299997</v>
      </c>
      <c r="L10" s="513">
        <f t="shared" ref="L10:M10" si="3">+L11+L14+L32</f>
        <v>50000000</v>
      </c>
      <c r="M10" s="513">
        <f t="shared" si="3"/>
        <v>50000000</v>
      </c>
      <c r="N10" s="513">
        <f>+N11+N14+N32</f>
        <v>2301951914.0299997</v>
      </c>
      <c r="O10" s="292"/>
      <c r="P10" s="292"/>
      <c r="Q10" s="292"/>
      <c r="R10" s="292"/>
      <c r="S10" s="292"/>
      <c r="T10" s="292"/>
      <c r="U10" s="292"/>
    </row>
    <row r="11" spans="1:23" ht="28.5" customHeight="1" thickBot="1">
      <c r="A11" s="152"/>
      <c r="B11" s="487" t="s">
        <v>1499</v>
      </c>
      <c r="C11" s="397" t="s">
        <v>982</v>
      </c>
      <c r="D11" s="398"/>
      <c r="E11" s="398"/>
      <c r="F11" s="399" t="s">
        <v>1098</v>
      </c>
      <c r="G11" s="399">
        <v>10</v>
      </c>
      <c r="H11" s="399"/>
      <c r="I11" s="475">
        <f t="shared" ref="I11:N11" si="4">SUM(I12:I13)</f>
        <v>1890786900.27</v>
      </c>
      <c r="J11" s="475">
        <f t="shared" si="4"/>
        <v>0</v>
      </c>
      <c r="K11" s="475">
        <f t="shared" si="4"/>
        <v>1890786900.27</v>
      </c>
      <c r="L11" s="475">
        <f t="shared" si="4"/>
        <v>0</v>
      </c>
      <c r="M11" s="475">
        <f t="shared" si="4"/>
        <v>0</v>
      </c>
      <c r="N11" s="476">
        <f t="shared" si="4"/>
        <v>1890786900.27</v>
      </c>
      <c r="O11" s="292"/>
      <c r="P11" s="292"/>
      <c r="Q11" s="292"/>
      <c r="R11" s="292"/>
      <c r="S11" s="292"/>
      <c r="T11" s="292"/>
      <c r="U11" s="292"/>
    </row>
    <row r="12" spans="1:23" s="1169" customFormat="1" ht="15.75" customHeight="1">
      <c r="A12" s="1055"/>
      <c r="B12" s="1055"/>
      <c r="C12" s="1242" t="s">
        <v>519</v>
      </c>
      <c r="D12" s="1243" t="s">
        <v>211</v>
      </c>
      <c r="E12" s="1244" t="s">
        <v>466</v>
      </c>
      <c r="F12" s="1245" t="s">
        <v>520</v>
      </c>
      <c r="G12" s="1245"/>
      <c r="H12" s="1245"/>
      <c r="I12" s="1246">
        <v>1767090561</v>
      </c>
      <c r="J12" s="1246"/>
      <c r="K12" s="1247">
        <f>+I12+J12</f>
        <v>1767090561</v>
      </c>
      <c r="L12" s="1246"/>
      <c r="M12" s="1246">
        <f>+L12</f>
        <v>0</v>
      </c>
      <c r="N12" s="1248">
        <f>+K12+M12</f>
        <v>1767090561</v>
      </c>
      <c r="O12" s="1174">
        <v>1767090561</v>
      </c>
      <c r="P12" s="1174">
        <v>1767090561</v>
      </c>
      <c r="Q12" s="1174"/>
      <c r="R12" s="1174">
        <f>+O12-P12</f>
        <v>0</v>
      </c>
      <c r="S12" s="1174"/>
      <c r="T12" s="1174"/>
      <c r="U12" s="1174"/>
      <c r="V12" s="1175" t="s">
        <v>236</v>
      </c>
      <c r="W12" s="1175" t="s">
        <v>1354</v>
      </c>
    </row>
    <row r="13" spans="1:23" s="1169" customFormat="1" ht="15.75" customHeight="1" thickBot="1">
      <c r="A13" s="1055"/>
      <c r="B13" s="1055"/>
      <c r="C13" s="1249" t="s">
        <v>933</v>
      </c>
      <c r="D13" s="1126" t="s">
        <v>211</v>
      </c>
      <c r="E13" s="1102" t="s">
        <v>466</v>
      </c>
      <c r="F13" s="1250"/>
      <c r="G13" s="1250"/>
      <c r="H13" s="1250"/>
      <c r="I13" s="1251">
        <f>+I12*0.07</f>
        <v>123696339.27000001</v>
      </c>
      <c r="J13" s="1251"/>
      <c r="K13" s="1252">
        <f>+I13+J13</f>
        <v>123696339.27000001</v>
      </c>
      <c r="L13" s="1251"/>
      <c r="M13" s="1251">
        <f>+L13</f>
        <v>0</v>
      </c>
      <c r="N13" s="1253">
        <f>+K13+M13</f>
        <v>123696339.27000001</v>
      </c>
      <c r="O13" s="1174">
        <v>123696339</v>
      </c>
      <c r="P13" s="1174">
        <v>123696339</v>
      </c>
      <c r="Q13" s="1174"/>
      <c r="R13" s="1174">
        <f>+O13-P13</f>
        <v>0</v>
      </c>
      <c r="S13" s="1174"/>
      <c r="T13" s="1174"/>
      <c r="U13" s="1174"/>
      <c r="V13" s="1175" t="s">
        <v>236</v>
      </c>
      <c r="W13" s="1175" t="s">
        <v>1354</v>
      </c>
    </row>
    <row r="14" spans="1:23" ht="45.75" customHeight="1" thickBot="1">
      <c r="A14" s="152"/>
      <c r="B14" s="487" t="s">
        <v>1500</v>
      </c>
      <c r="C14" s="397" t="s">
        <v>983</v>
      </c>
      <c r="D14" s="398"/>
      <c r="E14" s="398"/>
      <c r="F14" s="399" t="s">
        <v>1104</v>
      </c>
      <c r="G14" s="399">
        <v>37</v>
      </c>
      <c r="H14" s="399"/>
      <c r="I14" s="476">
        <f t="shared" ref="I14:N14" si="5">SUM(I15:I31)</f>
        <v>0</v>
      </c>
      <c r="J14" s="476">
        <f t="shared" si="5"/>
        <v>361165013.75999999</v>
      </c>
      <c r="K14" s="476">
        <f t="shared" si="5"/>
        <v>361165013.75999999</v>
      </c>
      <c r="L14" s="476">
        <f t="shared" si="5"/>
        <v>0</v>
      </c>
      <c r="M14" s="476">
        <f t="shared" si="5"/>
        <v>0</v>
      </c>
      <c r="N14" s="476">
        <f t="shared" si="5"/>
        <v>361165013.75999999</v>
      </c>
      <c r="O14" s="292"/>
      <c r="P14" s="292"/>
      <c r="Q14" s="292"/>
      <c r="R14" s="292"/>
      <c r="S14" s="292"/>
      <c r="T14" s="292"/>
      <c r="U14" s="292"/>
    </row>
    <row r="15" spans="1:23" s="1158" customFormat="1" ht="33.75" customHeight="1">
      <c r="A15" s="1055"/>
      <c r="B15" s="1055"/>
      <c r="C15" s="1159" t="s">
        <v>794</v>
      </c>
      <c r="D15" s="1160" t="s">
        <v>211</v>
      </c>
      <c r="E15" s="1161" t="s">
        <v>466</v>
      </c>
      <c r="F15" s="1162" t="s">
        <v>197</v>
      </c>
      <c r="G15" s="1162"/>
      <c r="H15" s="1162"/>
      <c r="I15" s="1155"/>
      <c r="J15" s="1155">
        <v>11112239.400000002</v>
      </c>
      <c r="K15" s="1156">
        <f t="shared" ref="K15:K28" si="6">+I15+J15</f>
        <v>11112239.400000002</v>
      </c>
      <c r="L15" s="1155"/>
      <c r="M15" s="1155">
        <f t="shared" ref="M15:M33" si="7">+L15</f>
        <v>0</v>
      </c>
      <c r="N15" s="1157">
        <f t="shared" ref="N15:N28" si="8">+K15+M15</f>
        <v>11112239.400000002</v>
      </c>
      <c r="O15" s="1125">
        <v>11112239.400000002</v>
      </c>
      <c r="P15" s="1125">
        <v>11112239.400000002</v>
      </c>
      <c r="Q15" s="1125">
        <v>11112239.400000002</v>
      </c>
      <c r="R15" s="1125">
        <f t="shared" ref="R15:R33" si="9">+O15-P15</f>
        <v>0</v>
      </c>
      <c r="S15" s="1125"/>
      <c r="T15" s="1125"/>
      <c r="U15" s="1125"/>
      <c r="V15" s="1163" t="s">
        <v>236</v>
      </c>
      <c r="W15" s="1158" t="s">
        <v>1355</v>
      </c>
    </row>
    <row r="16" spans="1:23" s="1158" customFormat="1" ht="27.75" customHeight="1">
      <c r="A16" s="1055"/>
      <c r="B16" s="1055"/>
      <c r="C16" s="1164" t="s">
        <v>794</v>
      </c>
      <c r="D16" s="1108" t="s">
        <v>211</v>
      </c>
      <c r="E16" s="1095" t="s">
        <v>466</v>
      </c>
      <c r="F16" s="1165" t="s">
        <v>197</v>
      </c>
      <c r="G16" s="1165"/>
      <c r="H16" s="1165"/>
      <c r="I16" s="1133"/>
      <c r="J16" s="1133">
        <v>11112239.400000002</v>
      </c>
      <c r="K16" s="1134">
        <f t="shared" si="6"/>
        <v>11112239.400000002</v>
      </c>
      <c r="L16" s="1133"/>
      <c r="M16" s="1133">
        <f t="shared" si="7"/>
        <v>0</v>
      </c>
      <c r="N16" s="1134">
        <f t="shared" si="8"/>
        <v>11112239.400000002</v>
      </c>
      <c r="O16" s="1125">
        <v>11112239.400000002</v>
      </c>
      <c r="P16" s="1125">
        <v>11112239.400000002</v>
      </c>
      <c r="Q16" s="1125">
        <v>11112239.400000002</v>
      </c>
      <c r="R16" s="1125">
        <f t="shared" si="9"/>
        <v>0</v>
      </c>
      <c r="S16" s="1125"/>
      <c r="T16" s="1125"/>
      <c r="U16" s="1125"/>
      <c r="V16" s="1163" t="s">
        <v>236</v>
      </c>
      <c r="W16" s="1158" t="s">
        <v>1355</v>
      </c>
    </row>
    <row r="17" spans="1:23" s="1158" customFormat="1" ht="29.25" customHeight="1">
      <c r="A17" s="1055"/>
      <c r="B17" s="1055"/>
      <c r="C17" s="1164" t="s">
        <v>794</v>
      </c>
      <c r="D17" s="1108" t="s">
        <v>211</v>
      </c>
      <c r="E17" s="1095" t="s">
        <v>466</v>
      </c>
      <c r="F17" s="1165" t="s">
        <v>197</v>
      </c>
      <c r="G17" s="1165"/>
      <c r="H17" s="1165"/>
      <c r="I17" s="1133"/>
      <c r="J17" s="1133">
        <v>11112239.400000002</v>
      </c>
      <c r="K17" s="1134">
        <f t="shared" si="6"/>
        <v>11112239.400000002</v>
      </c>
      <c r="L17" s="1133"/>
      <c r="M17" s="1133">
        <f t="shared" si="7"/>
        <v>0</v>
      </c>
      <c r="N17" s="1134">
        <f t="shared" si="8"/>
        <v>11112239.400000002</v>
      </c>
      <c r="O17" s="1125">
        <v>11112239.400000002</v>
      </c>
      <c r="P17" s="1125">
        <v>11112239.400000002</v>
      </c>
      <c r="Q17" s="1125">
        <v>11112239.400000002</v>
      </c>
      <c r="R17" s="1125">
        <f t="shared" si="9"/>
        <v>0</v>
      </c>
      <c r="S17" s="1125"/>
      <c r="T17" s="1125"/>
      <c r="U17" s="1125"/>
      <c r="V17" s="1163" t="s">
        <v>236</v>
      </c>
      <c r="W17" s="1158" t="s">
        <v>1355</v>
      </c>
    </row>
    <row r="18" spans="1:23" s="1158" customFormat="1" ht="30" customHeight="1">
      <c r="A18" s="1055"/>
      <c r="B18" s="1055"/>
      <c r="C18" s="1164" t="s">
        <v>645</v>
      </c>
      <c r="D18" s="1108" t="s">
        <v>211</v>
      </c>
      <c r="E18" s="1095" t="s">
        <v>466</v>
      </c>
      <c r="F18" s="1165" t="s">
        <v>197</v>
      </c>
      <c r="G18" s="1165"/>
      <c r="H18" s="1165"/>
      <c r="I18" s="1133"/>
      <c r="J18" s="1133">
        <v>19805071.400000002</v>
      </c>
      <c r="K18" s="1134">
        <f t="shared" si="6"/>
        <v>19805071.400000002</v>
      </c>
      <c r="L18" s="1133"/>
      <c r="M18" s="1133">
        <f t="shared" si="7"/>
        <v>0</v>
      </c>
      <c r="N18" s="1134">
        <f t="shared" si="8"/>
        <v>19805071.400000002</v>
      </c>
      <c r="O18" s="1125">
        <v>19805071</v>
      </c>
      <c r="P18" s="1125">
        <v>19805071</v>
      </c>
      <c r="Q18" s="1125">
        <v>19805071</v>
      </c>
      <c r="R18" s="1125">
        <f t="shared" si="9"/>
        <v>0</v>
      </c>
      <c r="S18" s="1125"/>
      <c r="T18" s="1125"/>
      <c r="U18" s="1125"/>
      <c r="V18" s="1163" t="s">
        <v>236</v>
      </c>
      <c r="W18" s="1158" t="s">
        <v>1355</v>
      </c>
    </row>
    <row r="19" spans="1:23" s="1158" customFormat="1" ht="19.5" customHeight="1">
      <c r="A19" s="1055"/>
      <c r="B19" s="1055"/>
      <c r="C19" s="1108" t="s">
        <v>859</v>
      </c>
      <c r="D19" s="1108" t="s">
        <v>211</v>
      </c>
      <c r="E19" s="1095" t="s">
        <v>466</v>
      </c>
      <c r="F19" s="1165" t="s">
        <v>197</v>
      </c>
      <c r="G19" s="1165"/>
      <c r="H19" s="1165"/>
      <c r="I19" s="1133"/>
      <c r="J19" s="1133">
        <f>+(J20/2*4)+1706800</f>
        <v>5120400</v>
      </c>
      <c r="K19" s="1134">
        <f t="shared" si="6"/>
        <v>5120400</v>
      </c>
      <c r="L19" s="1133"/>
      <c r="M19" s="1133">
        <f t="shared" si="7"/>
        <v>0</v>
      </c>
      <c r="N19" s="1134">
        <f t="shared" si="8"/>
        <v>5120400</v>
      </c>
      <c r="O19" s="1125">
        <v>5120400</v>
      </c>
      <c r="P19" s="1125">
        <v>5120400</v>
      </c>
      <c r="Q19" s="1125">
        <v>5120400</v>
      </c>
      <c r="R19" s="1125">
        <f t="shared" si="9"/>
        <v>0</v>
      </c>
      <c r="S19" s="1125"/>
      <c r="T19" s="1125"/>
      <c r="U19" s="1125"/>
      <c r="V19" s="1163" t="s">
        <v>236</v>
      </c>
      <c r="W19" s="1158" t="s">
        <v>1355</v>
      </c>
    </row>
    <row r="20" spans="1:23" s="1158" customFormat="1" ht="36.75" customHeight="1">
      <c r="A20" s="1055"/>
      <c r="B20" s="1055"/>
      <c r="C20" s="1108" t="s">
        <v>859</v>
      </c>
      <c r="D20" s="1108" t="s">
        <v>211</v>
      </c>
      <c r="E20" s="1095" t="s">
        <v>466</v>
      </c>
      <c r="F20" s="1165" t="s">
        <v>197</v>
      </c>
      <c r="G20" s="1165"/>
      <c r="H20" s="1165"/>
      <c r="I20" s="1133"/>
      <c r="J20" s="1133">
        <f>4614685.2/3*2-1369656.8</f>
        <v>1706800.0000000002</v>
      </c>
      <c r="K20" s="1134">
        <f t="shared" si="6"/>
        <v>1706800.0000000002</v>
      </c>
      <c r="L20" s="1133"/>
      <c r="M20" s="1133">
        <f t="shared" si="7"/>
        <v>0</v>
      </c>
      <c r="N20" s="1134">
        <f t="shared" si="8"/>
        <v>1706800.0000000002</v>
      </c>
      <c r="O20" s="1125">
        <v>1706800.0000000002</v>
      </c>
      <c r="P20" s="1125">
        <v>1706800</v>
      </c>
      <c r="Q20" s="1125">
        <v>1706800</v>
      </c>
      <c r="R20" s="1125">
        <f t="shared" si="9"/>
        <v>0</v>
      </c>
      <c r="S20" s="1125"/>
      <c r="T20" s="1125"/>
      <c r="U20" s="1125"/>
      <c r="V20" s="1163" t="s">
        <v>236</v>
      </c>
      <c r="W20" s="1158" t="s">
        <v>1355</v>
      </c>
    </row>
    <row r="21" spans="1:23" s="1158" customFormat="1" ht="57.75" customHeight="1">
      <c r="A21" s="1055"/>
      <c r="B21" s="1055"/>
      <c r="C21" s="1167" t="s">
        <v>885</v>
      </c>
      <c r="D21" s="1108" t="s">
        <v>211</v>
      </c>
      <c r="E21" s="1095" t="s">
        <v>466</v>
      </c>
      <c r="F21" s="1165" t="s">
        <v>197</v>
      </c>
      <c r="G21" s="1165"/>
      <c r="H21" s="1165"/>
      <c r="I21" s="1133"/>
      <c r="J21" s="1133">
        <f>31594957+9425370.59999997</f>
        <v>41020327.599999972</v>
      </c>
      <c r="K21" s="1134">
        <f t="shared" si="6"/>
        <v>41020327.599999972</v>
      </c>
      <c r="L21" s="1133"/>
      <c r="M21" s="1133">
        <f t="shared" si="7"/>
        <v>0</v>
      </c>
      <c r="N21" s="1134">
        <f t="shared" si="8"/>
        <v>41020327.599999972</v>
      </c>
      <c r="O21" s="1125">
        <v>41020327.599999972</v>
      </c>
      <c r="P21" s="1125">
        <v>41020327.599999972</v>
      </c>
      <c r="Q21" s="1125">
        <v>41020327.599999972</v>
      </c>
      <c r="R21" s="1125">
        <f t="shared" si="9"/>
        <v>0</v>
      </c>
      <c r="S21" s="1125"/>
      <c r="T21" s="1125"/>
      <c r="U21" s="1125"/>
      <c r="V21" s="1163" t="s">
        <v>236</v>
      </c>
      <c r="W21" s="1158" t="s">
        <v>1355</v>
      </c>
    </row>
    <row r="22" spans="1:23" s="1158" customFormat="1" ht="33" customHeight="1">
      <c r="A22" s="1055"/>
      <c r="B22" s="1055"/>
      <c r="C22" s="1164" t="s">
        <v>883</v>
      </c>
      <c r="D22" s="1108" t="s">
        <v>211</v>
      </c>
      <c r="E22" s="1095" t="s">
        <v>466</v>
      </c>
      <c r="F22" s="1165" t="s">
        <v>197</v>
      </c>
      <c r="G22" s="1165"/>
      <c r="H22" s="1165"/>
      <c r="I22" s="1133"/>
      <c r="J22" s="1133">
        <v>22884121.800000001</v>
      </c>
      <c r="K22" s="1134">
        <f t="shared" si="6"/>
        <v>22884121.800000001</v>
      </c>
      <c r="L22" s="1133"/>
      <c r="M22" s="1133">
        <f t="shared" si="7"/>
        <v>0</v>
      </c>
      <c r="N22" s="1134">
        <f t="shared" si="8"/>
        <v>22884121.800000001</v>
      </c>
      <c r="O22" s="1125">
        <v>22884122</v>
      </c>
      <c r="P22" s="1125">
        <v>22884122</v>
      </c>
      <c r="Q22" s="1125">
        <v>22884122</v>
      </c>
      <c r="R22" s="1125">
        <f t="shared" si="9"/>
        <v>0</v>
      </c>
      <c r="S22" s="1125"/>
      <c r="T22" s="1125"/>
      <c r="U22" s="1125"/>
      <c r="V22" s="1163" t="s">
        <v>236</v>
      </c>
      <c r="W22" s="1158" t="s">
        <v>1355</v>
      </c>
    </row>
    <row r="23" spans="1:23" s="1158" customFormat="1" ht="25.5">
      <c r="A23" s="1055"/>
      <c r="B23" s="1055"/>
      <c r="C23" s="1166" t="s">
        <v>852</v>
      </c>
      <c r="D23" s="1108" t="s">
        <v>211</v>
      </c>
      <c r="E23" s="1095" t="s">
        <v>466</v>
      </c>
      <c r="F23" s="1165" t="s">
        <v>197</v>
      </c>
      <c r="G23" s="1165"/>
      <c r="H23" s="1165"/>
      <c r="I23" s="1133"/>
      <c r="J23" s="1133">
        <f>4000000*1.004</f>
        <v>4016000</v>
      </c>
      <c r="K23" s="1134">
        <f t="shared" si="6"/>
        <v>4016000</v>
      </c>
      <c r="L23" s="1133"/>
      <c r="M23" s="1133">
        <f t="shared" si="7"/>
        <v>0</v>
      </c>
      <c r="N23" s="1134">
        <f t="shared" si="8"/>
        <v>4016000</v>
      </c>
      <c r="O23" s="1125">
        <v>4016000</v>
      </c>
      <c r="P23" s="1125">
        <v>4016000</v>
      </c>
      <c r="Q23" s="1125">
        <v>4016000</v>
      </c>
      <c r="R23" s="1125">
        <f t="shared" si="9"/>
        <v>0</v>
      </c>
      <c r="S23" s="1125"/>
      <c r="T23" s="1125"/>
      <c r="U23" s="1125"/>
      <c r="V23" s="1163" t="s">
        <v>236</v>
      </c>
      <c r="W23" s="1158" t="s">
        <v>1355</v>
      </c>
    </row>
    <row r="24" spans="1:23" s="1158" customFormat="1" ht="23.25" customHeight="1">
      <c r="A24" s="1055"/>
      <c r="B24" s="1055"/>
      <c r="C24" s="1166" t="s">
        <v>888</v>
      </c>
      <c r="D24" s="1108" t="s">
        <v>211</v>
      </c>
      <c r="E24" s="1095" t="s">
        <v>466</v>
      </c>
      <c r="F24" s="1165" t="s">
        <v>197</v>
      </c>
      <c r="G24" s="1165"/>
      <c r="H24" s="1165"/>
      <c r="I24" s="1133"/>
      <c r="J24" s="1133">
        <v>11244800</v>
      </c>
      <c r="K24" s="1134">
        <f t="shared" si="6"/>
        <v>11244800</v>
      </c>
      <c r="L24" s="1133"/>
      <c r="M24" s="1133">
        <f t="shared" si="7"/>
        <v>0</v>
      </c>
      <c r="N24" s="1134">
        <f t="shared" si="8"/>
        <v>11244800</v>
      </c>
      <c r="O24" s="1168">
        <v>11244800</v>
      </c>
      <c r="P24" s="1125">
        <v>11244800</v>
      </c>
      <c r="Q24" s="1125">
        <v>11244800</v>
      </c>
      <c r="R24" s="1125">
        <f t="shared" si="9"/>
        <v>0</v>
      </c>
      <c r="S24" s="1125"/>
      <c r="T24" s="1125"/>
      <c r="U24" s="1125"/>
      <c r="V24" s="1163" t="s">
        <v>236</v>
      </c>
      <c r="W24" s="1158" t="s">
        <v>1355</v>
      </c>
    </row>
    <row r="25" spans="1:23" s="1158" customFormat="1" ht="36.75" customHeight="1">
      <c r="A25" s="1055"/>
      <c r="B25" s="1055"/>
      <c r="C25" s="1164" t="s">
        <v>801</v>
      </c>
      <c r="D25" s="1108" t="s">
        <v>211</v>
      </c>
      <c r="E25" s="1095" t="s">
        <v>466</v>
      </c>
      <c r="F25" s="1165" t="s">
        <v>197</v>
      </c>
      <c r="G25" s="1165"/>
      <c r="H25" s="1165"/>
      <c r="I25" s="1133"/>
      <c r="J25" s="1133">
        <v>9800495</v>
      </c>
      <c r="K25" s="1134">
        <f t="shared" si="6"/>
        <v>9800495</v>
      </c>
      <c r="L25" s="1133"/>
      <c r="M25" s="1133">
        <f t="shared" si="7"/>
        <v>0</v>
      </c>
      <c r="N25" s="1134">
        <f t="shared" si="8"/>
        <v>9800495</v>
      </c>
      <c r="O25" s="1125">
        <v>9800614.9519999996</v>
      </c>
      <c r="P25" s="1125">
        <v>9800495</v>
      </c>
      <c r="Q25" s="1125">
        <v>9800495</v>
      </c>
      <c r="R25" s="1125">
        <f t="shared" si="9"/>
        <v>119.95199999958277</v>
      </c>
      <c r="S25" s="1125"/>
      <c r="T25" s="1125">
        <v>119.95199999958277</v>
      </c>
      <c r="U25" s="1125"/>
      <c r="V25" s="1163" t="s">
        <v>236</v>
      </c>
      <c r="W25" s="1158" t="s">
        <v>1355</v>
      </c>
    </row>
    <row r="26" spans="1:23" s="1169" customFormat="1" ht="36.75" customHeight="1">
      <c r="A26" s="1055"/>
      <c r="B26" s="1055"/>
      <c r="C26" s="1170" t="s">
        <v>801</v>
      </c>
      <c r="D26" s="1106" t="s">
        <v>211</v>
      </c>
      <c r="E26" s="1089" t="s">
        <v>466</v>
      </c>
      <c r="F26" s="1171" t="s">
        <v>197</v>
      </c>
      <c r="G26" s="1171"/>
      <c r="H26" s="1171"/>
      <c r="I26" s="1172"/>
      <c r="J26" s="1172">
        <f>9800614.952-J25</f>
        <v>119.95199999958277</v>
      </c>
      <c r="K26" s="1173">
        <f t="shared" ref="K26" si="10">+I26+J26</f>
        <v>119.95199999958277</v>
      </c>
      <c r="L26" s="1172"/>
      <c r="M26" s="1172">
        <f t="shared" ref="M26" si="11">+L26</f>
        <v>0</v>
      </c>
      <c r="N26" s="1173">
        <f t="shared" ref="N26" si="12">+K26+M26</f>
        <v>119.95199999958277</v>
      </c>
      <c r="O26" s="1174">
        <v>9800614.9519999996</v>
      </c>
      <c r="P26" s="1174">
        <v>9800495</v>
      </c>
      <c r="Q26" s="1174">
        <v>9800495</v>
      </c>
      <c r="R26" s="1174">
        <f t="shared" ref="R26" si="13">+O26-P26</f>
        <v>119.95199999958277</v>
      </c>
      <c r="S26" s="1174"/>
      <c r="T26" s="1174">
        <v>119.95199999958277</v>
      </c>
      <c r="U26" s="1174"/>
      <c r="V26" s="1175" t="s">
        <v>236</v>
      </c>
      <c r="W26" s="1169" t="s">
        <v>1355</v>
      </c>
    </row>
    <row r="27" spans="1:23" s="1158" customFormat="1" ht="25.5">
      <c r="A27" s="1055"/>
      <c r="B27" s="1055"/>
      <c r="C27" s="1166" t="s">
        <v>855</v>
      </c>
      <c r="D27" s="1108" t="s">
        <v>211</v>
      </c>
      <c r="E27" s="1095" t="s">
        <v>466</v>
      </c>
      <c r="F27" s="1165" t="s">
        <v>197</v>
      </c>
      <c r="G27" s="1165"/>
      <c r="H27" s="1165"/>
      <c r="I27" s="1133"/>
      <c r="J27" s="1133">
        <v>16635729.808000028</v>
      </c>
      <c r="K27" s="1134">
        <f t="shared" si="6"/>
        <v>16635729.808000028</v>
      </c>
      <c r="L27" s="1133"/>
      <c r="M27" s="1133">
        <f t="shared" si="7"/>
        <v>0</v>
      </c>
      <c r="N27" s="1134">
        <f t="shared" si="8"/>
        <v>16635729.808000028</v>
      </c>
      <c r="O27" s="1125">
        <v>16635729.808000028</v>
      </c>
      <c r="P27" s="1125">
        <v>16635729.808000028</v>
      </c>
      <c r="Q27" s="1125">
        <v>16635729.808000028</v>
      </c>
      <c r="R27" s="1125">
        <f t="shared" si="9"/>
        <v>0</v>
      </c>
      <c r="S27" s="1125"/>
      <c r="T27" s="1125"/>
      <c r="U27" s="1125"/>
      <c r="V27" s="1163" t="s">
        <v>236</v>
      </c>
      <c r="W27" s="1158" t="s">
        <v>1355</v>
      </c>
    </row>
    <row r="28" spans="1:23" s="1158" customFormat="1" ht="27.75" customHeight="1">
      <c r="A28" s="1055"/>
      <c r="B28" s="1055"/>
      <c r="C28" s="1166" t="s">
        <v>887</v>
      </c>
      <c r="D28" s="1108" t="s">
        <v>211</v>
      </c>
      <c r="E28" s="1095" t="s">
        <v>466</v>
      </c>
      <c r="F28" s="1165" t="s">
        <v>197</v>
      </c>
      <c r="G28" s="1165"/>
      <c r="H28" s="1165"/>
      <c r="I28" s="1133"/>
      <c r="J28" s="1133">
        <v>3880711</v>
      </c>
      <c r="K28" s="1134">
        <f t="shared" si="6"/>
        <v>3880711</v>
      </c>
      <c r="L28" s="1133"/>
      <c r="M28" s="1133">
        <f t="shared" si="7"/>
        <v>0</v>
      </c>
      <c r="N28" s="1134">
        <f t="shared" si="8"/>
        <v>3880711</v>
      </c>
      <c r="O28" s="1168">
        <v>3880711</v>
      </c>
      <c r="P28" s="1125">
        <v>3880711</v>
      </c>
      <c r="Q28" s="1125">
        <v>3880711</v>
      </c>
      <c r="R28" s="1125">
        <f t="shared" si="9"/>
        <v>0</v>
      </c>
      <c r="S28" s="1125"/>
      <c r="T28" s="1125"/>
      <c r="U28" s="1125"/>
      <c r="V28" s="1163" t="s">
        <v>236</v>
      </c>
      <c r="W28" s="1158" t="s">
        <v>1355</v>
      </c>
    </row>
    <row r="29" spans="1:23" s="1158" customFormat="1" ht="15">
      <c r="A29" s="1055"/>
      <c r="B29" s="1055"/>
      <c r="C29" s="1121" t="s">
        <v>986</v>
      </c>
      <c r="D29" s="1177" t="s">
        <v>381</v>
      </c>
      <c r="E29" s="1098">
        <v>64112</v>
      </c>
      <c r="F29" s="1178"/>
      <c r="G29" s="1178"/>
      <c r="H29" s="1178"/>
      <c r="I29" s="1179"/>
      <c r="J29" s="1179">
        <f>45000000+35000000</f>
        <v>80000000</v>
      </c>
      <c r="K29" s="1180">
        <f>SUM(I29:J29)</f>
        <v>80000000</v>
      </c>
      <c r="L29" s="1179">
        <f>35000000-35000000</f>
        <v>0</v>
      </c>
      <c r="M29" s="1179"/>
      <c r="N29" s="1181">
        <f t="shared" ref="N29:N31" si="14">+K29+M29</f>
        <v>80000000</v>
      </c>
      <c r="O29" s="1125">
        <v>80000000</v>
      </c>
      <c r="P29" s="1125">
        <v>80000000</v>
      </c>
      <c r="Q29" s="1125">
        <v>80000000</v>
      </c>
      <c r="R29" s="1125">
        <f t="shared" ref="R29" si="15">+O29-P29</f>
        <v>0</v>
      </c>
      <c r="S29" s="1125"/>
      <c r="T29" s="1125"/>
      <c r="U29" s="1125"/>
      <c r="V29" s="1163" t="s">
        <v>1357</v>
      </c>
      <c r="W29" s="1158" t="s">
        <v>986</v>
      </c>
    </row>
    <row r="30" spans="1:23" s="1158" customFormat="1" ht="15">
      <c r="A30" s="1055"/>
      <c r="B30" s="1055"/>
      <c r="C30" s="1121" t="s">
        <v>204</v>
      </c>
      <c r="D30" s="1177"/>
      <c r="E30" s="1098"/>
      <c r="F30" s="1178"/>
      <c r="G30" s="1178"/>
      <c r="H30" s="1178"/>
      <c r="I30" s="1179"/>
      <c r="J30" s="1179">
        <v>20804903.457022648</v>
      </c>
      <c r="K30" s="1180">
        <f t="shared" ref="K30:K31" si="16">SUM(I30:J30)</f>
        <v>20804903.457022648</v>
      </c>
      <c r="L30" s="1179"/>
      <c r="M30" s="1179"/>
      <c r="N30" s="1181">
        <f t="shared" si="14"/>
        <v>20804903.457022648</v>
      </c>
      <c r="O30" s="1125"/>
      <c r="P30" s="1125"/>
      <c r="Q30" s="1125"/>
      <c r="R30" s="1125"/>
      <c r="S30" s="1125"/>
      <c r="T30" s="1125"/>
      <c r="U30" s="1125"/>
      <c r="V30" s="1163"/>
    </row>
    <row r="31" spans="1:23" s="1169" customFormat="1" ht="15.75" thickBot="1">
      <c r="A31" s="1055"/>
      <c r="B31" s="1055"/>
      <c r="C31" s="1120" t="s">
        <v>204</v>
      </c>
      <c r="D31" s="1337"/>
      <c r="E31" s="1279"/>
      <c r="F31" s="1338"/>
      <c r="G31" s="1338"/>
      <c r="H31" s="1338"/>
      <c r="I31" s="1339"/>
      <c r="J31" s="1339">
        <f>111713719-J30</f>
        <v>90908815.542977348</v>
      </c>
      <c r="K31" s="1281">
        <f t="shared" si="16"/>
        <v>90908815.542977348</v>
      </c>
      <c r="L31" s="1339"/>
      <c r="M31" s="1339"/>
      <c r="N31" s="1340">
        <f t="shared" si="14"/>
        <v>90908815.542977348</v>
      </c>
      <c r="O31" s="1174"/>
      <c r="P31" s="1174"/>
      <c r="Q31" s="1174"/>
      <c r="R31" s="1174"/>
      <c r="S31" s="1174"/>
      <c r="T31" s="1174"/>
      <c r="U31" s="1174"/>
      <c r="V31" s="1175"/>
    </row>
    <row r="32" spans="1:23" ht="27" customHeight="1" thickBot="1">
      <c r="A32" s="152"/>
      <c r="B32" s="487" t="s">
        <v>1501</v>
      </c>
      <c r="C32" s="397" t="s">
        <v>984</v>
      </c>
      <c r="D32" s="398"/>
      <c r="E32" s="398"/>
      <c r="F32" s="399" t="s">
        <v>1106</v>
      </c>
      <c r="G32" s="399">
        <v>1</v>
      </c>
      <c r="H32" s="399"/>
      <c r="I32" s="475">
        <f t="shared" ref="I32:N32" si="17">+I33</f>
        <v>0</v>
      </c>
      <c r="J32" s="475">
        <f t="shared" si="17"/>
        <v>0</v>
      </c>
      <c r="K32" s="475">
        <f t="shared" si="17"/>
        <v>0</v>
      </c>
      <c r="L32" s="475">
        <f t="shared" si="17"/>
        <v>50000000</v>
      </c>
      <c r="M32" s="475">
        <f t="shared" si="17"/>
        <v>50000000</v>
      </c>
      <c r="N32" s="476">
        <f t="shared" si="17"/>
        <v>50000000</v>
      </c>
      <c r="O32" s="292"/>
      <c r="P32" s="292"/>
      <c r="Q32" s="292"/>
      <c r="R32" s="292">
        <f t="shared" si="9"/>
        <v>0</v>
      </c>
      <c r="S32" s="292"/>
      <c r="T32" s="292"/>
      <c r="U32" s="292"/>
    </row>
    <row r="33" spans="1:23" s="1169" customFormat="1" ht="15.75" thickBot="1">
      <c r="A33" s="1055"/>
      <c r="B33" s="1055"/>
      <c r="C33" s="1254" t="s">
        <v>905</v>
      </c>
      <c r="D33" s="1255" t="s">
        <v>211</v>
      </c>
      <c r="E33" s="1256"/>
      <c r="F33" s="1257"/>
      <c r="G33" s="1257"/>
      <c r="H33" s="1257"/>
      <c r="I33" s="1258"/>
      <c r="J33" s="1258"/>
      <c r="K33" s="1259">
        <f>+I33+J33</f>
        <v>0</v>
      </c>
      <c r="L33" s="1258">
        <v>50000000</v>
      </c>
      <c r="M33" s="1258">
        <f t="shared" si="7"/>
        <v>50000000</v>
      </c>
      <c r="N33" s="1260">
        <f>+K33+M33</f>
        <v>50000000</v>
      </c>
      <c r="O33" s="1174">
        <v>50000000</v>
      </c>
      <c r="P33" s="1174"/>
      <c r="Q33" s="1174"/>
      <c r="R33" s="1174">
        <f t="shared" si="9"/>
        <v>50000000</v>
      </c>
      <c r="S33" s="1174"/>
      <c r="T33" s="1174"/>
      <c r="U33" s="1174">
        <v>50000000</v>
      </c>
      <c r="V33" s="1175" t="s">
        <v>236</v>
      </c>
      <c r="W33" s="1169" t="s">
        <v>1356</v>
      </c>
    </row>
    <row r="34" spans="1:23" ht="25.5" customHeight="1" thickBot="1">
      <c r="A34" s="1055"/>
      <c r="B34" s="1055"/>
      <c r="C34" s="2278" t="s">
        <v>10</v>
      </c>
      <c r="D34" s="2279"/>
      <c r="E34" s="2279"/>
      <c r="F34" s="2279"/>
      <c r="G34" s="2358"/>
      <c r="H34" s="468"/>
      <c r="I34" s="469">
        <f t="shared" ref="I34:N34" si="18">+I10</f>
        <v>1890786900.27</v>
      </c>
      <c r="J34" s="469">
        <f t="shared" si="18"/>
        <v>361165013.75999999</v>
      </c>
      <c r="K34" s="469">
        <f t="shared" si="18"/>
        <v>2251951914.0299997</v>
      </c>
      <c r="L34" s="469">
        <f t="shared" si="18"/>
        <v>50000000</v>
      </c>
      <c r="M34" s="469">
        <f t="shared" si="18"/>
        <v>50000000</v>
      </c>
      <c r="N34" s="470">
        <f t="shared" si="18"/>
        <v>2301951914.0299997</v>
      </c>
      <c r="O34" s="292"/>
      <c r="P34" s="292"/>
      <c r="Q34" s="292"/>
      <c r="R34" s="292"/>
      <c r="S34" s="292"/>
      <c r="T34" s="292"/>
      <c r="U34" s="292"/>
    </row>
    <row r="35" spans="1:23" ht="13.5" thickBot="1">
      <c r="B35" s="1892"/>
      <c r="K35" s="336"/>
      <c r="L35" s="471"/>
      <c r="M35" s="471"/>
      <c r="N35" s="336"/>
      <c r="O35" s="292"/>
      <c r="P35" s="292"/>
      <c r="Q35" s="292"/>
      <c r="R35" s="292"/>
      <c r="S35" s="292"/>
      <c r="T35" s="292"/>
      <c r="U35" s="292"/>
    </row>
    <row r="36" spans="1:23" ht="13.5" thickBot="1">
      <c r="B36" s="1892"/>
      <c r="I36" s="472">
        <v>1890786900.27</v>
      </c>
      <c r="J36" s="472">
        <v>361165013.75999999</v>
      </c>
      <c r="K36" s="472">
        <v>2251951914.0299997</v>
      </c>
      <c r="L36" s="472">
        <v>50000000</v>
      </c>
      <c r="M36" s="472">
        <v>50000000</v>
      </c>
      <c r="N36" s="472">
        <v>2301951914.0299997</v>
      </c>
      <c r="O36" s="292"/>
      <c r="P36" s="292"/>
      <c r="Q36" s="292"/>
      <c r="R36" s="1033">
        <f>SUM(R10:R35)</f>
        <v>50000239.903999999</v>
      </c>
      <c r="S36" s="1033">
        <f>SUM(S10:S35)</f>
        <v>0</v>
      </c>
      <c r="T36" s="1033">
        <f>SUM(T10:T35)</f>
        <v>239.90399999916553</v>
      </c>
      <c r="U36" s="1033">
        <f>SUM(U10:U35)</f>
        <v>50000000</v>
      </c>
      <c r="V36" s="1">
        <f>SUM(V11:V35)</f>
        <v>0</v>
      </c>
    </row>
    <row r="37" spans="1:23">
      <c r="N37" s="98"/>
      <c r="O37" s="292"/>
      <c r="P37" s="292"/>
      <c r="Q37" s="292"/>
      <c r="R37" s="292"/>
      <c r="S37" s="292"/>
      <c r="T37" s="292"/>
      <c r="U37" s="292"/>
    </row>
    <row r="38" spans="1:23">
      <c r="E38" s="292"/>
      <c r="I38" s="177">
        <f t="shared" ref="I38:N38" si="19">+I36-I34</f>
        <v>0</v>
      </c>
      <c r="J38" s="177">
        <f t="shared" si="19"/>
        <v>0</v>
      </c>
      <c r="K38" s="177">
        <f t="shared" si="19"/>
        <v>0</v>
      </c>
      <c r="L38" s="177">
        <f t="shared" si="19"/>
        <v>0</v>
      </c>
      <c r="M38" s="177">
        <f t="shared" si="19"/>
        <v>0</v>
      </c>
      <c r="N38" s="177">
        <f t="shared" si="19"/>
        <v>0</v>
      </c>
      <c r="O38" s="292"/>
      <c r="P38" s="292"/>
      <c r="Q38" s="292"/>
      <c r="R38" s="292"/>
      <c r="S38" s="292"/>
      <c r="T38" s="292"/>
      <c r="U38" s="292"/>
    </row>
    <row r="40" spans="1:23">
      <c r="N40" s="292">
        <f>SUBTOTAL(9,N15:N31)</f>
        <v>361165013.75999999</v>
      </c>
      <c r="O40" s="1" t="s">
        <v>1382</v>
      </c>
    </row>
    <row r="41" spans="1:23">
      <c r="N41" s="292"/>
      <c r="O41" s="292"/>
    </row>
  </sheetData>
  <autoFilter ref="A9:W34"/>
  <mergeCells count="27">
    <mergeCell ref="C34:G34"/>
    <mergeCell ref="I8:I9"/>
    <mergeCell ref="J8:J9"/>
    <mergeCell ref="I7:J7"/>
    <mergeCell ref="K7:K9"/>
    <mergeCell ref="C7:C9"/>
    <mergeCell ref="D7:D9"/>
    <mergeCell ref="F7:F9"/>
    <mergeCell ref="G7:G9"/>
    <mergeCell ref="E7:E9"/>
    <mergeCell ref="A7:A9"/>
    <mergeCell ref="B7:B9"/>
    <mergeCell ref="C1:C3"/>
    <mergeCell ref="D1:K3"/>
    <mergeCell ref="C5:N5"/>
    <mergeCell ref="C6:N6"/>
    <mergeCell ref="L8:L9"/>
    <mergeCell ref="N7:N9"/>
    <mergeCell ref="M7:M9"/>
    <mergeCell ref="V7:W7"/>
    <mergeCell ref="L1:N1"/>
    <mergeCell ref="L2:N2"/>
    <mergeCell ref="L3:N3"/>
    <mergeCell ref="H7:H9"/>
    <mergeCell ref="R7:R8"/>
    <mergeCell ref="S7:U7"/>
    <mergeCell ref="S8:T8"/>
  </mergeCells>
  <pageMargins left="0.7" right="0.7" top="0.75" bottom="0.75" header="0.3" footer="0.3"/>
  <pageSetup orientation="portrait" verticalDpi="597"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tint="-4.9989318521683403E-2"/>
  </sheetPr>
  <dimension ref="A1:J22"/>
  <sheetViews>
    <sheetView workbookViewId="0">
      <selection activeCell="D41" sqref="D41"/>
    </sheetView>
  </sheetViews>
  <sheetFormatPr baseColWidth="10" defaultRowHeight="15"/>
  <cols>
    <col min="1" max="1" width="11.42578125" customWidth="1"/>
    <col min="2" max="2" width="41.85546875" customWidth="1"/>
    <col min="3" max="4" width="15.7109375" customWidth="1"/>
    <col min="5" max="5" width="16.140625" customWidth="1"/>
    <col min="6" max="7" width="15.7109375" customWidth="1"/>
    <col min="8" max="8" width="16" customWidth="1"/>
    <col min="9" max="9" width="15.42578125" customWidth="1"/>
    <col min="10" max="10" width="14.42578125" customWidth="1"/>
  </cols>
  <sheetData>
    <row r="1" spans="1:10" s="1" customFormat="1" ht="15" customHeight="1">
      <c r="A1"/>
      <c r="B1" s="2201"/>
      <c r="C1" s="2185" t="s">
        <v>367</v>
      </c>
      <c r="D1" s="2186"/>
      <c r="E1" s="2186"/>
      <c r="F1" s="2186"/>
      <c r="G1" s="2186"/>
      <c r="H1" s="2187"/>
      <c r="I1" s="2362" t="s">
        <v>980</v>
      </c>
      <c r="J1" s="2363"/>
    </row>
    <row r="2" spans="1:10" s="1" customFormat="1" ht="12.75" customHeight="1">
      <c r="A2"/>
      <c r="B2" s="2202"/>
      <c r="C2" s="2188"/>
      <c r="D2" s="2189"/>
      <c r="E2" s="2189"/>
      <c r="F2" s="2189"/>
      <c r="G2" s="2189"/>
      <c r="H2" s="2190"/>
      <c r="I2" s="2364" t="s">
        <v>365</v>
      </c>
      <c r="J2" s="2365"/>
    </row>
    <row r="3" spans="1:10" ht="15.75" customHeight="1" thickBot="1">
      <c r="B3" s="2203"/>
      <c r="C3" s="2191"/>
      <c r="D3" s="2192"/>
      <c r="E3" s="2192"/>
      <c r="F3" s="2192"/>
      <c r="G3" s="2192"/>
      <c r="H3" s="2193"/>
      <c r="I3" s="2366" t="s">
        <v>366</v>
      </c>
      <c r="J3" s="2367"/>
    </row>
    <row r="4" spans="1:10" ht="8.25" customHeight="1" thickBot="1">
      <c r="D4" s="99"/>
      <c r="E4" s="99"/>
      <c r="F4" s="99"/>
      <c r="G4" s="99"/>
      <c r="H4" s="97"/>
    </row>
    <row r="5" spans="1:10" ht="15.75" thickBot="1">
      <c r="B5" s="2278" t="s">
        <v>183</v>
      </c>
      <c r="C5" s="2279"/>
      <c r="D5" s="2279"/>
      <c r="E5" s="2279"/>
      <c r="F5" s="2279"/>
      <c r="G5" s="2279"/>
      <c r="H5" s="2279"/>
      <c r="I5" s="2279"/>
      <c r="J5" s="2279"/>
    </row>
    <row r="6" spans="1:10" ht="15.75" thickBot="1">
      <c r="B6" s="2145" t="s">
        <v>1399</v>
      </c>
      <c r="C6" s="2146"/>
      <c r="D6" s="2146"/>
      <c r="E6" s="2146"/>
      <c r="F6" s="2146"/>
      <c r="G6" s="2146"/>
      <c r="H6" s="2146"/>
      <c r="I6" s="2146"/>
      <c r="J6" s="2146"/>
    </row>
    <row r="7" spans="1:10" ht="24.75" customHeight="1" thickBot="1">
      <c r="A7" s="2135" t="s">
        <v>278</v>
      </c>
      <c r="B7" s="2159" t="s">
        <v>188</v>
      </c>
      <c r="C7" s="2159">
        <v>2024</v>
      </c>
      <c r="D7" s="2159"/>
      <c r="E7" s="2159"/>
      <c r="F7" s="2159"/>
      <c r="G7" s="2159"/>
      <c r="H7" s="2159"/>
      <c r="I7" s="199" t="s">
        <v>527</v>
      </c>
      <c r="J7" s="2135" t="s">
        <v>909</v>
      </c>
    </row>
    <row r="8" spans="1:10" ht="15.75" thickBot="1">
      <c r="A8" s="2135"/>
      <c r="B8" s="2159"/>
      <c r="C8" s="2159" t="s">
        <v>190</v>
      </c>
      <c r="D8" s="2159" t="s">
        <v>191</v>
      </c>
      <c r="E8" s="2159" t="s">
        <v>189</v>
      </c>
      <c r="F8" s="2159"/>
      <c r="G8" s="193"/>
      <c r="H8" s="2209" t="s">
        <v>965</v>
      </c>
      <c r="I8" s="2159" t="s">
        <v>208</v>
      </c>
      <c r="J8" s="2135"/>
    </row>
    <row r="9" spans="1:10" ht="15.75" thickBot="1">
      <c r="A9" s="2210"/>
      <c r="B9" s="2159"/>
      <c r="C9" s="2159"/>
      <c r="D9" s="2159"/>
      <c r="E9" s="193" t="s">
        <v>208</v>
      </c>
      <c r="F9" s="193" t="s">
        <v>192</v>
      </c>
      <c r="G9" s="193" t="s">
        <v>193</v>
      </c>
      <c r="H9" s="2209"/>
      <c r="I9" s="2200"/>
      <c r="J9" s="2210"/>
    </row>
    <row r="10" spans="1:10" ht="30.75" customHeight="1" thickBot="1">
      <c r="A10" s="94">
        <v>3205022</v>
      </c>
      <c r="B10" s="1860" t="s">
        <v>1419</v>
      </c>
      <c r="C10" s="1848" t="s">
        <v>1098</v>
      </c>
      <c r="D10" s="1848">
        <v>100</v>
      </c>
      <c r="E10" s="1848">
        <f>SUM(E11:E12)</f>
        <v>368993230.54850698</v>
      </c>
      <c r="F10" s="1848">
        <f t="shared" ref="F10:J10" si="0">SUM(F11:F12)</f>
        <v>250000000</v>
      </c>
      <c r="G10" s="1848">
        <f t="shared" si="0"/>
        <v>50000000</v>
      </c>
      <c r="H10" s="1848">
        <f t="shared" si="0"/>
        <v>668993230.54850698</v>
      </c>
      <c r="I10" s="1848">
        <f t="shared" si="0"/>
        <v>50000000</v>
      </c>
      <c r="J10" s="1848">
        <f t="shared" si="0"/>
        <v>718993230.54850698</v>
      </c>
    </row>
    <row r="11" spans="1:10" ht="36">
      <c r="A11" s="9"/>
      <c r="B11" s="791" t="s">
        <v>979</v>
      </c>
      <c r="C11" s="783" t="s">
        <v>1107</v>
      </c>
      <c r="D11" s="784">
        <v>1</v>
      </c>
      <c r="E11" s="792">
        <f>+'ACCIONES 320503'!I11</f>
        <v>30000000</v>
      </c>
      <c r="F11" s="792">
        <f>+'ACCIONES 320503'!J11</f>
        <v>0</v>
      </c>
      <c r="G11" s="792">
        <f>+'ACCIONES 320503'!K11</f>
        <v>0</v>
      </c>
      <c r="H11" s="792">
        <f>+'ACCIONES 320503'!L11</f>
        <v>30000000</v>
      </c>
      <c r="I11" s="792">
        <f>+'ACCIONES 320503'!M11</f>
        <v>0</v>
      </c>
      <c r="J11" s="792">
        <f>+'ACCIONES 320503'!N11</f>
        <v>30000000</v>
      </c>
    </row>
    <row r="12" spans="1:10" ht="36.75" thickBot="1">
      <c r="A12" s="9"/>
      <c r="B12" s="173" t="s">
        <v>977</v>
      </c>
      <c r="C12" s="784" t="s">
        <v>1107</v>
      </c>
      <c r="D12" s="784">
        <v>25</v>
      </c>
      <c r="E12" s="519">
        <f>+'ACCIONES 320503'!I13</f>
        <v>338993230.54850698</v>
      </c>
      <c r="F12" s="519">
        <f>+'ACCIONES 320503'!J13</f>
        <v>250000000</v>
      </c>
      <c r="G12" s="519">
        <f>+'ACCIONES 320503'!K13</f>
        <v>50000000</v>
      </c>
      <c r="H12" s="519">
        <f>+'ACCIONES 320503'!L13</f>
        <v>638993230.54850698</v>
      </c>
      <c r="I12" s="519">
        <f>+'ACCIONES 320503'!M13</f>
        <v>50000000</v>
      </c>
      <c r="J12" s="519">
        <f>+'ACCIONES 320503'!N13</f>
        <v>688993230.54850698</v>
      </c>
    </row>
    <row r="13" spans="1:10" s="9" customFormat="1" ht="15" customHeight="1" thickBot="1">
      <c r="A13" s="31"/>
      <c r="B13" s="2359" t="s">
        <v>205</v>
      </c>
      <c r="C13" s="2360"/>
      <c r="D13" s="2361"/>
      <c r="E13" s="520">
        <f>E10</f>
        <v>368993230.54850698</v>
      </c>
      <c r="F13" s="520">
        <f t="shared" ref="F13:J13" si="1">F10</f>
        <v>250000000</v>
      </c>
      <c r="G13" s="520">
        <f t="shared" si="1"/>
        <v>50000000</v>
      </c>
      <c r="H13" s="520">
        <f t="shared" si="1"/>
        <v>668993230.54850698</v>
      </c>
      <c r="I13" s="520">
        <f t="shared" si="1"/>
        <v>50000000</v>
      </c>
      <c r="J13" s="520">
        <f t="shared" si="1"/>
        <v>718993230.54850698</v>
      </c>
    </row>
    <row r="14" spans="1:10" s="9" customFormat="1" ht="15.75" thickBot="1">
      <c r="A14"/>
      <c r="B14"/>
      <c r="C14"/>
      <c r="D14"/>
      <c r="E14" s="97"/>
      <c r="F14" s="97"/>
      <c r="G14" s="97"/>
      <c r="H14" s="97"/>
      <c r="I14" s="989"/>
      <c r="J14" s="989"/>
    </row>
    <row r="15" spans="1:10" s="9" customFormat="1" ht="15.75" thickBot="1">
      <c r="A15"/>
      <c r="B15"/>
      <c r="C15"/>
      <c r="D15"/>
      <c r="E15" s="983">
        <v>368993230.5485065</v>
      </c>
      <c r="F15" s="990">
        <v>250000000</v>
      </c>
      <c r="G15" s="990">
        <v>50000000</v>
      </c>
      <c r="H15" s="984">
        <v>668993230.5485065</v>
      </c>
      <c r="I15" s="983">
        <v>50000000</v>
      </c>
      <c r="J15" s="984">
        <f>668993230.548506+50000000</f>
        <v>718993230.54850602</v>
      </c>
    </row>
    <row r="16" spans="1:10" s="9" customFormat="1">
      <c r="A16"/>
      <c r="B16"/>
      <c r="C16"/>
      <c r="D16"/>
      <c r="E16" s="97"/>
      <c r="F16" s="97"/>
      <c r="G16" s="97"/>
      <c r="H16" s="97"/>
      <c r="I16" s="989"/>
      <c r="J16" s="989"/>
    </row>
    <row r="17" spans="1:10" s="9" customFormat="1" ht="19.5" customHeight="1">
      <c r="A17"/>
      <c r="B17"/>
      <c r="C17"/>
      <c r="D17"/>
      <c r="E17" s="991">
        <f t="shared" ref="E17:J17" si="2">+E15-E13</f>
        <v>-4.76837158203125E-7</v>
      </c>
      <c r="F17" s="991">
        <f t="shared" si="2"/>
        <v>0</v>
      </c>
      <c r="G17" s="991">
        <f t="shared" si="2"/>
        <v>0</v>
      </c>
      <c r="H17" s="991">
        <f t="shared" si="2"/>
        <v>0</v>
      </c>
      <c r="I17" s="991">
        <f t="shared" si="2"/>
        <v>0</v>
      </c>
      <c r="J17" s="991">
        <f t="shared" si="2"/>
        <v>-9.5367431640625E-7</v>
      </c>
    </row>
    <row r="18" spans="1:10" s="9" customFormat="1">
      <c r="H18" s="129"/>
    </row>
    <row r="22" spans="1:10">
      <c r="H22" s="15"/>
    </row>
  </sheetData>
  <mergeCells count="17">
    <mergeCell ref="I1:J1"/>
    <mergeCell ref="I2:J2"/>
    <mergeCell ref="I3:J3"/>
    <mergeCell ref="C1:H3"/>
    <mergeCell ref="B5:J5"/>
    <mergeCell ref="B1:B3"/>
    <mergeCell ref="B6:J6"/>
    <mergeCell ref="A7:A9"/>
    <mergeCell ref="B13:D13"/>
    <mergeCell ref="B7:B9"/>
    <mergeCell ref="C7:H7"/>
    <mergeCell ref="C8:C9"/>
    <mergeCell ref="D8:D9"/>
    <mergeCell ref="H8:H9"/>
    <mergeCell ref="E8:F8"/>
    <mergeCell ref="J7:J9"/>
    <mergeCell ref="I8:I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3">
    <tabColor theme="0" tint="-4.9989318521683403E-2"/>
  </sheetPr>
  <dimension ref="A1:X43"/>
  <sheetViews>
    <sheetView zoomScale="80" zoomScaleNormal="80" workbookViewId="0">
      <pane xSplit="8" ySplit="9" topLeftCell="I10" activePane="bottomRight" state="frozen"/>
      <selection activeCell="F55" sqref="F55"/>
      <selection pane="topRight" activeCell="F55" sqref="F55"/>
      <selection pane="bottomLeft" activeCell="F55" sqref="F55"/>
      <selection pane="bottomRight" activeCell="N17" sqref="N17"/>
    </sheetView>
  </sheetViews>
  <sheetFormatPr baseColWidth="10" defaultColWidth="11.42578125" defaultRowHeight="12.75"/>
  <cols>
    <col min="1" max="1" width="5" style="1842" customWidth="1"/>
    <col min="2" max="2" width="6" style="1842" customWidth="1"/>
    <col min="3" max="3" width="40.28515625" style="1" customWidth="1"/>
    <col min="4" max="4" width="16.42578125" style="1" customWidth="1"/>
    <col min="5" max="5" width="12.140625" style="1" customWidth="1"/>
    <col min="6" max="6" width="7.140625" style="96" customWidth="1"/>
    <col min="7" max="7" width="10.140625" style="96" customWidth="1"/>
    <col min="8" max="8" width="13.5703125" style="96" customWidth="1"/>
    <col min="9" max="9" width="15.7109375" style="96" customWidth="1"/>
    <col min="10" max="10" width="14.85546875" style="96" customWidth="1"/>
    <col min="11" max="11" width="14" style="96" customWidth="1"/>
    <col min="12" max="12" width="16.85546875" style="98" customWidth="1"/>
    <col min="13" max="13" width="13.140625" style="1" customWidth="1"/>
    <col min="14" max="14" width="17.7109375" style="1" customWidth="1"/>
    <col min="15" max="15" width="15.140625" style="1" customWidth="1"/>
    <col min="16" max="16" width="14.28515625" style="1" bestFit="1" customWidth="1"/>
    <col min="17" max="17" width="14.42578125" style="1" customWidth="1"/>
    <col min="18" max="18" width="15.28515625" style="1" bestFit="1" customWidth="1"/>
    <col min="19" max="20" width="12.7109375" style="1" bestFit="1" customWidth="1"/>
    <col min="21" max="21" width="11.42578125" style="1"/>
    <col min="22" max="22" width="17" style="1" customWidth="1"/>
    <col min="23" max="16384" width="11.42578125" style="1"/>
  </cols>
  <sheetData>
    <row r="1" spans="1:24" ht="15" customHeight="1">
      <c r="C1" s="2151"/>
      <c r="D1" s="2163" t="s">
        <v>367</v>
      </c>
      <c r="E1" s="2164"/>
      <c r="F1" s="2164"/>
      <c r="G1" s="2164"/>
      <c r="H1" s="2164"/>
      <c r="I1" s="2164"/>
      <c r="J1" s="2164"/>
      <c r="K1" s="2164"/>
      <c r="L1" s="2164"/>
      <c r="M1" s="2164"/>
      <c r="N1" s="433" t="s">
        <v>364</v>
      </c>
    </row>
    <row r="2" spans="1:24">
      <c r="C2" s="2152"/>
      <c r="D2" s="2166"/>
      <c r="E2" s="2167"/>
      <c r="F2" s="2167"/>
      <c r="G2" s="2167"/>
      <c r="H2" s="2167"/>
      <c r="I2" s="2167"/>
      <c r="J2" s="2167"/>
      <c r="K2" s="2167"/>
      <c r="L2" s="2167"/>
      <c r="M2" s="2167"/>
      <c r="N2" s="434" t="s">
        <v>365</v>
      </c>
    </row>
    <row r="3" spans="1:24" ht="15.75" customHeight="1" thickBot="1">
      <c r="C3" s="2153"/>
      <c r="D3" s="2169"/>
      <c r="E3" s="2170"/>
      <c r="F3" s="2170"/>
      <c r="G3" s="2170"/>
      <c r="H3" s="2170"/>
      <c r="I3" s="2170"/>
      <c r="J3" s="2170"/>
      <c r="K3" s="2170"/>
      <c r="L3" s="2170"/>
      <c r="M3" s="2170"/>
      <c r="N3" s="435" t="s">
        <v>366</v>
      </c>
    </row>
    <row r="4" spans="1:24" ht="7.5" customHeight="1" thickBot="1"/>
    <row r="5" spans="1:24" ht="15.75" customHeight="1" thickBot="1">
      <c r="C5" s="2278" t="s">
        <v>183</v>
      </c>
      <c r="D5" s="2279"/>
      <c r="E5" s="2279"/>
      <c r="F5" s="2279"/>
      <c r="G5" s="2279"/>
      <c r="H5" s="2279"/>
      <c r="I5" s="2279"/>
      <c r="J5" s="2279"/>
      <c r="K5" s="2279"/>
      <c r="L5" s="2279"/>
      <c r="M5" s="2279"/>
      <c r="N5" s="2280"/>
    </row>
    <row r="6" spans="1:24" ht="13.5" thickBot="1">
      <c r="C6" s="2145" t="s">
        <v>1399</v>
      </c>
      <c r="D6" s="2146"/>
      <c r="E6" s="2146"/>
      <c r="F6" s="2146"/>
      <c r="G6" s="2146"/>
      <c r="H6" s="2146"/>
      <c r="I6" s="2146"/>
      <c r="J6" s="2146"/>
      <c r="K6" s="2146"/>
      <c r="L6" s="2146"/>
      <c r="M6" s="2146"/>
      <c r="N6" s="2147"/>
    </row>
    <row r="7" spans="1:24" ht="27.75" customHeight="1" thickBot="1">
      <c r="A7" s="2135" t="s">
        <v>368</v>
      </c>
      <c r="B7" s="2273" t="s">
        <v>369</v>
      </c>
      <c r="C7" s="2135" t="s">
        <v>311</v>
      </c>
      <c r="D7" s="2135" t="s">
        <v>312</v>
      </c>
      <c r="E7" s="2135" t="s">
        <v>350</v>
      </c>
      <c r="F7" s="2135" t="s">
        <v>313</v>
      </c>
      <c r="G7" s="2135" t="s">
        <v>191</v>
      </c>
      <c r="H7" s="2210" t="s">
        <v>387</v>
      </c>
      <c r="I7" s="2273" t="s">
        <v>189</v>
      </c>
      <c r="J7" s="2274"/>
      <c r="K7" s="2275"/>
      <c r="L7" s="2135" t="s">
        <v>965</v>
      </c>
      <c r="M7" s="389" t="s">
        <v>976</v>
      </c>
      <c r="N7" s="2357" t="s">
        <v>909</v>
      </c>
      <c r="O7" s="745" t="s">
        <v>1280</v>
      </c>
      <c r="P7" s="1024" t="s">
        <v>1276</v>
      </c>
      <c r="Q7" s="1024" t="s">
        <v>1277</v>
      </c>
      <c r="R7" s="2156" t="s">
        <v>1278</v>
      </c>
      <c r="S7" s="2155" t="s">
        <v>1279</v>
      </c>
      <c r="T7" s="2155"/>
      <c r="U7" s="2155"/>
      <c r="V7" s="2155"/>
      <c r="W7" s="2154" t="s">
        <v>1302</v>
      </c>
      <c r="X7" s="2154"/>
    </row>
    <row r="8" spans="1:24" ht="24.75" customHeight="1" thickBot="1">
      <c r="A8" s="2135"/>
      <c r="B8" s="2273"/>
      <c r="C8" s="2135"/>
      <c r="D8" s="2135"/>
      <c r="E8" s="2135"/>
      <c r="F8" s="2135"/>
      <c r="G8" s="2135"/>
      <c r="H8" s="2180"/>
      <c r="I8" s="2159" t="s">
        <v>208</v>
      </c>
      <c r="J8" s="2148" t="s">
        <v>192</v>
      </c>
      <c r="K8" s="2200" t="s">
        <v>193</v>
      </c>
      <c r="L8" s="2135"/>
      <c r="M8" s="2159" t="s">
        <v>208</v>
      </c>
      <c r="N8" s="2357"/>
      <c r="O8" s="1030"/>
      <c r="P8" s="1030"/>
      <c r="Q8" s="1030"/>
      <c r="R8" s="2156"/>
      <c r="S8" s="2281" t="s">
        <v>1286</v>
      </c>
      <c r="T8" s="2281"/>
      <c r="U8" s="2281"/>
      <c r="V8" s="1032" t="s">
        <v>1284</v>
      </c>
      <c r="W8" s="2281" t="s">
        <v>1288</v>
      </c>
      <c r="X8" s="2281" t="s">
        <v>1289</v>
      </c>
    </row>
    <row r="9" spans="1:24" ht="15" customHeight="1" thickBot="1">
      <c r="A9" s="2210"/>
      <c r="B9" s="2139"/>
      <c r="C9" s="2135"/>
      <c r="D9" s="2135"/>
      <c r="E9" s="2135"/>
      <c r="F9" s="2135"/>
      <c r="G9" s="2135"/>
      <c r="H9" s="2136"/>
      <c r="I9" s="2159"/>
      <c r="J9" s="2148"/>
      <c r="K9" s="2247"/>
      <c r="L9" s="2135"/>
      <c r="M9" s="2159"/>
      <c r="N9" s="2357"/>
      <c r="S9" s="1032" t="s">
        <v>208</v>
      </c>
      <c r="T9" s="1032" t="s">
        <v>192</v>
      </c>
      <c r="U9" s="1032" t="s">
        <v>193</v>
      </c>
      <c r="V9" s="1032" t="s">
        <v>208</v>
      </c>
      <c r="W9" s="2281"/>
      <c r="X9" s="2281"/>
    </row>
    <row r="10" spans="1:24" ht="43.5" customHeight="1" thickBot="1">
      <c r="A10" s="1895">
        <v>224</v>
      </c>
      <c r="B10" s="1896"/>
      <c r="C10" s="1893" t="s">
        <v>1419</v>
      </c>
      <c r="D10" s="200"/>
      <c r="E10" s="200"/>
      <c r="F10" s="200" t="s">
        <v>1098</v>
      </c>
      <c r="G10" s="200">
        <v>100</v>
      </c>
      <c r="H10" s="465"/>
      <c r="I10" s="465">
        <f t="shared" ref="I10:N10" si="0">+I11+I13</f>
        <v>368993230.54850698</v>
      </c>
      <c r="J10" s="465">
        <f t="shared" si="0"/>
        <v>250000000</v>
      </c>
      <c r="K10" s="465">
        <f t="shared" si="0"/>
        <v>50000000</v>
      </c>
      <c r="L10" s="465">
        <f t="shared" si="0"/>
        <v>668993230.54850698</v>
      </c>
      <c r="M10" s="465">
        <f t="shared" si="0"/>
        <v>50000000</v>
      </c>
      <c r="N10" s="465">
        <f t="shared" si="0"/>
        <v>718993230.54850698</v>
      </c>
      <c r="O10" s="292"/>
      <c r="P10" s="292"/>
      <c r="Q10" s="292"/>
      <c r="R10" s="292"/>
      <c r="S10" s="292"/>
      <c r="T10" s="292"/>
      <c r="U10" s="292"/>
      <c r="V10" s="292"/>
      <c r="W10" s="2281"/>
      <c r="X10" s="2281"/>
    </row>
    <row r="11" spans="1:24" ht="45.75" customHeight="1" thickBot="1">
      <c r="A11" s="1895"/>
      <c r="B11" s="1896" t="s">
        <v>1502</v>
      </c>
      <c r="C11" s="1894" t="s">
        <v>979</v>
      </c>
      <c r="D11" s="412"/>
      <c r="E11" s="412"/>
      <c r="F11" s="412" t="s">
        <v>1107</v>
      </c>
      <c r="G11" s="412">
        <v>1</v>
      </c>
      <c r="H11" s="418"/>
      <c r="I11" s="438">
        <f t="shared" ref="I11:N11" si="1">+I12</f>
        <v>30000000</v>
      </c>
      <c r="J11" s="438">
        <f t="shared" si="1"/>
        <v>0</v>
      </c>
      <c r="K11" s="438">
        <f t="shared" si="1"/>
        <v>0</v>
      </c>
      <c r="L11" s="438">
        <f t="shared" si="1"/>
        <v>30000000</v>
      </c>
      <c r="M11" s="438">
        <f t="shared" si="1"/>
        <v>0</v>
      </c>
      <c r="N11" s="439">
        <f t="shared" si="1"/>
        <v>30000000</v>
      </c>
      <c r="O11" s="292"/>
      <c r="P11" s="292"/>
      <c r="Q11" s="292"/>
      <c r="R11" s="292"/>
      <c r="S11" s="292"/>
      <c r="T11" s="292"/>
      <c r="U11" s="292"/>
      <c r="V11" s="292"/>
    </row>
    <row r="12" spans="1:24" s="1158" customFormat="1" ht="26.25" thickBot="1">
      <c r="A12" s="1055"/>
      <c r="B12" s="1055"/>
      <c r="C12" s="1094" t="s">
        <v>363</v>
      </c>
      <c r="D12" s="1189" t="s">
        <v>211</v>
      </c>
      <c r="E12" s="1190">
        <v>83990</v>
      </c>
      <c r="F12" s="1191" t="s">
        <v>199</v>
      </c>
      <c r="G12" s="1191">
        <v>11</v>
      </c>
      <c r="H12" s="1192">
        <v>30000000</v>
      </c>
      <c r="I12" s="1192">
        <v>30000000</v>
      </c>
      <c r="J12" s="1192"/>
      <c r="K12" s="1192"/>
      <c r="L12" s="1192">
        <f>SUM(I12:K12)</f>
        <v>30000000</v>
      </c>
      <c r="M12" s="1192"/>
      <c r="N12" s="1193">
        <f>+L12+M12</f>
        <v>30000000</v>
      </c>
      <c r="O12" s="1125">
        <v>30000000</v>
      </c>
      <c r="P12" s="1125">
        <v>30000000</v>
      </c>
      <c r="Q12" s="1125">
        <v>30000000</v>
      </c>
      <c r="R12" s="1125">
        <f>+O12-Q12</f>
        <v>0</v>
      </c>
      <c r="S12" s="1125"/>
      <c r="T12" s="1125"/>
      <c r="U12" s="1125"/>
      <c r="V12" s="1125"/>
      <c r="W12" s="1158" t="s">
        <v>4</v>
      </c>
      <c r="X12" s="1158" t="s">
        <v>1358</v>
      </c>
    </row>
    <row r="13" spans="1:24" ht="51.75" thickBot="1">
      <c r="A13" s="1895"/>
      <c r="B13" s="1896" t="s">
        <v>1503</v>
      </c>
      <c r="C13" s="1882" t="s">
        <v>977</v>
      </c>
      <c r="D13" s="399"/>
      <c r="E13" s="399"/>
      <c r="F13" s="399" t="s">
        <v>1107</v>
      </c>
      <c r="G13" s="399">
        <v>25</v>
      </c>
      <c r="H13" s="475"/>
      <c r="I13" s="606">
        <f t="shared" ref="I13:N13" si="2">SUM(I14:I19)</f>
        <v>338993230.54850698</v>
      </c>
      <c r="J13" s="606">
        <f t="shared" si="2"/>
        <v>250000000</v>
      </c>
      <c r="K13" s="606">
        <f t="shared" si="2"/>
        <v>50000000</v>
      </c>
      <c r="L13" s="606">
        <f t="shared" si="2"/>
        <v>638993230.54850698</v>
      </c>
      <c r="M13" s="606">
        <f t="shared" si="2"/>
        <v>50000000</v>
      </c>
      <c r="N13" s="607">
        <f t="shared" si="2"/>
        <v>688993230.54850698</v>
      </c>
      <c r="O13" s="292"/>
      <c r="P13" s="292"/>
      <c r="Q13" s="292"/>
      <c r="R13" s="292"/>
      <c r="S13" s="292"/>
      <c r="T13" s="292"/>
      <c r="U13" s="292"/>
      <c r="V13" s="292"/>
    </row>
    <row r="14" spans="1:24" s="1169" customFormat="1" ht="26.25" customHeight="1">
      <c r="A14" s="1055"/>
      <c r="B14" s="1055"/>
      <c r="C14" s="1087" t="s">
        <v>576</v>
      </c>
      <c r="D14" s="1237" t="s">
        <v>211</v>
      </c>
      <c r="E14" s="1238">
        <v>83990</v>
      </c>
      <c r="F14" s="1239" t="s">
        <v>199</v>
      </c>
      <c r="G14" s="1239">
        <v>1</v>
      </c>
      <c r="H14" s="1240">
        <v>350000000</v>
      </c>
      <c r="I14" s="1240">
        <v>125000000</v>
      </c>
      <c r="J14" s="1240">
        <v>250000000</v>
      </c>
      <c r="K14" s="1240">
        <v>50000000</v>
      </c>
      <c r="L14" s="1240">
        <f t="shared" ref="L14:L19" si="3">SUM(I14:K14)</f>
        <v>425000000</v>
      </c>
      <c r="M14" s="1240">
        <v>50000000</v>
      </c>
      <c r="N14" s="1241">
        <f t="shared" ref="N14:N19" si="4">+L14+M14</f>
        <v>475000000</v>
      </c>
      <c r="O14" s="1174">
        <v>475000000</v>
      </c>
      <c r="P14" s="1174"/>
      <c r="Q14" s="1174"/>
      <c r="R14" s="1174">
        <f>+O14-P14</f>
        <v>475000000</v>
      </c>
      <c r="S14" s="1174">
        <v>125000000</v>
      </c>
      <c r="T14" s="1174">
        <v>250000000</v>
      </c>
      <c r="U14" s="1174">
        <v>50000000</v>
      </c>
      <c r="V14" s="1174">
        <v>50000000</v>
      </c>
      <c r="W14" s="1169" t="s">
        <v>4</v>
      </c>
      <c r="X14" s="1169" t="s">
        <v>1358</v>
      </c>
    </row>
    <row r="15" spans="1:24" s="1158" customFormat="1" ht="25.5">
      <c r="A15" s="1055"/>
      <c r="B15" s="1055"/>
      <c r="C15" s="1094" t="s">
        <v>363</v>
      </c>
      <c r="D15" s="1194" t="s">
        <v>211</v>
      </c>
      <c r="E15" s="1195">
        <v>83990</v>
      </c>
      <c r="F15" s="1165" t="s">
        <v>199</v>
      </c>
      <c r="G15" s="1165">
        <v>11</v>
      </c>
      <c r="H15" s="1134">
        <f>((((5000000*12%)+(5000000))*(11))*1.004)-30000000</f>
        <v>31846400</v>
      </c>
      <c r="I15" s="1134">
        <v>31227936</v>
      </c>
      <c r="J15" s="1134"/>
      <c r="K15" s="1134"/>
      <c r="L15" s="1134">
        <f t="shared" si="3"/>
        <v>31227936</v>
      </c>
      <c r="M15" s="1134"/>
      <c r="N15" s="1135">
        <f t="shared" si="4"/>
        <v>31227936</v>
      </c>
      <c r="O15" s="1125">
        <f>+M15+N15</f>
        <v>31227936</v>
      </c>
      <c r="P15" s="1125">
        <v>31227936</v>
      </c>
      <c r="Q15" s="1125">
        <v>31227936</v>
      </c>
      <c r="R15" s="1125">
        <f>+O15-Q15</f>
        <v>0</v>
      </c>
      <c r="S15" s="1125">
        <v>618464</v>
      </c>
      <c r="T15" s="1125"/>
      <c r="U15" s="1125"/>
      <c r="V15" s="1125"/>
      <c r="W15" s="1158" t="s">
        <v>4</v>
      </c>
      <c r="X15" s="1158" t="s">
        <v>1358</v>
      </c>
    </row>
    <row r="16" spans="1:24" s="1169" customFormat="1" ht="25.5">
      <c r="A16" s="1055"/>
      <c r="B16" s="1055"/>
      <c r="C16" s="1088" t="s">
        <v>363</v>
      </c>
      <c r="D16" s="1196" t="s">
        <v>211</v>
      </c>
      <c r="E16" s="1197">
        <v>83990</v>
      </c>
      <c r="F16" s="1171" t="s">
        <v>199</v>
      </c>
      <c r="G16" s="1171">
        <v>11</v>
      </c>
      <c r="H16" s="1173">
        <f>((((5000000*12%)+(5000000))*(11))*1.004)-30000000</f>
        <v>31846400</v>
      </c>
      <c r="I16" s="1173">
        <v>618464</v>
      </c>
      <c r="J16" s="1173"/>
      <c r="K16" s="1173"/>
      <c r="L16" s="1173">
        <f t="shared" si="3"/>
        <v>618464</v>
      </c>
      <c r="M16" s="1173"/>
      <c r="N16" s="1198">
        <f t="shared" si="4"/>
        <v>618464</v>
      </c>
      <c r="O16" s="1174">
        <f>+M16+N16</f>
        <v>618464</v>
      </c>
      <c r="P16" s="1174">
        <v>31227936</v>
      </c>
      <c r="Q16" s="1174">
        <v>31227936</v>
      </c>
      <c r="R16" s="1174">
        <f>+O16-Q16</f>
        <v>-30609472</v>
      </c>
      <c r="S16" s="1174">
        <v>618464</v>
      </c>
      <c r="T16" s="1174"/>
      <c r="U16" s="1174"/>
      <c r="V16" s="1174"/>
      <c r="W16" s="1169" t="s">
        <v>4</v>
      </c>
      <c r="X16" s="1169" t="s">
        <v>1358</v>
      </c>
    </row>
    <row r="17" spans="1:22" s="1158" customFormat="1" ht="21.75" customHeight="1">
      <c r="A17" s="1055"/>
      <c r="B17" s="1055"/>
      <c r="C17" s="1094" t="s">
        <v>963</v>
      </c>
      <c r="D17" s="1165" t="s">
        <v>381</v>
      </c>
      <c r="E17" s="1095" t="s">
        <v>392</v>
      </c>
      <c r="F17" s="1095"/>
      <c r="G17" s="1095"/>
      <c r="H17" s="1134"/>
      <c r="I17" s="1134">
        <v>25000000</v>
      </c>
      <c r="J17" s="1134"/>
      <c r="K17" s="1134"/>
      <c r="L17" s="1134">
        <f t="shared" si="3"/>
        <v>25000000</v>
      </c>
      <c r="M17" s="1134"/>
      <c r="N17" s="1135">
        <f t="shared" si="4"/>
        <v>25000000</v>
      </c>
      <c r="O17" s="1125">
        <v>25000000</v>
      </c>
      <c r="P17" s="1125">
        <v>25000000</v>
      </c>
      <c r="Q17" s="1125">
        <v>25000000</v>
      </c>
      <c r="R17" s="1125">
        <f t="shared" ref="R17:R19" si="5">+O17-Q17</f>
        <v>0</v>
      </c>
      <c r="S17" s="1125"/>
      <c r="T17" s="1125"/>
      <c r="U17" s="1125"/>
      <c r="V17" s="1125"/>
    </row>
    <row r="18" spans="1:22" s="1158" customFormat="1" ht="15.75" thickBot="1">
      <c r="A18" s="1055"/>
      <c r="B18" s="1055"/>
      <c r="C18" s="1099" t="s">
        <v>204</v>
      </c>
      <c r="D18" s="1185"/>
      <c r="E18" s="1185"/>
      <c r="F18" s="1100"/>
      <c r="G18" s="1100"/>
      <c r="H18" s="1129"/>
      <c r="I18" s="1129">
        <v>19304341</v>
      </c>
      <c r="J18" s="1129">
        <v>0</v>
      </c>
      <c r="K18" s="1129"/>
      <c r="L18" s="1129">
        <f t="shared" si="3"/>
        <v>19304341</v>
      </c>
      <c r="M18" s="1129"/>
      <c r="N18" s="1186">
        <f t="shared" si="4"/>
        <v>19304341</v>
      </c>
      <c r="O18" s="1125">
        <v>157146830.54850653</v>
      </c>
      <c r="P18" s="1125">
        <v>3142197</v>
      </c>
      <c r="Q18" s="1125">
        <v>3142197</v>
      </c>
      <c r="R18" s="1125">
        <f t="shared" ref="R18" si="6">+O18-Q18</f>
        <v>154004633.54850653</v>
      </c>
      <c r="S18" s="1125">
        <v>154004633.54850653</v>
      </c>
      <c r="T18" s="1125"/>
      <c r="U18" s="1125"/>
      <c r="V18" s="1125"/>
    </row>
    <row r="19" spans="1:22" s="1169" customFormat="1" ht="15.75" thickBot="1">
      <c r="A19" s="1055"/>
      <c r="B19" s="1055"/>
      <c r="C19" s="1101" t="s">
        <v>204</v>
      </c>
      <c r="D19" s="1187"/>
      <c r="E19" s="1187"/>
      <c r="F19" s="1102"/>
      <c r="G19" s="1102"/>
      <c r="H19" s="1127"/>
      <c r="I19" s="1127">
        <f>157146830.548507-I18</f>
        <v>137842489.548507</v>
      </c>
      <c r="J19" s="1127">
        <v>0</v>
      </c>
      <c r="K19" s="1127"/>
      <c r="L19" s="1127">
        <f t="shared" si="3"/>
        <v>137842489.548507</v>
      </c>
      <c r="M19" s="1127"/>
      <c r="N19" s="1188">
        <f t="shared" si="4"/>
        <v>137842489.548507</v>
      </c>
      <c r="O19" s="1174">
        <v>157146830.54850653</v>
      </c>
      <c r="P19" s="1174">
        <v>3142197</v>
      </c>
      <c r="Q19" s="1174">
        <v>3142197</v>
      </c>
      <c r="R19" s="1174">
        <f t="shared" si="5"/>
        <v>154004633.54850653</v>
      </c>
      <c r="S19" s="1174">
        <v>154004633.54850653</v>
      </c>
      <c r="T19" s="1174"/>
      <c r="U19" s="1174"/>
      <c r="V19" s="1174"/>
    </row>
    <row r="20" spans="1:22" ht="15.75" thickBot="1">
      <c r="A20" s="1055"/>
      <c r="B20" s="1055"/>
      <c r="C20" s="2368" t="s">
        <v>10</v>
      </c>
      <c r="D20" s="2369"/>
      <c r="E20" s="2369"/>
      <c r="F20" s="2369"/>
      <c r="G20" s="2369"/>
      <c r="H20" s="441"/>
      <c r="I20" s="441">
        <f t="shared" ref="I20:N20" si="7">I10</f>
        <v>368993230.54850698</v>
      </c>
      <c r="J20" s="441">
        <f t="shared" si="7"/>
        <v>250000000</v>
      </c>
      <c r="K20" s="441">
        <f t="shared" si="7"/>
        <v>50000000</v>
      </c>
      <c r="L20" s="441">
        <f t="shared" si="7"/>
        <v>668993230.54850698</v>
      </c>
      <c r="M20" s="441">
        <f t="shared" si="7"/>
        <v>50000000</v>
      </c>
      <c r="N20" s="441">
        <f t="shared" si="7"/>
        <v>718993230.54850698</v>
      </c>
      <c r="O20" s="292"/>
      <c r="P20" s="292"/>
      <c r="Q20" s="292"/>
      <c r="R20" s="292"/>
      <c r="S20" s="292"/>
      <c r="T20" s="292"/>
      <c r="U20" s="292"/>
      <c r="V20" s="292"/>
    </row>
    <row r="21" spans="1:22" ht="15.75" thickBot="1">
      <c r="A21" s="1055"/>
      <c r="B21" s="1055"/>
      <c r="M21" s="96"/>
      <c r="N21" s="98"/>
      <c r="O21" s="292"/>
      <c r="P21" s="292"/>
      <c r="Q21" s="292"/>
      <c r="R21" s="1033">
        <f>SUM(R10:R19)</f>
        <v>752399795.097013</v>
      </c>
      <c r="S21" s="1033">
        <f>SUM(S10:S19)</f>
        <v>434246195.097013</v>
      </c>
      <c r="T21" s="1033">
        <f>SUM(T10:T19)</f>
        <v>250000000</v>
      </c>
      <c r="U21" s="1033">
        <f>SUM(U10:U19)</f>
        <v>50000000</v>
      </c>
      <c r="V21" s="1033">
        <f>SUM(V10:V19)</f>
        <v>50000000</v>
      </c>
    </row>
    <row r="22" spans="1:22" ht="15.75" thickBot="1">
      <c r="A22" s="1055"/>
      <c r="B22" s="1055"/>
      <c r="I22" s="250">
        <v>368993230.5485065</v>
      </c>
      <c r="J22" s="184">
        <v>250000000</v>
      </c>
      <c r="K22" s="184">
        <v>50000000</v>
      </c>
      <c r="L22" s="251">
        <v>668993230.5485065</v>
      </c>
      <c r="M22" s="250">
        <v>50000000</v>
      </c>
      <c r="N22" s="251">
        <f>668993230.548506+50000000</f>
        <v>718993230.54850602</v>
      </c>
    </row>
    <row r="23" spans="1:22">
      <c r="B23" s="1892"/>
      <c r="M23" s="96"/>
    </row>
    <row r="24" spans="1:22">
      <c r="I24" s="177">
        <f t="shared" ref="I24:N24" si="8">+I22-I20</f>
        <v>-4.76837158203125E-7</v>
      </c>
      <c r="J24" s="177">
        <f t="shared" si="8"/>
        <v>0</v>
      </c>
      <c r="K24" s="177">
        <f t="shared" si="8"/>
        <v>0</v>
      </c>
      <c r="L24" s="177">
        <f t="shared" si="8"/>
        <v>0</v>
      </c>
      <c r="M24" s="177">
        <f t="shared" si="8"/>
        <v>0</v>
      </c>
      <c r="N24" s="177">
        <f t="shared" si="8"/>
        <v>-9.5367431640625E-7</v>
      </c>
    </row>
    <row r="25" spans="1:22">
      <c r="F25" s="1"/>
      <c r="G25" s="1"/>
      <c r="H25" s="1"/>
      <c r="I25" s="1"/>
      <c r="J25" s="1"/>
      <c r="K25" s="1"/>
      <c r="L25" s="1"/>
    </row>
    <row r="26" spans="1:22">
      <c r="F26" s="1"/>
      <c r="G26" s="1"/>
      <c r="H26" s="1"/>
      <c r="I26" s="292"/>
      <c r="J26" s="1"/>
      <c r="K26" s="1"/>
      <c r="L26" s="1"/>
    </row>
    <row r="27" spans="1:22">
      <c r="F27" s="1"/>
      <c r="G27" s="1"/>
      <c r="H27" s="1"/>
      <c r="I27" s="1"/>
      <c r="J27" s="1"/>
      <c r="K27" s="1"/>
      <c r="L27" s="1"/>
      <c r="N27" s="1125">
        <f>+N12+N15+N17+N18</f>
        <v>105532277</v>
      </c>
      <c r="O27" s="1" t="s">
        <v>1386</v>
      </c>
    </row>
    <row r="28" spans="1:22">
      <c r="F28" s="1"/>
      <c r="G28" s="1"/>
      <c r="H28" s="1"/>
      <c r="I28" s="1"/>
      <c r="J28" s="1"/>
      <c r="K28" s="1"/>
      <c r="L28" s="1"/>
    </row>
    <row r="29" spans="1:22">
      <c r="F29" s="1"/>
      <c r="G29" s="1"/>
      <c r="H29" s="1"/>
      <c r="I29" s="1"/>
      <c r="J29" s="1"/>
      <c r="K29" s="1"/>
      <c r="L29" s="1"/>
      <c r="N29" s="292"/>
    </row>
    <row r="30" spans="1:22">
      <c r="F30" s="1"/>
      <c r="G30" s="1"/>
      <c r="H30" s="1"/>
      <c r="I30" s="1"/>
      <c r="J30" s="1"/>
      <c r="K30" s="1"/>
      <c r="L30" s="1"/>
    </row>
    <row r="31" spans="1:22">
      <c r="F31" s="1"/>
      <c r="G31" s="1"/>
      <c r="H31" s="1"/>
      <c r="I31" s="1"/>
      <c r="J31" s="1"/>
      <c r="K31" s="1"/>
      <c r="L31" s="1"/>
    </row>
    <row r="32" spans="1:22">
      <c r="F32" s="1"/>
      <c r="G32" s="1"/>
      <c r="H32" s="1"/>
      <c r="I32" s="292"/>
      <c r="J32" s="1"/>
      <c r="K32" s="1"/>
      <c r="L32" s="1"/>
      <c r="M32" s="292"/>
    </row>
    <row r="33" spans="6:12">
      <c r="F33" s="1"/>
      <c r="G33" s="1"/>
      <c r="H33" s="1"/>
      <c r="I33" s="1"/>
      <c r="J33" s="1"/>
      <c r="K33" s="1"/>
      <c r="L33" s="1"/>
    </row>
    <row r="34" spans="6:12">
      <c r="F34" s="1"/>
      <c r="G34" s="1"/>
      <c r="H34" s="1"/>
      <c r="I34" s="1"/>
      <c r="J34" s="1"/>
      <c r="K34" s="1"/>
      <c r="L34" s="1"/>
    </row>
    <row r="35" spans="6:12">
      <c r="F35" s="1"/>
      <c r="G35" s="1"/>
      <c r="H35" s="1"/>
      <c r="I35" s="1"/>
      <c r="J35" s="1"/>
      <c r="K35" s="1"/>
      <c r="L35" s="1"/>
    </row>
    <row r="36" spans="6:12">
      <c r="F36" s="1"/>
      <c r="G36" s="1"/>
      <c r="H36" s="1"/>
      <c r="I36" s="1"/>
      <c r="J36" s="1"/>
      <c r="K36" s="1"/>
      <c r="L36" s="1"/>
    </row>
    <row r="37" spans="6:12">
      <c r="F37" s="1"/>
      <c r="G37" s="1"/>
      <c r="H37" s="1"/>
      <c r="I37" s="1"/>
      <c r="J37" s="1"/>
      <c r="K37" s="1"/>
      <c r="L37" s="1"/>
    </row>
    <row r="38" spans="6:12" ht="14.25" customHeight="1">
      <c r="F38" s="1"/>
      <c r="G38" s="1"/>
      <c r="H38" s="1"/>
      <c r="I38" s="1"/>
      <c r="J38" s="1"/>
      <c r="K38" s="1"/>
      <c r="L38" s="1"/>
    </row>
    <row r="39" spans="6:12">
      <c r="F39" s="1"/>
      <c r="G39" s="1"/>
      <c r="H39" s="1"/>
      <c r="I39" s="1"/>
      <c r="J39" s="1"/>
      <c r="K39" s="1"/>
      <c r="L39" s="1"/>
    </row>
    <row r="40" spans="6:12">
      <c r="F40" s="1"/>
      <c r="G40" s="1"/>
      <c r="H40" s="1"/>
      <c r="I40" s="1"/>
      <c r="J40" s="1"/>
      <c r="K40" s="1"/>
      <c r="L40" s="1"/>
    </row>
    <row r="41" spans="6:12">
      <c r="F41" s="1"/>
      <c r="G41" s="1"/>
      <c r="H41" s="1"/>
      <c r="I41" s="1"/>
      <c r="J41" s="1"/>
      <c r="K41" s="1"/>
      <c r="L41" s="1"/>
    </row>
    <row r="42" spans="6:12">
      <c r="F42" s="1"/>
      <c r="G42" s="1"/>
      <c r="H42" s="1"/>
      <c r="I42" s="1"/>
    </row>
    <row r="43" spans="6:12">
      <c r="F43" s="1"/>
      <c r="G43" s="1"/>
      <c r="H43" s="1"/>
      <c r="I43" s="1"/>
    </row>
  </sheetData>
  <mergeCells count="26">
    <mergeCell ref="A7:A9"/>
    <mergeCell ref="B7:B9"/>
    <mergeCell ref="C7:C9"/>
    <mergeCell ref="D7:D9"/>
    <mergeCell ref="E7:E9"/>
    <mergeCell ref="C20:G20"/>
    <mergeCell ref="F7:F9"/>
    <mergeCell ref="G7:G9"/>
    <mergeCell ref="C5:N5"/>
    <mergeCell ref="C1:C3"/>
    <mergeCell ref="D1:M3"/>
    <mergeCell ref="H7:H9"/>
    <mergeCell ref="C6:N6"/>
    <mergeCell ref="L7:L9"/>
    <mergeCell ref="I8:I9"/>
    <mergeCell ref="J8:J9"/>
    <mergeCell ref="M8:M9"/>
    <mergeCell ref="N7:N9"/>
    <mergeCell ref="I7:K7"/>
    <mergeCell ref="W7:X7"/>
    <mergeCell ref="W8:W10"/>
    <mergeCell ref="X8:X10"/>
    <mergeCell ref="K8:K9"/>
    <mergeCell ref="R7:R8"/>
    <mergeCell ref="S7:V7"/>
    <mergeCell ref="S8:U8"/>
  </mergeCells>
  <pageMargins left="0.70866141732283472" right="0.70866141732283472" top="0.74803149606299213" bottom="0.74803149606299213" header="0.31496062992125984" footer="0.31496062992125984"/>
  <pageSetup paperSize="9" scale="75" orientation="landscape" verticalDpi="597"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5">
    <tabColor theme="0" tint="-4.9989318521683403E-2"/>
  </sheetPr>
  <dimension ref="A1:L20"/>
  <sheetViews>
    <sheetView workbookViewId="0">
      <pane xSplit="4" ySplit="9" topLeftCell="E10" activePane="bottomRight" state="frozen"/>
      <selection activeCell="F55" sqref="F55"/>
      <selection pane="topRight" activeCell="F55" sqref="F55"/>
      <selection pane="bottomLeft" activeCell="F55" sqref="F55"/>
      <selection pane="bottomRight" activeCell="G29" sqref="G29"/>
    </sheetView>
  </sheetViews>
  <sheetFormatPr baseColWidth="10" defaultRowHeight="15"/>
  <cols>
    <col min="1" max="1" width="11.42578125" customWidth="1"/>
    <col min="2" max="2" width="43" customWidth="1"/>
    <col min="3" max="3" width="13.140625" customWidth="1"/>
    <col min="4" max="4" width="14.85546875" customWidth="1"/>
    <col min="5" max="5" width="15.7109375" customWidth="1"/>
    <col min="6" max="9" width="15.28515625" customWidth="1"/>
    <col min="10" max="10" width="19.85546875" customWidth="1"/>
    <col min="11" max="11" width="5.140625" customWidth="1"/>
  </cols>
  <sheetData>
    <row r="1" spans="1:12" s="1" customFormat="1" ht="15" customHeight="1">
      <c r="B1" s="2201"/>
      <c r="C1" s="2185" t="s">
        <v>434</v>
      </c>
      <c r="D1" s="2186"/>
      <c r="E1" s="2187"/>
      <c r="F1" s="2248" t="s">
        <v>364</v>
      </c>
      <c r="G1" s="2332"/>
      <c r="H1" s="2332"/>
      <c r="I1" s="2332"/>
      <c r="J1" s="2249"/>
    </row>
    <row r="2" spans="1:12" s="1" customFormat="1" ht="15" customHeight="1">
      <c r="B2" s="2202"/>
      <c r="C2" s="2188"/>
      <c r="D2" s="2189"/>
      <c r="E2" s="2190"/>
      <c r="F2" s="2250" t="s">
        <v>365</v>
      </c>
      <c r="G2" s="2333"/>
      <c r="H2" s="2333"/>
      <c r="I2" s="2333"/>
      <c r="J2" s="2251"/>
    </row>
    <row r="3" spans="1:12" s="1" customFormat="1" ht="15.75" customHeight="1" thickBot="1">
      <c r="A3" s="254"/>
      <c r="B3" s="2203"/>
      <c r="C3" s="2191"/>
      <c r="D3" s="2192"/>
      <c r="E3" s="2193"/>
      <c r="F3" s="2252" t="s">
        <v>366</v>
      </c>
      <c r="G3" s="2334"/>
      <c r="H3" s="2334"/>
      <c r="I3" s="2334"/>
      <c r="J3" s="2253"/>
    </row>
    <row r="4" spans="1:12" s="1" customFormat="1" ht="8.25" customHeight="1" thickBot="1">
      <c r="A4" s="254"/>
      <c r="B4" s="254"/>
      <c r="C4" s="254"/>
      <c r="D4" s="254"/>
      <c r="E4" s="254"/>
      <c r="F4" s="254"/>
      <c r="G4" s="254"/>
      <c r="H4" s="254"/>
      <c r="I4" s="254"/>
      <c r="J4" s="254"/>
    </row>
    <row r="5" spans="1:12" s="1" customFormat="1" ht="13.5" thickBot="1">
      <c r="A5" s="254"/>
      <c r="B5" s="2278" t="s">
        <v>184</v>
      </c>
      <c r="C5" s="2279"/>
      <c r="D5" s="2279"/>
      <c r="E5" s="2279"/>
      <c r="F5" s="2279"/>
      <c r="G5" s="2279"/>
      <c r="H5" s="2279"/>
      <c r="I5" s="2279"/>
      <c r="J5" s="2280"/>
      <c r="K5" s="157"/>
    </row>
    <row r="6" spans="1:12" ht="15.75" thickBot="1">
      <c r="B6" s="2145" t="s">
        <v>1400</v>
      </c>
      <c r="C6" s="2146"/>
      <c r="D6" s="2146"/>
      <c r="E6" s="2146"/>
      <c r="F6" s="2146"/>
      <c r="G6" s="2146"/>
      <c r="H6" s="2146"/>
      <c r="I6" s="2146"/>
      <c r="J6" s="2147"/>
      <c r="K6" s="120"/>
    </row>
    <row r="7" spans="1:12" ht="15" customHeight="1" thickBot="1">
      <c r="A7" s="2135" t="s">
        <v>278</v>
      </c>
      <c r="B7" s="2198" t="s">
        <v>188</v>
      </c>
      <c r="C7" s="2198">
        <v>2024</v>
      </c>
      <c r="D7" s="2198"/>
      <c r="E7" s="2198"/>
      <c r="F7" s="2198"/>
      <c r="G7" s="2198"/>
      <c r="H7" s="2198"/>
      <c r="I7" s="2198"/>
      <c r="J7" s="2198"/>
    </row>
    <row r="8" spans="1:12" ht="15" customHeight="1" thickBot="1">
      <c r="A8" s="2135"/>
      <c r="B8" s="2198"/>
      <c r="C8" s="2159" t="s">
        <v>190</v>
      </c>
      <c r="D8" s="2159" t="s">
        <v>191</v>
      </c>
      <c r="E8" s="2148" t="s">
        <v>189</v>
      </c>
      <c r="F8" s="2149"/>
      <c r="G8" s="2150"/>
      <c r="H8" s="2200" t="s">
        <v>1024</v>
      </c>
      <c r="I8" s="2200" t="s">
        <v>356</v>
      </c>
      <c r="J8" s="2209" t="s">
        <v>195</v>
      </c>
    </row>
    <row r="9" spans="1:12" ht="22.5" customHeight="1" thickBot="1">
      <c r="A9" s="2210"/>
      <c r="B9" s="2199"/>
      <c r="C9" s="2200"/>
      <c r="D9" s="2200"/>
      <c r="E9" s="493" t="s">
        <v>208</v>
      </c>
      <c r="F9" s="493" t="s">
        <v>192</v>
      </c>
      <c r="G9" s="493" t="s">
        <v>277</v>
      </c>
      <c r="H9" s="2172"/>
      <c r="I9" s="2172"/>
      <c r="J9" s="2204"/>
    </row>
    <row r="10" spans="1:12" ht="64.5" thickBot="1">
      <c r="A10" s="506">
        <v>3206016</v>
      </c>
      <c r="B10" s="961" t="s">
        <v>1439</v>
      </c>
      <c r="C10" s="1677" t="s">
        <v>1098</v>
      </c>
      <c r="D10" s="1677">
        <v>100</v>
      </c>
      <c r="E10" s="610">
        <f>SUM(E11)</f>
        <v>26055585.350400001</v>
      </c>
      <c r="F10" s="610">
        <f t="shared" ref="F10:J10" si="0">SUM(F11)</f>
        <v>0</v>
      </c>
      <c r="G10" s="610">
        <f t="shared" si="0"/>
        <v>0</v>
      </c>
      <c r="H10" s="610">
        <f t="shared" si="0"/>
        <v>26055585.350400001</v>
      </c>
      <c r="I10" s="610">
        <f t="shared" si="0"/>
        <v>0</v>
      </c>
      <c r="J10" s="962">
        <f t="shared" si="0"/>
        <v>26055585.350400001</v>
      </c>
      <c r="L10" s="174"/>
    </row>
    <row r="11" spans="1:12" ht="39" thickBot="1">
      <c r="B11" s="960" t="s">
        <v>1180</v>
      </c>
      <c r="C11" s="1705" t="s">
        <v>1108</v>
      </c>
      <c r="D11" s="1705">
        <v>37</v>
      </c>
      <c r="E11" s="629">
        <f>+'ACCIONES 320601'!I11</f>
        <v>26055585.350400001</v>
      </c>
      <c r="F11" s="629">
        <f>+'ACCIONES 320601'!J11</f>
        <v>0</v>
      </c>
      <c r="G11" s="629">
        <f>+'ACCIONES 320601'!K11</f>
        <v>0</v>
      </c>
      <c r="H11" s="629">
        <f>+'ACCIONES 320601'!L11</f>
        <v>26055585.350400001</v>
      </c>
      <c r="I11" s="629">
        <f>+'ACCIONES 320601'!M11</f>
        <v>0</v>
      </c>
      <c r="J11" s="630">
        <f>+'ACCIONES 320601'!N11</f>
        <v>26055585.350400001</v>
      </c>
      <c r="L11" s="174"/>
    </row>
    <row r="12" spans="1:12" ht="51.75" thickBot="1">
      <c r="A12" s="507">
        <v>3206003</v>
      </c>
      <c r="B12" s="427" t="s">
        <v>12</v>
      </c>
      <c r="C12" s="959" t="s">
        <v>1098</v>
      </c>
      <c r="D12" s="959">
        <v>100</v>
      </c>
      <c r="E12" s="959">
        <f t="shared" ref="E12:J12" si="1">SUM(E13:E14)</f>
        <v>88507058.75999999</v>
      </c>
      <c r="F12" s="959">
        <f t="shared" si="1"/>
        <v>1599999999</v>
      </c>
      <c r="G12" s="959">
        <f t="shared" si="1"/>
        <v>74150400</v>
      </c>
      <c r="H12" s="959">
        <f t="shared" si="1"/>
        <v>1762657457.76</v>
      </c>
      <c r="I12" s="959">
        <f t="shared" si="1"/>
        <v>3179498075</v>
      </c>
      <c r="J12" s="959">
        <f t="shared" si="1"/>
        <v>4942155532.7600002</v>
      </c>
      <c r="L12" s="174"/>
    </row>
    <row r="13" spans="1:12" ht="38.25">
      <c r="B13" s="425" t="s">
        <v>973</v>
      </c>
      <c r="C13" s="6" t="s">
        <v>1106</v>
      </c>
      <c r="D13" s="1706">
        <v>1</v>
      </c>
      <c r="E13" s="521">
        <f>+'ACCIONES 320601'!I14</f>
        <v>88507058.75999999</v>
      </c>
      <c r="F13" s="521">
        <f>+'ACCIONES 320601'!J14</f>
        <v>1599999999</v>
      </c>
      <c r="G13" s="521">
        <f>+'ACCIONES 320601'!K14</f>
        <v>74150400</v>
      </c>
      <c r="H13" s="521">
        <f>+'ACCIONES 320601'!L14</f>
        <v>1762657457.76</v>
      </c>
      <c r="I13" s="521">
        <f>+'ACCIONES 320601'!M14</f>
        <v>0</v>
      </c>
      <c r="J13" s="522">
        <f>+'ACCIONES 320601'!N14</f>
        <v>1762657457.76</v>
      </c>
      <c r="L13" s="174"/>
    </row>
    <row r="14" spans="1:12">
      <c r="B14" s="255" t="s">
        <v>791</v>
      </c>
      <c r="C14" s="1652" t="s">
        <v>1106</v>
      </c>
      <c r="D14" s="1652">
        <v>1</v>
      </c>
      <c r="E14" s="523">
        <f>+'ACCIONES 320601'!I22</f>
        <v>0</v>
      </c>
      <c r="F14" s="523">
        <f>+'ACCIONES 320601'!J22</f>
        <v>0</v>
      </c>
      <c r="G14" s="523">
        <f>+'ACCIONES 320601'!K22</f>
        <v>0</v>
      </c>
      <c r="H14" s="523">
        <f>+'ACCIONES 320601'!L22</f>
        <v>0</v>
      </c>
      <c r="I14" s="523">
        <f>+'ACCIONES 320601'!M22</f>
        <v>3179498075</v>
      </c>
      <c r="J14" s="524">
        <f>+'ACCIONES 320601'!N22</f>
        <v>3179498075</v>
      </c>
      <c r="L14" s="174"/>
    </row>
    <row r="15" spans="1:12" ht="15.75" thickBot="1">
      <c r="B15" s="2370" t="s">
        <v>226</v>
      </c>
      <c r="C15" s="2371"/>
      <c r="D15" s="2371"/>
      <c r="E15" s="525">
        <f t="shared" ref="E15:J15" si="2">+E12+E10</f>
        <v>114562644.11039999</v>
      </c>
      <c r="F15" s="526">
        <f t="shared" si="2"/>
        <v>1599999999</v>
      </c>
      <c r="G15" s="527">
        <f t="shared" si="2"/>
        <v>74150400</v>
      </c>
      <c r="H15" s="527">
        <f t="shared" si="2"/>
        <v>1788713043.1104</v>
      </c>
      <c r="I15" s="527">
        <f t="shared" si="2"/>
        <v>3179498075</v>
      </c>
      <c r="J15" s="527">
        <f t="shared" si="2"/>
        <v>4968211118.1104002</v>
      </c>
      <c r="L15" s="174"/>
    </row>
    <row r="16" spans="1:12" ht="15.75" thickBot="1"/>
    <row r="17" spans="5:10" ht="15.75" thickBot="1">
      <c r="E17" s="180">
        <v>114562644.11040001</v>
      </c>
      <c r="F17" s="180">
        <v>1599999999</v>
      </c>
      <c r="G17" s="180">
        <v>74150400</v>
      </c>
      <c r="H17" s="180">
        <v>1788713043.1104</v>
      </c>
      <c r="I17" s="180">
        <v>3179498075</v>
      </c>
      <c r="J17" s="180">
        <v>4968211118.1104002</v>
      </c>
    </row>
    <row r="19" spans="5:10">
      <c r="E19" s="75">
        <f t="shared" ref="E19:J19" si="3">+E17-E15</f>
        <v>0</v>
      </c>
      <c r="F19" s="75">
        <f t="shared" si="3"/>
        <v>0</v>
      </c>
      <c r="G19" s="75">
        <f t="shared" si="3"/>
        <v>0</v>
      </c>
      <c r="H19" s="75">
        <f t="shared" si="3"/>
        <v>0</v>
      </c>
      <c r="I19" s="75">
        <f t="shared" si="3"/>
        <v>0</v>
      </c>
      <c r="J19" s="75">
        <f t="shared" si="3"/>
        <v>0</v>
      </c>
    </row>
    <row r="20" spans="5:10">
      <c r="F20" s="298"/>
    </row>
  </sheetData>
  <mergeCells count="17">
    <mergeCell ref="A7:A9"/>
    <mergeCell ref="B5:J5"/>
    <mergeCell ref="B6:J6"/>
    <mergeCell ref="B15:D15"/>
    <mergeCell ref="B7:B9"/>
    <mergeCell ref="C7:J7"/>
    <mergeCell ref="C8:C9"/>
    <mergeCell ref="D8:D9"/>
    <mergeCell ref="J8:J9"/>
    <mergeCell ref="H8:H9"/>
    <mergeCell ref="E8:G8"/>
    <mergeCell ref="I8:I9"/>
    <mergeCell ref="B1:B3"/>
    <mergeCell ref="F1:J1"/>
    <mergeCell ref="F2:J2"/>
    <mergeCell ref="F3:J3"/>
    <mergeCell ref="C1:E3"/>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tabColor theme="0" tint="-4.9989318521683403E-2"/>
    <pageSetUpPr fitToPage="1"/>
  </sheetPr>
  <dimension ref="A1:X67"/>
  <sheetViews>
    <sheetView zoomScale="70" zoomScaleNormal="70" workbookViewId="0">
      <pane xSplit="8" ySplit="9" topLeftCell="I10" activePane="bottomRight" state="frozen"/>
      <selection activeCell="F55" sqref="F55"/>
      <selection pane="topRight" activeCell="F55" sqref="F55"/>
      <selection pane="bottomLeft" activeCell="F55" sqref="F55"/>
      <selection pane="bottomRight" activeCell="L49" sqref="L49"/>
    </sheetView>
  </sheetViews>
  <sheetFormatPr baseColWidth="10" defaultColWidth="11.42578125" defaultRowHeight="12.75"/>
  <cols>
    <col min="1" max="1" width="6.85546875" style="1842" customWidth="1"/>
    <col min="2" max="2" width="8.140625" style="1842" customWidth="1"/>
    <col min="3" max="3" width="43" style="1" customWidth="1"/>
    <col min="4" max="4" width="20.140625" style="1" customWidth="1"/>
    <col min="5" max="5" width="9.28515625" style="1" customWidth="1"/>
    <col min="6" max="6" width="19" style="96" customWidth="1"/>
    <col min="7" max="7" width="14.85546875" style="96" customWidth="1"/>
    <col min="8" max="8" width="16.5703125" style="98" customWidth="1"/>
    <col min="9" max="9" width="14.42578125" style="98" customWidth="1"/>
    <col min="10" max="10" width="17" style="98" customWidth="1"/>
    <col min="11" max="11" width="14.140625" style="98" customWidth="1"/>
    <col min="12" max="12" width="17.28515625" style="1" customWidth="1"/>
    <col min="13" max="14" width="16.85546875" style="1" customWidth="1"/>
    <col min="15" max="15" width="16" style="1" customWidth="1"/>
    <col min="16" max="16" width="15.5703125" style="1" customWidth="1"/>
    <col min="17" max="17" width="17.140625" style="1" customWidth="1"/>
    <col min="18" max="18" width="15.85546875" style="1" bestFit="1" customWidth="1"/>
    <col min="19" max="19" width="11.42578125" style="1"/>
    <col min="20" max="20" width="15.28515625" style="1" bestFit="1" customWidth="1"/>
    <col min="21" max="21" width="12.5703125" style="1" customWidth="1"/>
    <col min="22" max="16384" width="11.42578125" style="1"/>
  </cols>
  <sheetData>
    <row r="1" spans="1:24" ht="15" customHeight="1">
      <c r="C1" s="2151"/>
      <c r="D1" s="2163" t="s">
        <v>367</v>
      </c>
      <c r="E1" s="2164"/>
      <c r="F1" s="2164"/>
      <c r="G1" s="2164"/>
      <c r="H1" s="2164"/>
      <c r="I1" s="2164"/>
      <c r="J1" s="2164"/>
      <c r="K1" s="2164"/>
      <c r="L1" s="2165"/>
      <c r="M1" s="2248" t="s">
        <v>364</v>
      </c>
      <c r="N1" s="2249"/>
    </row>
    <row r="2" spans="1:24">
      <c r="C2" s="2152"/>
      <c r="D2" s="2166"/>
      <c r="E2" s="2167"/>
      <c r="F2" s="2167"/>
      <c r="G2" s="2167"/>
      <c r="H2" s="2167"/>
      <c r="I2" s="2167"/>
      <c r="J2" s="2167"/>
      <c r="K2" s="2167"/>
      <c r="L2" s="2168"/>
      <c r="M2" s="2250" t="s">
        <v>365</v>
      </c>
      <c r="N2" s="2251"/>
    </row>
    <row r="3" spans="1:24" ht="15.75" customHeight="1" thickBot="1">
      <c r="C3" s="2153"/>
      <c r="D3" s="2169"/>
      <c r="E3" s="2170"/>
      <c r="F3" s="2170"/>
      <c r="G3" s="2170"/>
      <c r="H3" s="2170"/>
      <c r="I3" s="2170"/>
      <c r="J3" s="2170"/>
      <c r="K3" s="2170"/>
      <c r="L3" s="2171"/>
      <c r="M3" s="2252" t="s">
        <v>366</v>
      </c>
      <c r="N3" s="2253"/>
    </row>
    <row r="4" spans="1:24" ht="3.75" customHeight="1" thickBot="1"/>
    <row r="5" spans="1:24" ht="15.75" customHeight="1" thickBot="1">
      <c r="C5" s="2278" t="s">
        <v>184</v>
      </c>
      <c r="D5" s="2279"/>
      <c r="E5" s="2279"/>
      <c r="F5" s="2279"/>
      <c r="G5" s="2279"/>
      <c r="H5" s="2279"/>
      <c r="I5" s="2279"/>
      <c r="J5" s="2279"/>
      <c r="K5" s="2279"/>
      <c r="L5" s="2279"/>
      <c r="M5" s="2279"/>
      <c r="N5" s="2280"/>
    </row>
    <row r="6" spans="1:24" ht="13.5" thickBot="1">
      <c r="C6" s="2145" t="s">
        <v>1400</v>
      </c>
      <c r="D6" s="2146"/>
      <c r="E6" s="2146"/>
      <c r="F6" s="2146"/>
      <c r="G6" s="2146"/>
      <c r="H6" s="2146"/>
      <c r="I6" s="2146"/>
      <c r="J6" s="2146"/>
      <c r="K6" s="2146"/>
      <c r="L6" s="2146"/>
      <c r="M6" s="2146"/>
      <c r="N6" s="2147"/>
    </row>
    <row r="7" spans="1:24" ht="28.5" customHeight="1" thickBot="1">
      <c r="A7" s="2135" t="s">
        <v>368</v>
      </c>
      <c r="B7" s="2135" t="s">
        <v>369</v>
      </c>
      <c r="C7" s="2136" t="s">
        <v>311</v>
      </c>
      <c r="D7" s="2136" t="s">
        <v>312</v>
      </c>
      <c r="E7" s="2136" t="s">
        <v>350</v>
      </c>
      <c r="F7" s="2136" t="s">
        <v>313</v>
      </c>
      <c r="G7" s="2136" t="s">
        <v>191</v>
      </c>
      <c r="H7" s="2136" t="s">
        <v>387</v>
      </c>
      <c r="I7" s="2273" t="s">
        <v>189</v>
      </c>
      <c r="J7" s="2274"/>
      <c r="K7" s="2275"/>
      <c r="L7" s="2136" t="s">
        <v>965</v>
      </c>
      <c r="M7" s="2372" t="s">
        <v>557</v>
      </c>
      <c r="N7" s="2160" t="s">
        <v>909</v>
      </c>
      <c r="O7" s="745" t="s">
        <v>1280</v>
      </c>
      <c r="P7" s="1024" t="s">
        <v>1276</v>
      </c>
      <c r="Q7" s="1024" t="s">
        <v>1277</v>
      </c>
      <c r="R7" s="2156" t="s">
        <v>1278</v>
      </c>
      <c r="S7" s="2155" t="s">
        <v>1279</v>
      </c>
      <c r="T7" s="2155"/>
      <c r="U7" s="2155"/>
      <c r="V7" s="2155"/>
      <c r="W7" s="2154" t="s">
        <v>1302</v>
      </c>
      <c r="X7" s="2154"/>
    </row>
    <row r="8" spans="1:24" ht="15" customHeight="1" thickBot="1">
      <c r="A8" s="2135"/>
      <c r="B8" s="2135"/>
      <c r="C8" s="2135"/>
      <c r="D8" s="2135"/>
      <c r="E8" s="2135"/>
      <c r="F8" s="2135"/>
      <c r="G8" s="2135"/>
      <c r="H8" s="2135"/>
      <c r="I8" s="2135" t="s">
        <v>208</v>
      </c>
      <c r="J8" s="2135" t="s">
        <v>192</v>
      </c>
      <c r="K8" s="2135" t="s">
        <v>277</v>
      </c>
      <c r="L8" s="2135"/>
      <c r="M8" s="2373"/>
      <c r="N8" s="2357"/>
      <c r="O8" s="1030"/>
      <c r="P8" s="1030"/>
      <c r="Q8" s="1030"/>
      <c r="R8" s="2156"/>
      <c r="S8" s="2154" t="s">
        <v>1286</v>
      </c>
      <c r="T8" s="2154"/>
      <c r="U8" s="2154"/>
      <c r="V8" s="2154"/>
      <c r="W8" s="2281" t="s">
        <v>1288</v>
      </c>
      <c r="X8" s="2281" t="s">
        <v>1289</v>
      </c>
    </row>
    <row r="9" spans="1:24" ht="13.5" thickBot="1">
      <c r="A9" s="2210"/>
      <c r="B9" s="2210"/>
      <c r="C9" s="2210"/>
      <c r="D9" s="2210"/>
      <c r="E9" s="2210"/>
      <c r="F9" s="2210"/>
      <c r="G9" s="2210"/>
      <c r="H9" s="2210"/>
      <c r="I9" s="2210"/>
      <c r="J9" s="2210"/>
      <c r="K9" s="2210"/>
      <c r="L9" s="2210"/>
      <c r="M9" s="2374"/>
      <c r="N9" s="2161"/>
      <c r="S9" s="745" t="s">
        <v>208</v>
      </c>
      <c r="T9" s="1029" t="s">
        <v>192</v>
      </c>
      <c r="U9" s="1030" t="s">
        <v>277</v>
      </c>
      <c r="V9" s="1030" t="s">
        <v>356</v>
      </c>
      <c r="W9" s="2281"/>
      <c r="X9" s="2281"/>
    </row>
    <row r="10" spans="1:24" s="150" customFormat="1" ht="81" customHeight="1" thickBot="1">
      <c r="A10" s="1866">
        <v>225</v>
      </c>
      <c r="B10" s="1872"/>
      <c r="C10" s="1897" t="s">
        <v>1439</v>
      </c>
      <c r="D10" s="528"/>
      <c r="E10" s="528"/>
      <c r="F10" s="1707" t="s">
        <v>1098</v>
      </c>
      <c r="G10" s="1707">
        <v>100</v>
      </c>
      <c r="H10" s="528"/>
      <c r="I10" s="528">
        <f>+I11</f>
        <v>26055585.350400001</v>
      </c>
      <c r="J10" s="528">
        <f t="shared" ref="J10:N10" si="0">+J11</f>
        <v>0</v>
      </c>
      <c r="K10" s="528">
        <f t="shared" si="0"/>
        <v>0</v>
      </c>
      <c r="L10" s="528">
        <f t="shared" si="0"/>
        <v>26055585.350400001</v>
      </c>
      <c r="M10" s="528">
        <f t="shared" si="0"/>
        <v>0</v>
      </c>
      <c r="N10" s="528">
        <f t="shared" si="0"/>
        <v>26055585.350400001</v>
      </c>
      <c r="O10" s="1025"/>
      <c r="P10" s="1025"/>
      <c r="Q10" s="1025"/>
      <c r="R10" s="1025"/>
      <c r="S10" s="1025"/>
      <c r="T10" s="1025"/>
      <c r="U10" s="1025"/>
      <c r="V10" s="1025"/>
      <c r="W10" s="2281"/>
      <c r="X10" s="2281"/>
    </row>
    <row r="11" spans="1:24" s="150" customFormat="1" ht="57" customHeight="1">
      <c r="A11" s="1866"/>
      <c r="B11" s="1872" t="s">
        <v>1504</v>
      </c>
      <c r="C11" s="1898" t="s">
        <v>1180</v>
      </c>
      <c r="D11" s="511"/>
      <c r="E11" s="511"/>
      <c r="F11" s="197" t="s">
        <v>1108</v>
      </c>
      <c r="G11" s="197">
        <v>37</v>
      </c>
      <c r="H11" s="337"/>
      <c r="I11" s="957">
        <f t="shared" ref="I11:N11" si="1">+I12</f>
        <v>26055585.350400001</v>
      </c>
      <c r="J11" s="957">
        <f t="shared" si="1"/>
        <v>0</v>
      </c>
      <c r="K11" s="957">
        <f t="shared" si="1"/>
        <v>0</v>
      </c>
      <c r="L11" s="957">
        <f t="shared" si="1"/>
        <v>26055585.350400001</v>
      </c>
      <c r="M11" s="957">
        <f t="shared" si="1"/>
        <v>0</v>
      </c>
      <c r="N11" s="958">
        <f t="shared" si="1"/>
        <v>26055585.350400001</v>
      </c>
      <c r="O11" s="1025"/>
      <c r="P11" s="1025"/>
      <c r="Q11" s="1025"/>
      <c r="R11" s="1025"/>
      <c r="S11" s="1025"/>
      <c r="T11" s="1025"/>
      <c r="U11" s="1025"/>
      <c r="V11" s="1025"/>
    </row>
    <row r="12" spans="1:24" s="1080" customFormat="1" ht="25.5">
      <c r="A12" s="1055"/>
      <c r="B12" s="1055"/>
      <c r="C12" s="1899" t="s">
        <v>724</v>
      </c>
      <c r="D12" s="1205" t="s">
        <v>211</v>
      </c>
      <c r="E12" s="1205">
        <v>83990</v>
      </c>
      <c r="F12" s="1132" t="s">
        <v>405</v>
      </c>
      <c r="G12" s="1132">
        <v>11</v>
      </c>
      <c r="H12" s="1110">
        <f>(6412846*1.12*1.004)</f>
        <v>7211117.0700800009</v>
      </c>
      <c r="I12" s="1206">
        <f>36055585.3504-10000000</f>
        <v>26055585.350400001</v>
      </c>
      <c r="J12" s="1206"/>
      <c r="K12" s="1206"/>
      <c r="L12" s="1207">
        <f>SUM(I12:K12)</f>
        <v>26055585.350400001</v>
      </c>
      <c r="M12" s="1207"/>
      <c r="N12" s="1208">
        <f>+L12+M12</f>
        <v>26055585.350400001</v>
      </c>
      <c r="O12" s="1083">
        <v>26055585.350400001</v>
      </c>
      <c r="P12" s="1083">
        <v>26055585.350400001</v>
      </c>
      <c r="Q12" s="1083">
        <v>26055585.350400001</v>
      </c>
      <c r="R12" s="1083">
        <f>+O12-Q12</f>
        <v>0</v>
      </c>
      <c r="S12" s="1083"/>
      <c r="T12" s="1083"/>
      <c r="U12" s="1083"/>
      <c r="V12" s="1083"/>
      <c r="W12" s="1080" t="s">
        <v>2</v>
      </c>
      <c r="X12" s="1080" t="s">
        <v>1359</v>
      </c>
    </row>
    <row r="13" spans="1:24" s="150" customFormat="1" ht="51.75" thickBot="1">
      <c r="A13" s="1866">
        <v>226</v>
      </c>
      <c r="B13" s="1872"/>
      <c r="C13" s="1900" t="s">
        <v>12</v>
      </c>
      <c r="D13" s="428"/>
      <c r="E13" s="428"/>
      <c r="F13" s="429" t="s">
        <v>1098</v>
      </c>
      <c r="G13" s="429">
        <v>100</v>
      </c>
      <c r="H13" s="455">
        <f>+H14+H22</f>
        <v>9571571.7520000022</v>
      </c>
      <c r="I13" s="455">
        <f t="shared" ref="I13:N13" si="2">+I14+I22</f>
        <v>88507058.75999999</v>
      </c>
      <c r="J13" s="455">
        <f t="shared" si="2"/>
        <v>1599999999</v>
      </c>
      <c r="K13" s="455">
        <f t="shared" si="2"/>
        <v>74150400</v>
      </c>
      <c r="L13" s="455">
        <f t="shared" si="2"/>
        <v>1762657457.76</v>
      </c>
      <c r="M13" s="455">
        <f t="shared" si="2"/>
        <v>3179498075</v>
      </c>
      <c r="N13" s="455">
        <f t="shared" si="2"/>
        <v>4942155532.7600002</v>
      </c>
      <c r="O13" s="1025"/>
      <c r="P13" s="1025"/>
      <c r="Q13" s="1025"/>
      <c r="R13" s="1025"/>
      <c r="S13" s="1025"/>
      <c r="T13" s="1025"/>
      <c r="U13" s="1025"/>
      <c r="V13" s="1025"/>
    </row>
    <row r="14" spans="1:24" s="150" customFormat="1" ht="39" thickBot="1">
      <c r="A14" s="1866"/>
      <c r="B14" s="1872" t="s">
        <v>1505</v>
      </c>
      <c r="C14" s="1901" t="s">
        <v>973</v>
      </c>
      <c r="D14" s="1019"/>
      <c r="E14" s="1019"/>
      <c r="F14" s="1020" t="s">
        <v>1106</v>
      </c>
      <c r="G14" s="1020">
        <v>1</v>
      </c>
      <c r="H14" s="1021">
        <f t="shared" ref="H14:N14" si="3">SUM(H15:H21)</f>
        <v>9571571.7520000022</v>
      </c>
      <c r="I14" s="1022">
        <f t="shared" si="3"/>
        <v>88507058.75999999</v>
      </c>
      <c r="J14" s="1022">
        <f t="shared" si="3"/>
        <v>1599999999</v>
      </c>
      <c r="K14" s="1022">
        <f t="shared" si="3"/>
        <v>74150400</v>
      </c>
      <c r="L14" s="1022">
        <f t="shared" si="3"/>
        <v>1762657457.76</v>
      </c>
      <c r="M14" s="1022">
        <f t="shared" si="3"/>
        <v>0</v>
      </c>
      <c r="N14" s="1023">
        <f t="shared" si="3"/>
        <v>1762657457.76</v>
      </c>
      <c r="O14" s="1025"/>
      <c r="P14" s="1025"/>
      <c r="Q14" s="1025"/>
      <c r="R14" s="1025"/>
      <c r="S14" s="1025"/>
      <c r="T14" s="1025"/>
      <c r="U14" s="1025"/>
      <c r="V14" s="1025"/>
    </row>
    <row r="15" spans="1:24" s="1084" customFormat="1" ht="17.25" customHeight="1">
      <c r="A15" s="1055"/>
      <c r="B15" s="1055"/>
      <c r="C15" s="1902" t="s">
        <v>406</v>
      </c>
      <c r="D15" s="1219" t="s">
        <v>407</v>
      </c>
      <c r="E15" s="1219">
        <v>43410</v>
      </c>
      <c r="F15" s="1220" t="s">
        <v>408</v>
      </c>
      <c r="G15" s="1220">
        <v>1</v>
      </c>
      <c r="H15" s="1221"/>
      <c r="I15" s="1222"/>
      <c r="J15" s="1222">
        <f>1000000000-151000000-175140100+126140100-J16-J17</f>
        <v>692760000</v>
      </c>
      <c r="K15" s="1223">
        <f>151000000-151000000</f>
        <v>0</v>
      </c>
      <c r="L15" s="1223">
        <f>SUM(I15:K15)</f>
        <v>692760000</v>
      </c>
      <c r="M15" s="1223"/>
      <c r="N15" s="1224">
        <f>+L15+M15</f>
        <v>692760000</v>
      </c>
      <c r="O15" s="1085">
        <v>800000000</v>
      </c>
      <c r="P15" s="1085"/>
      <c r="Q15" s="1085"/>
      <c r="R15" s="1085">
        <f t="shared" ref="R15:R21" si="4">+O15-Q15</f>
        <v>800000000</v>
      </c>
      <c r="S15" s="1085"/>
      <c r="T15" s="1085">
        <v>800000000</v>
      </c>
      <c r="U15" s="1085"/>
      <c r="V15" s="1085"/>
      <c r="W15" s="1084" t="s">
        <v>12</v>
      </c>
      <c r="X15" s="1084" t="s">
        <v>1360</v>
      </c>
    </row>
    <row r="16" spans="1:24" s="1084" customFormat="1" ht="17.25" customHeight="1">
      <c r="A16" s="1055"/>
      <c r="B16" s="1055"/>
      <c r="C16" s="1903" t="s">
        <v>1380</v>
      </c>
      <c r="D16" s="1225"/>
      <c r="E16" s="1225"/>
      <c r="F16" s="1226"/>
      <c r="G16" s="1226"/>
      <c r="H16" s="1227"/>
      <c r="I16" s="1228"/>
      <c r="J16" s="1228">
        <v>78613200</v>
      </c>
      <c r="K16" s="1229"/>
      <c r="L16" s="1229">
        <f t="shared" ref="L16:L17" si="5">SUM(I16:K16)</f>
        <v>78613200</v>
      </c>
      <c r="M16" s="1229"/>
      <c r="N16" s="1230">
        <f t="shared" ref="N16:N17" si="6">+L16+M16</f>
        <v>78613200</v>
      </c>
      <c r="O16" s="1085"/>
      <c r="P16" s="1085"/>
      <c r="Q16" s="1085"/>
      <c r="R16" s="1085"/>
      <c r="S16" s="1085"/>
      <c r="T16" s="1085"/>
      <c r="U16" s="1085"/>
      <c r="V16" s="1085"/>
    </row>
    <row r="17" spans="1:24" s="1084" customFormat="1" ht="17.25" customHeight="1">
      <c r="A17" s="1055"/>
      <c r="B17" s="1055"/>
      <c r="C17" s="1903" t="s">
        <v>1381</v>
      </c>
      <c r="D17" s="1225"/>
      <c r="E17" s="1225"/>
      <c r="F17" s="1226"/>
      <c r="G17" s="1226"/>
      <c r="H17" s="1227"/>
      <c r="I17" s="1228">
        <v>40649200</v>
      </c>
      <c r="J17" s="1228">
        <v>28626800</v>
      </c>
      <c r="K17" s="1229"/>
      <c r="L17" s="1229">
        <f t="shared" si="5"/>
        <v>69276000</v>
      </c>
      <c r="M17" s="1229"/>
      <c r="N17" s="1230">
        <f t="shared" si="6"/>
        <v>69276000</v>
      </c>
      <c r="O17" s="1085"/>
      <c r="P17" s="1085"/>
      <c r="Q17" s="1085"/>
      <c r="R17" s="1085"/>
      <c r="S17" s="1085"/>
      <c r="T17" s="1085"/>
      <c r="U17" s="1085"/>
      <c r="V17" s="1085"/>
    </row>
    <row r="18" spans="1:24" s="1084" customFormat="1" ht="19.5" customHeight="1">
      <c r="A18" s="1055"/>
      <c r="B18" s="1055"/>
      <c r="C18" s="1904" t="s">
        <v>620</v>
      </c>
      <c r="D18" s="1213" t="s">
        <v>402</v>
      </c>
      <c r="E18" s="1214" t="s">
        <v>574</v>
      </c>
      <c r="F18" s="1214"/>
      <c r="G18" s="1214"/>
      <c r="H18" s="1231"/>
      <c r="I18" s="1217"/>
      <c r="J18" s="1217"/>
      <c r="K18" s="1217">
        <f>151000000-76849600</f>
        <v>74150400</v>
      </c>
      <c r="L18" s="1217">
        <f>SUM(I18:K18)</f>
        <v>74150400</v>
      </c>
      <c r="M18" s="1217"/>
      <c r="N18" s="1218">
        <f>+L18+M18</f>
        <v>74150400</v>
      </c>
      <c r="O18" s="1085">
        <v>74150400</v>
      </c>
      <c r="P18" s="1085"/>
      <c r="Q18" s="1085"/>
      <c r="R18" s="1085">
        <f t="shared" si="4"/>
        <v>74150400</v>
      </c>
      <c r="S18" s="1085"/>
      <c r="T18" s="1085"/>
      <c r="U18" s="1085">
        <v>74150400</v>
      </c>
      <c r="V18" s="1085"/>
      <c r="W18" s="1084" t="s">
        <v>12</v>
      </c>
      <c r="X18" s="1084" t="s">
        <v>1360</v>
      </c>
    </row>
    <row r="19" spans="1:24" s="1080" customFormat="1" ht="15.75" customHeight="1">
      <c r="A19" s="1055"/>
      <c r="B19" s="1055"/>
      <c r="C19" s="1899" t="s">
        <v>409</v>
      </c>
      <c r="D19" s="1205" t="s">
        <v>211</v>
      </c>
      <c r="E19" s="1205">
        <v>83990</v>
      </c>
      <c r="F19" s="1132" t="s">
        <v>405</v>
      </c>
      <c r="G19" s="1132">
        <v>11</v>
      </c>
      <c r="H19" s="1110">
        <f>(4273024*1.12-1.004)</f>
        <v>4785785.8760000011</v>
      </c>
      <c r="I19" s="1206">
        <v>47379292</v>
      </c>
      <c r="J19" s="1206"/>
      <c r="K19" s="1207"/>
      <c r="L19" s="1207">
        <f>SUM(I19:K19)</f>
        <v>47379292</v>
      </c>
      <c r="M19" s="1207"/>
      <c r="N19" s="1208">
        <f>+L19+M19</f>
        <v>47379292</v>
      </c>
      <c r="O19" s="1083">
        <v>47857859</v>
      </c>
      <c r="P19" s="1083">
        <v>47379292</v>
      </c>
      <c r="Q19" s="1083">
        <v>47379292</v>
      </c>
      <c r="R19" s="1083">
        <f t="shared" si="4"/>
        <v>478567</v>
      </c>
      <c r="S19" s="1083">
        <v>478567</v>
      </c>
      <c r="T19" s="1083"/>
      <c r="U19" s="1083"/>
      <c r="V19" s="1083"/>
      <c r="W19" s="1080" t="s">
        <v>12</v>
      </c>
      <c r="X19" s="1080" t="s">
        <v>1361</v>
      </c>
    </row>
    <row r="20" spans="1:24" s="1084" customFormat="1" ht="15.75" customHeight="1">
      <c r="A20" s="1055"/>
      <c r="B20" s="1055"/>
      <c r="C20" s="1904" t="s">
        <v>409</v>
      </c>
      <c r="D20" s="1213" t="s">
        <v>211</v>
      </c>
      <c r="E20" s="1213">
        <v>83990</v>
      </c>
      <c r="F20" s="1214" t="s">
        <v>405</v>
      </c>
      <c r="G20" s="1214">
        <v>11</v>
      </c>
      <c r="H20" s="1215">
        <f>(4273024*1.12-1.004)</f>
        <v>4785785.8760000011</v>
      </c>
      <c r="I20" s="1216">
        <f>47857858.76-I19</f>
        <v>478566.75999999791</v>
      </c>
      <c r="J20" s="1216"/>
      <c r="K20" s="1217"/>
      <c r="L20" s="1217">
        <f>SUM(I20:K20)</f>
        <v>478566.75999999791</v>
      </c>
      <c r="M20" s="1217"/>
      <c r="N20" s="1218">
        <f>+L20+M20</f>
        <v>478566.75999999791</v>
      </c>
      <c r="O20" s="1085">
        <v>47857859</v>
      </c>
      <c r="P20" s="1085">
        <v>47379292</v>
      </c>
      <c r="Q20" s="1085">
        <v>47379292</v>
      </c>
      <c r="R20" s="1085">
        <f t="shared" ref="R20" si="7">+O20-Q20</f>
        <v>478567</v>
      </c>
      <c r="S20" s="1085">
        <v>478567</v>
      </c>
      <c r="T20" s="1085"/>
      <c r="U20" s="1085"/>
      <c r="V20" s="1085"/>
      <c r="W20" s="1084" t="s">
        <v>12</v>
      </c>
      <c r="X20" s="1084" t="s">
        <v>1361</v>
      </c>
    </row>
    <row r="21" spans="1:24" s="1084" customFormat="1" ht="15.75" thickBot="1">
      <c r="A21" s="1055"/>
      <c r="B21" s="1055"/>
      <c r="C21" s="1905" t="s">
        <v>1266</v>
      </c>
      <c r="D21" s="1233"/>
      <c r="E21" s="1234"/>
      <c r="F21" s="1234"/>
      <c r="G21" s="1234"/>
      <c r="H21" s="1127"/>
      <c r="I21" s="1235"/>
      <c r="J21" s="1235">
        <f>926140099-126140100</f>
        <v>799999999</v>
      </c>
      <c r="K21" s="1235"/>
      <c r="L21" s="1235">
        <f>SUM(I21:K21)</f>
        <v>799999999</v>
      </c>
      <c r="M21" s="1235"/>
      <c r="N21" s="1236">
        <f>+L21+M21</f>
        <v>799999999</v>
      </c>
      <c r="O21" s="1085">
        <v>799999999</v>
      </c>
      <c r="P21" s="1085"/>
      <c r="Q21" s="1085"/>
      <c r="R21" s="1085">
        <f t="shared" si="4"/>
        <v>799999999</v>
      </c>
      <c r="S21" s="1085"/>
      <c r="T21" s="1085">
        <v>799999999</v>
      </c>
      <c r="U21" s="1085"/>
      <c r="V21" s="1085"/>
    </row>
    <row r="22" spans="1:24" s="150" customFormat="1" ht="13.5" thickBot="1">
      <c r="A22" s="1866"/>
      <c r="B22" s="1872" t="s">
        <v>1506</v>
      </c>
      <c r="C22" s="1906" t="s">
        <v>791</v>
      </c>
      <c r="D22" s="424"/>
      <c r="E22" s="424"/>
      <c r="F22" s="413"/>
      <c r="G22" s="413"/>
      <c r="H22" s="426">
        <f t="shared" ref="H22:N22" si="8">+SUM(H23:H26)</f>
        <v>0</v>
      </c>
      <c r="I22" s="533">
        <f t="shared" si="8"/>
        <v>0</v>
      </c>
      <c r="J22" s="533">
        <f t="shared" si="8"/>
        <v>0</v>
      </c>
      <c r="K22" s="533">
        <f t="shared" si="8"/>
        <v>0</v>
      </c>
      <c r="L22" s="533">
        <f t="shared" si="8"/>
        <v>0</v>
      </c>
      <c r="M22" s="533">
        <f t="shared" si="8"/>
        <v>3179498075</v>
      </c>
      <c r="N22" s="534">
        <f t="shared" si="8"/>
        <v>3179498075</v>
      </c>
      <c r="O22" s="1025"/>
      <c r="P22" s="1025"/>
      <c r="Q22" s="1025"/>
      <c r="R22" s="1025"/>
      <c r="S22" s="1025"/>
      <c r="T22" s="1025"/>
      <c r="U22" s="1025"/>
      <c r="V22" s="1025"/>
    </row>
    <row r="23" spans="1:24" s="150" customFormat="1">
      <c r="A23" s="1841"/>
      <c r="B23" s="1868"/>
      <c r="C23" s="425" t="s">
        <v>835</v>
      </c>
      <c r="D23" s="416" t="s">
        <v>407</v>
      </c>
      <c r="E23" s="377">
        <v>43410</v>
      </c>
      <c r="F23" s="377" t="s">
        <v>408</v>
      </c>
      <c r="G23" s="377">
        <v>1</v>
      </c>
      <c r="H23" s="420"/>
      <c r="I23" s="529"/>
      <c r="J23" s="529"/>
      <c r="K23" s="529"/>
      <c r="L23" s="529">
        <f>SUM(I23:K23)</f>
        <v>0</v>
      </c>
      <c r="M23" s="529">
        <f>2831674565-29148704</f>
        <v>2802525861</v>
      </c>
      <c r="N23" s="530">
        <f>+L23+M23</f>
        <v>2802525861</v>
      </c>
      <c r="O23" s="1025">
        <v>2802525861</v>
      </c>
      <c r="P23" s="1025">
        <v>2802525861</v>
      </c>
      <c r="Q23" s="1025">
        <v>2802525861</v>
      </c>
      <c r="R23" s="1025">
        <f>+O23-Q23</f>
        <v>0</v>
      </c>
      <c r="S23" s="1025"/>
      <c r="T23" s="1025"/>
      <c r="U23" s="1025"/>
      <c r="V23" s="1025"/>
      <c r="W23" s="150" t="s">
        <v>12</v>
      </c>
      <c r="X23" s="150" t="s">
        <v>791</v>
      </c>
    </row>
    <row r="24" spans="1:24" s="150" customFormat="1">
      <c r="A24" s="1841"/>
      <c r="B24" s="1868"/>
      <c r="C24" s="255" t="s">
        <v>836</v>
      </c>
      <c r="D24" s="401" t="s">
        <v>211</v>
      </c>
      <c r="E24" s="185">
        <v>83990</v>
      </c>
      <c r="F24" s="185" t="s">
        <v>408</v>
      </c>
      <c r="G24" s="185">
        <v>1</v>
      </c>
      <c r="H24" s="213"/>
      <c r="I24" s="531"/>
      <c r="J24" s="531"/>
      <c r="K24" s="531"/>
      <c r="L24" s="531">
        <f>SUM(I24:K24)</f>
        <v>0</v>
      </c>
      <c r="M24" s="531">
        <v>347823510</v>
      </c>
      <c r="N24" s="532">
        <f>+L24+M24</f>
        <v>347823510</v>
      </c>
      <c r="O24" s="1025">
        <v>347823510</v>
      </c>
      <c r="P24" s="1025">
        <v>347823510</v>
      </c>
      <c r="Q24" s="1025">
        <v>347823510</v>
      </c>
      <c r="R24" s="1025">
        <f t="shared" ref="R24:R25" si="9">+O24-Q24</f>
        <v>0</v>
      </c>
      <c r="S24" s="1025"/>
      <c r="T24" s="1025"/>
      <c r="U24" s="1025"/>
      <c r="V24" s="1025"/>
      <c r="W24" s="150" t="s">
        <v>12</v>
      </c>
      <c r="X24" s="150" t="s">
        <v>791</v>
      </c>
    </row>
    <row r="25" spans="1:24" s="150" customFormat="1">
      <c r="A25" s="1841"/>
      <c r="B25" s="1868"/>
      <c r="C25" s="255" t="s">
        <v>837</v>
      </c>
      <c r="D25" s="401" t="s">
        <v>211</v>
      </c>
      <c r="E25" s="185">
        <v>83990</v>
      </c>
      <c r="F25" s="185" t="s">
        <v>405</v>
      </c>
      <c r="G25" s="185">
        <v>10</v>
      </c>
      <c r="H25" s="213"/>
      <c r="I25" s="531"/>
      <c r="J25" s="531"/>
      <c r="K25" s="531"/>
      <c r="L25" s="531">
        <f>SUM(I25:K25)</f>
        <v>0</v>
      </c>
      <c r="M25" s="531">
        <v>29148704</v>
      </c>
      <c r="N25" s="532">
        <f>+L25+M25</f>
        <v>29148704</v>
      </c>
      <c r="O25" s="1025">
        <v>29148704</v>
      </c>
      <c r="P25" s="1025">
        <v>29148704</v>
      </c>
      <c r="Q25" s="1025">
        <v>29148704</v>
      </c>
      <c r="R25" s="1025">
        <f t="shared" si="9"/>
        <v>0</v>
      </c>
      <c r="S25" s="1025"/>
      <c r="T25" s="1025"/>
      <c r="U25" s="1025"/>
      <c r="V25" s="1025"/>
      <c r="W25" s="150" t="s">
        <v>12</v>
      </c>
      <c r="X25" s="150" t="s">
        <v>791</v>
      </c>
    </row>
    <row r="26" spans="1:24" s="150" customFormat="1">
      <c r="A26" s="1841"/>
      <c r="B26" s="1841"/>
      <c r="C26" s="255" t="s">
        <v>316</v>
      </c>
      <c r="D26" s="401" t="s">
        <v>381</v>
      </c>
      <c r="E26" s="185">
        <v>65119</v>
      </c>
      <c r="F26" s="185"/>
      <c r="G26" s="185"/>
      <c r="H26" s="213"/>
      <c r="I26" s="531"/>
      <c r="J26" s="531"/>
      <c r="K26" s="531"/>
      <c r="L26" s="531">
        <f>SUM(I26:K26)</f>
        <v>0</v>
      </c>
      <c r="M26" s="531"/>
      <c r="N26" s="532">
        <f>+L26+M26</f>
        <v>0</v>
      </c>
      <c r="O26" s="1025"/>
      <c r="P26" s="1025"/>
      <c r="Q26" s="1025"/>
      <c r="R26" s="1025"/>
      <c r="S26" s="1025"/>
      <c r="T26" s="1025"/>
      <c r="U26" s="1025"/>
      <c r="V26" s="1025"/>
      <c r="W26" s="150" t="s">
        <v>12</v>
      </c>
      <c r="X26" s="150" t="s">
        <v>791</v>
      </c>
    </row>
    <row r="27" spans="1:24" s="295" customFormat="1" ht="13.5" thickBot="1">
      <c r="A27" s="1841"/>
      <c r="B27" s="1841"/>
      <c r="C27" s="2375" t="s">
        <v>10</v>
      </c>
      <c r="D27" s="2376"/>
      <c r="E27" s="2376"/>
      <c r="F27" s="2376"/>
      <c r="G27" s="2376"/>
      <c r="H27" s="2376"/>
      <c r="I27" s="535">
        <f t="shared" ref="I27:N27" si="10">+I13+I10</f>
        <v>114562644.11039999</v>
      </c>
      <c r="J27" s="535">
        <f t="shared" si="10"/>
        <v>1599999999</v>
      </c>
      <c r="K27" s="535">
        <f t="shared" si="10"/>
        <v>74150400</v>
      </c>
      <c r="L27" s="535">
        <f t="shared" si="10"/>
        <v>1788713043.1104</v>
      </c>
      <c r="M27" s="535">
        <f t="shared" si="10"/>
        <v>3179498075</v>
      </c>
      <c r="N27" s="536">
        <f t="shared" si="10"/>
        <v>4968211118.1104002</v>
      </c>
      <c r="O27" s="1028"/>
      <c r="P27" s="1028"/>
      <c r="Q27" s="1028"/>
      <c r="R27" s="1031">
        <f>SUM(R10:R26)</f>
        <v>1675107533</v>
      </c>
      <c r="S27" s="1031">
        <f t="shared" ref="S27:V27" si="11">SUM(S10:S26)</f>
        <v>957134</v>
      </c>
      <c r="T27" s="1031">
        <f t="shared" si="11"/>
        <v>1599999999</v>
      </c>
      <c r="U27" s="1031">
        <f t="shared" si="11"/>
        <v>74150400</v>
      </c>
      <c r="V27" s="1031">
        <f t="shared" si="11"/>
        <v>0</v>
      </c>
    </row>
    <row r="28" spans="1:24" ht="13.5" thickBot="1">
      <c r="J28" s="457"/>
      <c r="K28" s="457"/>
    </row>
    <row r="29" spans="1:24" ht="13.5" thickBot="1">
      <c r="I29" s="458">
        <v>114562644.11040001</v>
      </c>
      <c r="J29" s="459">
        <v>1599999999</v>
      </c>
      <c r="K29" s="459">
        <v>74150400</v>
      </c>
      <c r="L29" s="458">
        <v>1788713043.1104</v>
      </c>
      <c r="M29" s="458">
        <v>3179498075</v>
      </c>
      <c r="N29" s="458">
        <v>4968211118.1104002</v>
      </c>
      <c r="R29" s="292"/>
    </row>
    <row r="30" spans="1:24">
      <c r="I30" s="460"/>
      <c r="J30" s="460"/>
      <c r="K30" s="460"/>
      <c r="L30" s="460"/>
      <c r="M30" s="460"/>
      <c r="N30" s="460"/>
    </row>
    <row r="31" spans="1:24">
      <c r="I31" s="460">
        <f>+I27-I29</f>
        <v>0</v>
      </c>
      <c r="J31" s="460">
        <f>+J27-J29</f>
        <v>0</v>
      </c>
      <c r="K31" s="460"/>
      <c r="L31" s="460">
        <f>+L27-L29</f>
        <v>0</v>
      </c>
      <c r="M31" s="461">
        <f>+M29-M27</f>
        <v>0</v>
      </c>
      <c r="N31" s="460">
        <f>+N27-N29</f>
        <v>0</v>
      </c>
      <c r="R31" s="292"/>
      <c r="T31" s="292"/>
    </row>
    <row r="32" spans="1:24">
      <c r="R32" s="292"/>
    </row>
    <row r="33" spans="4:16">
      <c r="I33" s="460"/>
      <c r="J33" s="460"/>
      <c r="K33" s="460"/>
      <c r="L33" s="461"/>
      <c r="N33" s="463">
        <f>+N29-M29</f>
        <v>1788713043.1104002</v>
      </c>
      <c r="O33" s="215" t="s">
        <v>974</v>
      </c>
    </row>
    <row r="34" spans="4:16">
      <c r="I34" s="462"/>
      <c r="L34" s="314"/>
      <c r="N34" s="314"/>
    </row>
    <row r="35" spans="4:16">
      <c r="I35" s="460"/>
      <c r="J35" s="462"/>
      <c r="K35" s="462"/>
      <c r="N35" s="1125">
        <f>+N12+N19</f>
        <v>73434877.350400001</v>
      </c>
      <c r="O35" s="1" t="s">
        <v>1387</v>
      </c>
    </row>
    <row r="36" spans="4:16">
      <c r="I36" s="462"/>
    </row>
    <row r="37" spans="4:16">
      <c r="L37" s="314"/>
      <c r="N37" s="314"/>
    </row>
    <row r="40" spans="4:16">
      <c r="I40" s="462"/>
      <c r="P40" s="315"/>
    </row>
    <row r="41" spans="4:16">
      <c r="D41" s="464"/>
    </row>
    <row r="43" spans="4:16">
      <c r="H43" s="96"/>
    </row>
    <row r="53" spans="6:7">
      <c r="F53" s="1"/>
      <c r="G53" s="1"/>
    </row>
    <row r="54" spans="6:7">
      <c r="F54" s="1"/>
      <c r="G54" s="1"/>
    </row>
    <row r="55" spans="6:7">
      <c r="F55" s="1"/>
      <c r="G55" s="1"/>
    </row>
    <row r="56" spans="6:7">
      <c r="F56" s="1"/>
      <c r="G56" s="1"/>
    </row>
    <row r="57" spans="6:7">
      <c r="F57" s="1"/>
      <c r="G57" s="1"/>
    </row>
    <row r="58" spans="6:7">
      <c r="F58" s="1"/>
      <c r="G58" s="1"/>
    </row>
    <row r="59" spans="6:7">
      <c r="F59" s="1"/>
      <c r="G59" s="1"/>
    </row>
    <row r="60" spans="6:7">
      <c r="F60" s="1"/>
      <c r="G60" s="1"/>
    </row>
    <row r="61" spans="6:7">
      <c r="F61" s="1"/>
      <c r="G61" s="1"/>
    </row>
    <row r="62" spans="6:7">
      <c r="F62" s="1"/>
      <c r="G62" s="1"/>
    </row>
    <row r="63" spans="6:7">
      <c r="F63" s="1"/>
      <c r="G63" s="1"/>
    </row>
    <row r="64" spans="6:7">
      <c r="F64" s="1"/>
      <c r="G64" s="1"/>
    </row>
    <row r="65" spans="6:7">
      <c r="F65" s="1"/>
      <c r="G65" s="1"/>
    </row>
    <row r="66" spans="6:7">
      <c r="F66" s="1"/>
      <c r="G66" s="1"/>
    </row>
    <row r="67" spans="6:7">
      <c r="F67" s="1"/>
      <c r="G67" s="1"/>
    </row>
  </sheetData>
  <autoFilter ref="A9:X27"/>
  <mergeCells count="29">
    <mergeCell ref="C27:H27"/>
    <mergeCell ref="H7:H9"/>
    <mergeCell ref="L7:L9"/>
    <mergeCell ref="C7:C9"/>
    <mergeCell ref="D7:D9"/>
    <mergeCell ref="E7:E9"/>
    <mergeCell ref="F7:F9"/>
    <mergeCell ref="G7:G9"/>
    <mergeCell ref="I8:I9"/>
    <mergeCell ref="J8:J9"/>
    <mergeCell ref="D1:L3"/>
    <mergeCell ref="N7:N9"/>
    <mergeCell ref="C6:N6"/>
    <mergeCell ref="C5:N5"/>
    <mergeCell ref="A7:A9"/>
    <mergeCell ref="B7:B9"/>
    <mergeCell ref="C1:C3"/>
    <mergeCell ref="K8:K9"/>
    <mergeCell ref="M7:M9"/>
    <mergeCell ref="M1:N1"/>
    <mergeCell ref="M2:N2"/>
    <mergeCell ref="M3:N3"/>
    <mergeCell ref="I7:K7"/>
    <mergeCell ref="W7:X7"/>
    <mergeCell ref="W8:W10"/>
    <mergeCell ref="X8:X10"/>
    <mergeCell ref="R7:R8"/>
    <mergeCell ref="S7:V7"/>
    <mergeCell ref="S8:V8"/>
  </mergeCells>
  <pageMargins left="0.70866141732283461" right="0.70866141732283461" top="0.74803149606299213" bottom="0.74803149606299213" header="0.31496062992125984" footer="0.31496062992125984"/>
  <pageSetup paperSize="9" scale="77" orientation="landscape" verticalDpi="597"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0" tint="-4.9989318521683403E-2"/>
  </sheetPr>
  <dimension ref="A1:V23"/>
  <sheetViews>
    <sheetView workbookViewId="0">
      <pane xSplit="4" ySplit="9" topLeftCell="E10" activePane="bottomRight" state="frozen"/>
      <selection activeCell="F55" sqref="F55"/>
      <selection pane="topRight" activeCell="F55" sqref="F55"/>
      <selection pane="bottomLeft" activeCell="F55" sqref="F55"/>
      <selection pane="bottomRight" activeCell="M35" sqref="M35"/>
    </sheetView>
  </sheetViews>
  <sheetFormatPr baseColWidth="10" defaultRowHeight="15"/>
  <cols>
    <col min="1" max="1" width="8.7109375" customWidth="1"/>
    <col min="2" max="2" width="30" customWidth="1"/>
    <col min="3" max="3" width="11.85546875" customWidth="1"/>
    <col min="4" max="4" width="6.85546875" customWidth="1"/>
    <col min="5" max="5" width="18.85546875" customWidth="1"/>
    <col min="6" max="8" width="15.42578125" customWidth="1"/>
    <col min="9" max="10" width="17.5703125" customWidth="1"/>
    <col min="11" max="12" width="20.7109375" customWidth="1"/>
    <col min="13" max="13" width="14.140625" bestFit="1" customWidth="1"/>
    <col min="14" max="14" width="26.7109375" customWidth="1"/>
  </cols>
  <sheetData>
    <row r="1" spans="1:22" ht="15" customHeight="1">
      <c r="B1" s="2201"/>
      <c r="C1" s="2313" t="s">
        <v>367</v>
      </c>
      <c r="D1" s="2314"/>
      <c r="E1" s="2314"/>
      <c r="F1" s="2314"/>
      <c r="G1" s="2314"/>
      <c r="H1" s="2314"/>
      <c r="I1" s="2314"/>
      <c r="J1" s="2248" t="s">
        <v>364</v>
      </c>
      <c r="K1" s="2249"/>
    </row>
    <row r="2" spans="1:22">
      <c r="B2" s="2202"/>
      <c r="C2" s="2316"/>
      <c r="D2" s="2317"/>
      <c r="E2" s="2317"/>
      <c r="F2" s="2317"/>
      <c r="G2" s="2317"/>
      <c r="H2" s="2317"/>
      <c r="I2" s="2317"/>
      <c r="J2" s="2250" t="s">
        <v>365</v>
      </c>
      <c r="K2" s="2251"/>
    </row>
    <row r="3" spans="1:22" ht="15.75" thickBot="1">
      <c r="B3" s="2203"/>
      <c r="C3" s="2319"/>
      <c r="D3" s="2320"/>
      <c r="E3" s="2320"/>
      <c r="F3" s="2320"/>
      <c r="G3" s="2320"/>
      <c r="H3" s="2320"/>
      <c r="I3" s="2320"/>
      <c r="J3" s="2252" t="s">
        <v>366</v>
      </c>
      <c r="K3" s="2253"/>
    </row>
    <row r="4" spans="1:22" s="1" customFormat="1" ht="6" customHeight="1" thickBot="1">
      <c r="A4"/>
      <c r="B4"/>
      <c r="C4"/>
      <c r="D4" s="99"/>
      <c r="E4" s="99"/>
      <c r="F4" s="99"/>
      <c r="G4"/>
      <c r="H4"/>
      <c r="I4"/>
      <c r="J4"/>
      <c r="K4"/>
      <c r="L4"/>
      <c r="M4"/>
      <c r="N4"/>
      <c r="O4"/>
      <c r="P4"/>
      <c r="Q4"/>
      <c r="R4"/>
      <c r="S4"/>
      <c r="T4"/>
      <c r="U4"/>
      <c r="V4"/>
    </row>
    <row r="5" spans="1:22" s="1" customFormat="1" ht="15.75" thickBot="1">
      <c r="B5" s="2145" t="s">
        <v>185</v>
      </c>
      <c r="C5" s="2146"/>
      <c r="D5" s="2146"/>
      <c r="E5" s="2146"/>
      <c r="F5" s="2146"/>
      <c r="G5" s="2146"/>
      <c r="H5" s="2146"/>
      <c r="I5" s="2146"/>
      <c r="J5" s="2146"/>
      <c r="K5" s="2147"/>
      <c r="M5"/>
      <c r="N5"/>
      <c r="O5"/>
      <c r="P5"/>
      <c r="Q5"/>
      <c r="R5"/>
      <c r="S5"/>
      <c r="T5"/>
      <c r="U5"/>
      <c r="V5"/>
    </row>
    <row r="6" spans="1:22" ht="15.75" thickBot="1">
      <c r="B6" s="2377" t="s">
        <v>1401</v>
      </c>
      <c r="C6" s="2378"/>
      <c r="D6" s="2378"/>
      <c r="E6" s="2378"/>
      <c r="F6" s="2378"/>
      <c r="G6" s="2378"/>
      <c r="H6" s="2378"/>
      <c r="I6" s="2378"/>
      <c r="J6" s="2378"/>
      <c r="K6" s="2379"/>
    </row>
    <row r="7" spans="1:22" ht="15" customHeight="1" thickBot="1">
      <c r="A7" s="2135" t="s">
        <v>278</v>
      </c>
      <c r="B7" s="2198" t="s">
        <v>188</v>
      </c>
      <c r="C7" s="2198">
        <v>2024</v>
      </c>
      <c r="D7" s="2198"/>
      <c r="E7" s="2198"/>
      <c r="F7" s="2198"/>
      <c r="G7" s="2198"/>
      <c r="H7" s="2198">
        <v>2024</v>
      </c>
      <c r="I7" s="2198"/>
      <c r="J7" s="2204" t="s">
        <v>356</v>
      </c>
      <c r="K7" s="2161" t="s">
        <v>319</v>
      </c>
      <c r="L7" s="2161" t="s">
        <v>1269</v>
      </c>
    </row>
    <row r="8" spans="1:22" ht="18.75" customHeight="1" thickBot="1">
      <c r="A8" s="2135"/>
      <c r="B8" s="2198"/>
      <c r="C8" s="2159" t="s">
        <v>190</v>
      </c>
      <c r="D8" s="2159" t="s">
        <v>191</v>
      </c>
      <c r="E8" s="2148" t="s">
        <v>213</v>
      </c>
      <c r="F8" s="2150"/>
      <c r="G8" s="2209" t="s">
        <v>1023</v>
      </c>
      <c r="H8" s="389" t="s">
        <v>527</v>
      </c>
      <c r="I8" s="2161" t="s">
        <v>912</v>
      </c>
      <c r="J8" s="2205"/>
      <c r="K8" s="2382"/>
      <c r="L8" s="2382"/>
    </row>
    <row r="9" spans="1:22" ht="15.75" thickBot="1">
      <c r="A9" s="2135"/>
      <c r="B9" s="2199"/>
      <c r="C9" s="2200"/>
      <c r="D9" s="2200"/>
      <c r="E9" s="493" t="s">
        <v>208</v>
      </c>
      <c r="F9" s="493" t="s">
        <v>192</v>
      </c>
      <c r="G9" s="2204"/>
      <c r="H9" s="491" t="s">
        <v>355</v>
      </c>
      <c r="I9" s="2382"/>
      <c r="J9" s="2205"/>
      <c r="K9" s="2382"/>
      <c r="L9" s="2382"/>
    </row>
    <row r="10" spans="1:22" ht="51.75" customHeight="1" thickBot="1">
      <c r="A10" s="163">
        <v>3208006</v>
      </c>
      <c r="B10" s="154" t="s">
        <v>1440</v>
      </c>
      <c r="C10" s="74" t="s">
        <v>1098</v>
      </c>
      <c r="D10" s="74">
        <v>100</v>
      </c>
      <c r="E10" s="537">
        <f>SUM(E11:E15)</f>
        <v>1246412701.6351342</v>
      </c>
      <c r="F10" s="537">
        <f t="shared" ref="F10:K10" si="0">SUM(F11:F15)</f>
        <v>150000000</v>
      </c>
      <c r="G10" s="537">
        <f t="shared" si="0"/>
        <v>1396412701.6351342</v>
      </c>
      <c r="H10" s="537">
        <f t="shared" si="0"/>
        <v>204111704</v>
      </c>
      <c r="I10" s="537">
        <f t="shared" si="0"/>
        <v>204111704</v>
      </c>
      <c r="J10" s="537">
        <f t="shared" si="0"/>
        <v>2225757601</v>
      </c>
      <c r="K10" s="537">
        <f t="shared" si="0"/>
        <v>3826282006.6351342</v>
      </c>
      <c r="L10" s="537">
        <f t="shared" ref="L10" si="1">SUM(L11:L15)</f>
        <v>14400000</v>
      </c>
    </row>
    <row r="11" spans="1:22" ht="57.75" customHeight="1">
      <c r="B11" s="26" t="s">
        <v>968</v>
      </c>
      <c r="C11" s="1652" t="s">
        <v>1098</v>
      </c>
      <c r="D11" s="1652">
        <v>100</v>
      </c>
      <c r="E11" s="538">
        <f>+'ACCIONES 320801'!I11</f>
        <v>729404826.6351341</v>
      </c>
      <c r="F11" s="538">
        <f>+'ACCIONES 320801'!J11</f>
        <v>0</v>
      </c>
      <c r="G11" s="538">
        <f>+'ACCIONES 320801'!K11</f>
        <v>729404826.6351341</v>
      </c>
      <c r="H11" s="538">
        <f>+'ACCIONES 320801'!L11</f>
        <v>0</v>
      </c>
      <c r="I11" s="538">
        <f>+'ACCIONES 320801'!M11</f>
        <v>0</v>
      </c>
      <c r="J11" s="538">
        <f>+'ACCIONES 320801'!N11</f>
        <v>0</v>
      </c>
      <c r="K11" s="539">
        <f>+'ACCIONES 320801'!O11</f>
        <v>729404826.6351341</v>
      </c>
      <c r="L11" s="539">
        <f>+'ACCIONES 320801'!P11</f>
        <v>0</v>
      </c>
    </row>
    <row r="12" spans="1:22" ht="30.75" customHeight="1">
      <c r="B12" s="5" t="s">
        <v>970</v>
      </c>
      <c r="C12" s="1652" t="s">
        <v>1108</v>
      </c>
      <c r="D12" s="1652">
        <v>37</v>
      </c>
      <c r="E12" s="281">
        <f>+'ACCIONES 320801'!I31</f>
        <v>374190939</v>
      </c>
      <c r="F12" s="281">
        <f>+'ACCIONES 320801'!J31</f>
        <v>150000000</v>
      </c>
      <c r="G12" s="281">
        <f>+'ACCIONES 320801'!K31</f>
        <v>524190939</v>
      </c>
      <c r="H12" s="281">
        <f>+'ACCIONES 320801'!L31</f>
        <v>99805852</v>
      </c>
      <c r="I12" s="281">
        <f>+'ACCIONES 320801'!M31</f>
        <v>99805852</v>
      </c>
      <c r="J12" s="281">
        <f>+'ACCIONES 320801'!N31</f>
        <v>0</v>
      </c>
      <c r="K12" s="300">
        <f>+'ACCIONES 320801'!O31</f>
        <v>623996791</v>
      </c>
      <c r="L12" s="300">
        <f>+'ACCIONES 320801'!P31</f>
        <v>14400000</v>
      </c>
    </row>
    <row r="13" spans="1:22" ht="51">
      <c r="B13" s="5" t="s">
        <v>967</v>
      </c>
      <c r="C13" s="1652" t="s">
        <v>1108</v>
      </c>
      <c r="D13" s="1652">
        <v>37</v>
      </c>
      <c r="E13" s="281">
        <f>+'ACCIONES 320801'!I39</f>
        <v>142816936</v>
      </c>
      <c r="F13" s="281">
        <f>+'ACCIONES 320801'!J39</f>
        <v>0</v>
      </c>
      <c r="G13" s="281">
        <f>+'ACCIONES 320801'!K39</f>
        <v>142816936</v>
      </c>
      <c r="H13" s="281">
        <f>+'ACCIONES 320801'!L39</f>
        <v>104305852</v>
      </c>
      <c r="I13" s="281">
        <f>+'ACCIONES 320801'!M39</f>
        <v>104305852</v>
      </c>
      <c r="J13" s="281">
        <f>+'ACCIONES 320801'!N39</f>
        <v>0</v>
      </c>
      <c r="K13" s="300">
        <f>+'ACCIONES 320801'!O39</f>
        <v>247122788</v>
      </c>
      <c r="L13" s="300">
        <f>+'ACCIONES 320801'!P39</f>
        <v>0</v>
      </c>
    </row>
    <row r="14" spans="1:22" ht="36" customHeight="1">
      <c r="B14" s="1847" t="s">
        <v>971</v>
      </c>
      <c r="C14" s="6" t="s">
        <v>198</v>
      </c>
      <c r="D14" s="6">
        <v>1</v>
      </c>
      <c r="E14" s="281">
        <f>+'ACCIONES 320801'!I45</f>
        <v>0</v>
      </c>
      <c r="F14" s="281">
        <f>+'ACCIONES 320801'!J45</f>
        <v>0</v>
      </c>
      <c r="G14" s="281">
        <f>+'ACCIONES 320801'!K45</f>
        <v>0</v>
      </c>
      <c r="H14" s="281">
        <f>+'ACCIONES 320801'!L45</f>
        <v>0</v>
      </c>
      <c r="I14" s="281">
        <f>+'ACCIONES 320801'!M45</f>
        <v>0</v>
      </c>
      <c r="J14" s="281">
        <f>+'ACCIONES 320801'!N45</f>
        <v>1953386677</v>
      </c>
      <c r="K14" s="300">
        <f>+'ACCIONES 320801'!O45</f>
        <v>1953386677</v>
      </c>
      <c r="L14" s="300">
        <f>+'ACCIONES 320801'!P45</f>
        <v>0</v>
      </c>
    </row>
    <row r="15" spans="1:22" ht="34.5" customHeight="1" thickBot="1">
      <c r="B15" s="1846" t="s">
        <v>972</v>
      </c>
      <c r="C15" s="101" t="s">
        <v>198</v>
      </c>
      <c r="D15" s="101">
        <v>1</v>
      </c>
      <c r="E15" s="540">
        <f>+'ACCIONES 320801'!I56</f>
        <v>0</v>
      </c>
      <c r="F15" s="540">
        <f>+'ACCIONES 320801'!J56</f>
        <v>0</v>
      </c>
      <c r="G15" s="540">
        <f>+'ACCIONES 320801'!K56</f>
        <v>0</v>
      </c>
      <c r="H15" s="540">
        <f>+'ACCIONES 320801'!L56</f>
        <v>0</v>
      </c>
      <c r="I15" s="540">
        <f>+'ACCIONES 320801'!M56</f>
        <v>0</v>
      </c>
      <c r="J15" s="540">
        <f>+'ACCIONES 320801'!N56</f>
        <v>272370924</v>
      </c>
      <c r="K15" s="541">
        <f>+'ACCIONES 320801'!O56</f>
        <v>272370924</v>
      </c>
      <c r="L15" s="541">
        <f>+'ACCIONES 320801'!P56</f>
        <v>0</v>
      </c>
    </row>
    <row r="16" spans="1:22" ht="15.75" thickBot="1">
      <c r="B16" s="2380" t="s">
        <v>205</v>
      </c>
      <c r="C16" s="2381"/>
      <c r="D16" s="2381"/>
      <c r="E16" s="543">
        <f t="shared" ref="E16:F16" si="2">+E10</f>
        <v>1246412701.6351342</v>
      </c>
      <c r="F16" s="543">
        <f t="shared" si="2"/>
        <v>150000000</v>
      </c>
      <c r="G16" s="543">
        <f>+G10</f>
        <v>1396412701.6351342</v>
      </c>
      <c r="H16" s="543">
        <f t="shared" ref="H16:L16" si="3">+H10</f>
        <v>204111704</v>
      </c>
      <c r="I16" s="543">
        <f t="shared" si="3"/>
        <v>204111704</v>
      </c>
      <c r="J16" s="543">
        <f t="shared" si="3"/>
        <v>2225757601</v>
      </c>
      <c r="K16" s="543">
        <f t="shared" si="3"/>
        <v>3826282006.6351342</v>
      </c>
      <c r="L16" s="543">
        <f t="shared" si="3"/>
        <v>14400000</v>
      </c>
    </row>
    <row r="17" spans="5:12" ht="15.75" thickBot="1"/>
    <row r="18" spans="5:12" ht="15.75" thickBot="1">
      <c r="E18" s="983">
        <v>1246412701.6031301</v>
      </c>
      <c r="F18" s="983">
        <v>150000000</v>
      </c>
      <c r="G18" s="983">
        <v>1396412701.6031337</v>
      </c>
      <c r="H18" s="983">
        <v>204111704</v>
      </c>
      <c r="I18" s="983">
        <v>204111704</v>
      </c>
      <c r="J18" s="983">
        <v>2225757601</v>
      </c>
      <c r="K18" s="983">
        <f>1396412701.60313+204111704+2225757601</f>
        <v>3826282006.6031303</v>
      </c>
      <c r="L18" s="983">
        <v>14400000</v>
      </c>
    </row>
    <row r="20" spans="5:12">
      <c r="E20" s="15">
        <f>+E18-E16</f>
        <v>-3.2004117965698242E-2</v>
      </c>
      <c r="F20" s="15"/>
      <c r="G20" s="15">
        <f t="shared" ref="G20:L20" si="4">+G18-G16</f>
        <v>-3.2000541687011719E-2</v>
      </c>
      <c r="H20" s="15">
        <f t="shared" si="4"/>
        <v>0</v>
      </c>
      <c r="I20" s="15">
        <f t="shared" si="4"/>
        <v>0</v>
      </c>
      <c r="J20" s="15">
        <f t="shared" si="4"/>
        <v>0</v>
      </c>
      <c r="K20" s="15">
        <f t="shared" si="4"/>
        <v>-3.2003879547119141E-2</v>
      </c>
      <c r="L20" s="15">
        <f t="shared" si="4"/>
        <v>0</v>
      </c>
    </row>
    <row r="21" spans="5:12">
      <c r="E21" s="124"/>
    </row>
    <row r="23" spans="5:12">
      <c r="G23" s="25"/>
    </row>
  </sheetData>
  <mergeCells count="20">
    <mergeCell ref="L7:L9"/>
    <mergeCell ref="A7:A9"/>
    <mergeCell ref="I8:I9"/>
    <mergeCell ref="H7:I7"/>
    <mergeCell ref="K7:K9"/>
    <mergeCell ref="J7:J9"/>
    <mergeCell ref="B16:D16"/>
    <mergeCell ref="B7:B9"/>
    <mergeCell ref="C7:G7"/>
    <mergeCell ref="C8:C9"/>
    <mergeCell ref="D8:D9"/>
    <mergeCell ref="G8:G9"/>
    <mergeCell ref="E8:F8"/>
    <mergeCell ref="B5:K5"/>
    <mergeCell ref="B6:K6"/>
    <mergeCell ref="B1:B3"/>
    <mergeCell ref="J1:K1"/>
    <mergeCell ref="J2:K2"/>
    <mergeCell ref="J3:K3"/>
    <mergeCell ref="C1:I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8">
    <tabColor theme="0" tint="-4.9989318521683403E-2"/>
  </sheetPr>
  <dimension ref="A1:Z87"/>
  <sheetViews>
    <sheetView tabSelected="1" zoomScale="60" zoomScaleNormal="60" workbookViewId="0">
      <selection activeCell="J37" sqref="J37"/>
    </sheetView>
  </sheetViews>
  <sheetFormatPr baseColWidth="10" defaultColWidth="11.42578125" defaultRowHeight="12.75"/>
  <cols>
    <col min="1" max="2" width="11.5703125" style="1842" customWidth="1"/>
    <col min="3" max="3" width="40.7109375" style="1" customWidth="1"/>
    <col min="4" max="4" width="20.140625" style="1" customWidth="1"/>
    <col min="5" max="5" width="11" style="1" customWidth="1"/>
    <col min="6" max="6" width="10.7109375" style="96" customWidth="1"/>
    <col min="7" max="7" width="8.42578125" style="96" customWidth="1"/>
    <col min="8" max="8" width="13.42578125" style="96" customWidth="1"/>
    <col min="9" max="10" width="23.42578125" style="96" customWidth="1"/>
    <col min="11" max="15" width="23.42578125" style="1" customWidth="1"/>
    <col min="16" max="16" width="20.85546875" style="1" customWidth="1"/>
    <col min="17" max="17" width="16.85546875" style="1" customWidth="1"/>
    <col min="18" max="18" width="18.42578125" style="1" customWidth="1"/>
    <col min="19" max="19" width="16.42578125" style="1" bestFit="1" customWidth="1"/>
    <col min="20" max="20" width="16.5703125" style="1" customWidth="1"/>
    <col min="21" max="21" width="14.85546875" style="1" bestFit="1" customWidth="1"/>
    <col min="22" max="22" width="17" style="1" customWidth="1"/>
    <col min="23" max="23" width="14.85546875" style="1" bestFit="1" customWidth="1"/>
    <col min="24" max="24" width="13.42578125" style="1" customWidth="1"/>
    <col min="25" max="16384" width="11.42578125" style="1"/>
  </cols>
  <sheetData>
    <row r="1" spans="1:26" ht="15" customHeight="1">
      <c r="C1" s="2151"/>
      <c r="D1" s="2163" t="s">
        <v>367</v>
      </c>
      <c r="E1" s="2164"/>
      <c r="F1" s="2164"/>
      <c r="G1" s="2164"/>
      <c r="H1" s="2164"/>
      <c r="I1" s="2164"/>
      <c r="J1" s="2164"/>
      <c r="K1" s="2164"/>
      <c r="L1" s="2164"/>
      <c r="M1" s="2165"/>
      <c r="N1" s="2248" t="s">
        <v>364</v>
      </c>
      <c r="O1" s="2249"/>
    </row>
    <row r="2" spans="1:26">
      <c r="C2" s="2152"/>
      <c r="D2" s="2166"/>
      <c r="E2" s="2167"/>
      <c r="F2" s="2167"/>
      <c r="G2" s="2167"/>
      <c r="H2" s="2167"/>
      <c r="I2" s="2167"/>
      <c r="J2" s="2167"/>
      <c r="K2" s="2167"/>
      <c r="L2" s="2167"/>
      <c r="M2" s="2168"/>
      <c r="N2" s="2250" t="s">
        <v>365</v>
      </c>
      <c r="O2" s="2251"/>
    </row>
    <row r="3" spans="1:26" ht="15.75" customHeight="1" thickBot="1">
      <c r="C3" s="2153"/>
      <c r="D3" s="2169"/>
      <c r="E3" s="2170"/>
      <c r="F3" s="2170"/>
      <c r="G3" s="2170"/>
      <c r="H3" s="2170"/>
      <c r="I3" s="2170"/>
      <c r="J3" s="2170"/>
      <c r="K3" s="2170"/>
      <c r="L3" s="2170"/>
      <c r="M3" s="2171"/>
      <c r="N3" s="2252" t="s">
        <v>366</v>
      </c>
      <c r="O3" s="2253"/>
    </row>
    <row r="4" spans="1:26" ht="5.25" customHeight="1" thickBot="1"/>
    <row r="5" spans="1:26">
      <c r="C5" s="2390" t="s">
        <v>185</v>
      </c>
      <c r="D5" s="2391"/>
      <c r="E5" s="2391"/>
      <c r="F5" s="2391"/>
      <c r="G5" s="2391"/>
      <c r="H5" s="2391"/>
      <c r="I5" s="2391"/>
      <c r="J5" s="2391"/>
      <c r="K5" s="2391"/>
      <c r="L5" s="2391"/>
      <c r="M5" s="2391"/>
      <c r="N5" s="2391"/>
      <c r="O5" s="2392"/>
    </row>
    <row r="6" spans="1:26" ht="13.5" thickBot="1">
      <c r="C6" s="2276" t="s">
        <v>1401</v>
      </c>
      <c r="D6" s="2277"/>
      <c r="E6" s="2277"/>
      <c r="F6" s="2277"/>
      <c r="G6" s="2277"/>
      <c r="H6" s="2277"/>
      <c r="I6" s="2277"/>
      <c r="J6" s="2277"/>
      <c r="K6" s="2277"/>
      <c r="L6" s="2277"/>
      <c r="M6" s="2277"/>
      <c r="N6" s="2277"/>
      <c r="O6" s="2322"/>
    </row>
    <row r="7" spans="1:26" ht="28.5" customHeight="1" thickBot="1">
      <c r="A7" s="2135" t="s">
        <v>368</v>
      </c>
      <c r="B7" s="2135" t="s">
        <v>369</v>
      </c>
      <c r="C7" s="2135" t="s">
        <v>311</v>
      </c>
      <c r="D7" s="2135" t="s">
        <v>312</v>
      </c>
      <c r="E7" s="2135" t="s">
        <v>354</v>
      </c>
      <c r="F7" s="2135" t="s">
        <v>313</v>
      </c>
      <c r="G7" s="2135" t="s">
        <v>191</v>
      </c>
      <c r="H7" s="2210" t="s">
        <v>387</v>
      </c>
      <c r="I7" s="2273" t="s">
        <v>189</v>
      </c>
      <c r="J7" s="2275"/>
      <c r="K7" s="2136" t="s">
        <v>965</v>
      </c>
      <c r="L7" s="389" t="s">
        <v>527</v>
      </c>
      <c r="M7" s="2210" t="s">
        <v>912</v>
      </c>
      <c r="N7" s="2357" t="s">
        <v>356</v>
      </c>
      <c r="O7" s="2357" t="s">
        <v>909</v>
      </c>
      <c r="P7" s="2357" t="s">
        <v>1269</v>
      </c>
      <c r="Q7" s="745" t="s">
        <v>1280</v>
      </c>
      <c r="R7" s="1024" t="s">
        <v>1276</v>
      </c>
      <c r="S7" s="1024" t="s">
        <v>1277</v>
      </c>
      <c r="T7" s="2156" t="s">
        <v>1278</v>
      </c>
      <c r="U7" s="2155" t="s">
        <v>1279</v>
      </c>
      <c r="V7" s="2155"/>
      <c r="W7" s="2155"/>
      <c r="X7" s="2155"/>
      <c r="Y7" s="2154" t="s">
        <v>1302</v>
      </c>
      <c r="Z7" s="2154"/>
    </row>
    <row r="8" spans="1:26" ht="14.25" customHeight="1" thickBot="1">
      <c r="A8" s="2135"/>
      <c r="B8" s="2135"/>
      <c r="C8" s="2135"/>
      <c r="D8" s="2135"/>
      <c r="E8" s="2135"/>
      <c r="F8" s="2135"/>
      <c r="G8" s="2135"/>
      <c r="H8" s="2180"/>
      <c r="I8" s="2135" t="s">
        <v>355</v>
      </c>
      <c r="J8" s="2210" t="s">
        <v>192</v>
      </c>
      <c r="K8" s="2135"/>
      <c r="L8" s="2135" t="s">
        <v>355</v>
      </c>
      <c r="M8" s="2180"/>
      <c r="N8" s="2357"/>
      <c r="O8" s="2357"/>
      <c r="P8" s="2357"/>
      <c r="Q8" s="1030"/>
      <c r="R8" s="1030"/>
      <c r="S8" s="1030"/>
      <c r="T8" s="2156"/>
      <c r="U8" s="2154" t="s">
        <v>1286</v>
      </c>
      <c r="V8" s="2154"/>
      <c r="W8" s="1032" t="s">
        <v>1284</v>
      </c>
      <c r="X8" s="120"/>
      <c r="Y8" s="2281" t="s">
        <v>1288</v>
      </c>
      <c r="Z8" s="2281" t="s">
        <v>1289</v>
      </c>
    </row>
    <row r="9" spans="1:26" ht="13.5" thickBot="1">
      <c r="A9" s="2210"/>
      <c r="B9" s="2210"/>
      <c r="C9" s="2210"/>
      <c r="D9" s="2210"/>
      <c r="E9" s="2210"/>
      <c r="F9" s="2210"/>
      <c r="G9" s="2210"/>
      <c r="H9" s="2180"/>
      <c r="I9" s="2210"/>
      <c r="J9" s="2180"/>
      <c r="K9" s="2210"/>
      <c r="L9" s="2210"/>
      <c r="M9" s="2180"/>
      <c r="N9" s="2161"/>
      <c r="O9" s="2161"/>
      <c r="P9" s="2161"/>
      <c r="U9" s="1032" t="s">
        <v>355</v>
      </c>
      <c r="V9" s="1032" t="s">
        <v>192</v>
      </c>
      <c r="W9" s="1032" t="s">
        <v>355</v>
      </c>
      <c r="X9" s="1032" t="s">
        <v>356</v>
      </c>
      <c r="Y9" s="2281"/>
      <c r="Z9" s="2281"/>
    </row>
    <row r="10" spans="1:26" s="150" customFormat="1" ht="27.75" customHeight="1" thickBot="1">
      <c r="A10" s="1866">
        <v>227</v>
      </c>
      <c r="B10" s="1907"/>
      <c r="C10" s="154" t="s">
        <v>1440</v>
      </c>
      <c r="D10" s="195"/>
      <c r="E10" s="195"/>
      <c r="F10" s="198" t="s">
        <v>1098</v>
      </c>
      <c r="G10" s="198">
        <v>100</v>
      </c>
      <c r="H10" s="198"/>
      <c r="I10" s="417">
        <f t="shared" ref="I10:N10" si="0">+I11+I31+I39+I45+I56</f>
        <v>1246412701.6351342</v>
      </c>
      <c r="J10" s="417">
        <f t="shared" si="0"/>
        <v>150000000</v>
      </c>
      <c r="K10" s="417">
        <f t="shared" si="0"/>
        <v>1396412701.6351342</v>
      </c>
      <c r="L10" s="417">
        <f t="shared" si="0"/>
        <v>204111704</v>
      </c>
      <c r="M10" s="417">
        <f t="shared" si="0"/>
        <v>204111704</v>
      </c>
      <c r="N10" s="417">
        <f t="shared" si="0"/>
        <v>2225757601</v>
      </c>
      <c r="O10" s="544">
        <f>+O11+O31+O39+O45+O56</f>
        <v>3826282006.6351342</v>
      </c>
      <c r="P10" s="544">
        <f>+P11+P31+P39+P45+P56</f>
        <v>14400000</v>
      </c>
      <c r="Y10" s="2281"/>
      <c r="Z10" s="2281"/>
    </row>
    <row r="11" spans="1:26" s="150" customFormat="1" ht="46.5" customHeight="1" thickBot="1">
      <c r="A11" s="1866"/>
      <c r="B11" s="1867" t="s">
        <v>1507</v>
      </c>
      <c r="C11" s="1062" t="s">
        <v>968</v>
      </c>
      <c r="D11" s="723"/>
      <c r="E11" s="723"/>
      <c r="F11" s="723" t="s">
        <v>1098</v>
      </c>
      <c r="G11" s="723">
        <v>100</v>
      </c>
      <c r="H11" s="723"/>
      <c r="I11" s="1067">
        <f>+SUM(I12:I30)</f>
        <v>729404826.6351341</v>
      </c>
      <c r="J11" s="1067">
        <f t="shared" ref="J11:P11" si="1">+SUM(J12:J30)</f>
        <v>0</v>
      </c>
      <c r="K11" s="1067">
        <f t="shared" si="1"/>
        <v>729404826.6351341</v>
      </c>
      <c r="L11" s="1067">
        <f t="shared" si="1"/>
        <v>0</v>
      </c>
      <c r="M11" s="1067">
        <f t="shared" si="1"/>
        <v>0</v>
      </c>
      <c r="N11" s="1067">
        <f t="shared" si="1"/>
        <v>0</v>
      </c>
      <c r="O11" s="1067">
        <f t="shared" si="1"/>
        <v>729404826.6351341</v>
      </c>
      <c r="P11" s="1067">
        <f t="shared" si="1"/>
        <v>0</v>
      </c>
    </row>
    <row r="12" spans="1:26" s="1080" customFormat="1" ht="15">
      <c r="A12" s="1055"/>
      <c r="B12" s="1055"/>
      <c r="C12" s="1360" t="s">
        <v>577</v>
      </c>
      <c r="D12" s="1161" t="s">
        <v>211</v>
      </c>
      <c r="E12" s="1361">
        <v>83990</v>
      </c>
      <c r="F12" s="1361" t="s">
        <v>370</v>
      </c>
      <c r="G12" s="1161">
        <v>11</v>
      </c>
      <c r="H12" s="1161"/>
      <c r="I12" s="1362">
        <v>58974750</v>
      </c>
      <c r="J12" s="1363"/>
      <c r="K12" s="1364">
        <v>58974750</v>
      </c>
      <c r="L12" s="1365"/>
      <c r="M12" s="1366">
        <f t="shared" ref="M12:M26" si="2">+L12</f>
        <v>0</v>
      </c>
      <c r="N12" s="1366"/>
      <c r="O12" s="1367">
        <f t="shared" ref="O12:O26" si="3">+N12+M12+K12</f>
        <v>58974750</v>
      </c>
      <c r="P12" s="1368"/>
      <c r="Q12" s="1326">
        <v>58974750</v>
      </c>
      <c r="R12" s="1326">
        <v>58974750</v>
      </c>
      <c r="S12" s="1326">
        <v>58974750</v>
      </c>
      <c r="T12" s="1326">
        <f>+Q12-S12</f>
        <v>0</v>
      </c>
      <c r="U12" s="1326"/>
      <c r="V12" s="1326"/>
      <c r="W12" s="1326"/>
      <c r="X12" s="1326"/>
      <c r="Y12" s="1080" t="s">
        <v>239</v>
      </c>
      <c r="Z12" s="1080" t="s">
        <v>1362</v>
      </c>
    </row>
    <row r="13" spans="1:26" s="1084" customFormat="1" ht="15">
      <c r="A13" s="1055"/>
      <c r="B13" s="1055"/>
      <c r="C13" s="1088" t="s">
        <v>780</v>
      </c>
      <c r="D13" s="1089" t="s">
        <v>211</v>
      </c>
      <c r="E13" s="1090">
        <v>83990</v>
      </c>
      <c r="F13" s="1090" t="s">
        <v>370</v>
      </c>
      <c r="G13" s="1089"/>
      <c r="H13" s="1089"/>
      <c r="I13" s="1215"/>
      <c r="J13" s="1386"/>
      <c r="K13" s="1387">
        <f t="shared" ref="K13:K26" si="4">+SUM(I13:J13)</f>
        <v>0</v>
      </c>
      <c r="L13" s="1388"/>
      <c r="M13" s="1112">
        <f t="shared" si="2"/>
        <v>0</v>
      </c>
      <c r="N13" s="1112"/>
      <c r="O13" s="1389">
        <f t="shared" si="3"/>
        <v>0</v>
      </c>
      <c r="P13" s="1390"/>
      <c r="Q13" s="1329">
        <v>0</v>
      </c>
      <c r="R13" s="1329"/>
      <c r="S13" s="1329"/>
      <c r="T13" s="1329">
        <f t="shared" ref="T13:T59" si="5">+Q13-S13</f>
        <v>0</v>
      </c>
      <c r="U13" s="1329"/>
      <c r="V13" s="1329"/>
      <c r="W13" s="1329"/>
      <c r="X13" s="1329"/>
      <c r="Y13" s="1084" t="s">
        <v>239</v>
      </c>
      <c r="Z13" s="1084" t="s">
        <v>1362</v>
      </c>
    </row>
    <row r="14" spans="1:26" s="1080" customFormat="1" ht="15">
      <c r="A14" s="1055"/>
      <c r="B14" s="1055"/>
      <c r="C14" s="1094" t="s">
        <v>578</v>
      </c>
      <c r="D14" s="1095" t="s">
        <v>211</v>
      </c>
      <c r="E14" s="1096">
        <v>83990</v>
      </c>
      <c r="F14" s="1096" t="s">
        <v>370</v>
      </c>
      <c r="G14" s="1095">
        <v>11</v>
      </c>
      <c r="H14" s="1095"/>
      <c r="I14" s="1110">
        <v>58974750</v>
      </c>
      <c r="J14" s="1369"/>
      <c r="K14" s="1109">
        <f t="shared" si="4"/>
        <v>58974750</v>
      </c>
      <c r="L14" s="1370"/>
      <c r="M14" s="1117">
        <f t="shared" si="2"/>
        <v>0</v>
      </c>
      <c r="N14" s="1117"/>
      <c r="O14" s="1142">
        <f t="shared" si="3"/>
        <v>58974750</v>
      </c>
      <c r="P14" s="1371"/>
      <c r="Q14" s="1326">
        <v>58974750</v>
      </c>
      <c r="R14" s="1326">
        <v>58974750</v>
      </c>
      <c r="S14" s="1326">
        <v>58974750</v>
      </c>
      <c r="T14" s="1326">
        <f t="shared" si="5"/>
        <v>0</v>
      </c>
      <c r="U14" s="1326"/>
      <c r="V14" s="1326"/>
      <c r="W14" s="1326"/>
      <c r="X14" s="1326"/>
      <c r="Y14" s="1080" t="s">
        <v>239</v>
      </c>
      <c r="Z14" s="1080" t="s">
        <v>1362</v>
      </c>
    </row>
    <row r="15" spans="1:26" s="1080" customFormat="1" ht="15">
      <c r="A15" s="1055"/>
      <c r="B15" s="1055"/>
      <c r="C15" s="1094" t="s">
        <v>579</v>
      </c>
      <c r="D15" s="1095" t="s">
        <v>211</v>
      </c>
      <c r="E15" s="1096">
        <v>83990</v>
      </c>
      <c r="F15" s="1096" t="s">
        <v>370</v>
      </c>
      <c r="G15" s="1095">
        <v>11</v>
      </c>
      <c r="H15" s="1095"/>
      <c r="I15" s="1110">
        <v>56006807.689999998</v>
      </c>
      <c r="J15" s="1369"/>
      <c r="K15" s="1109">
        <f t="shared" si="4"/>
        <v>56006807.689999998</v>
      </c>
      <c r="L15" s="1370"/>
      <c r="M15" s="1117">
        <f t="shared" si="2"/>
        <v>0</v>
      </c>
      <c r="N15" s="1117"/>
      <c r="O15" s="1142">
        <f t="shared" si="3"/>
        <v>56006807.689999998</v>
      </c>
      <c r="P15" s="1371"/>
      <c r="Q15" s="1326">
        <v>56006807.689999998</v>
      </c>
      <c r="R15" s="1326">
        <v>56006807.689999998</v>
      </c>
      <c r="S15" s="1326">
        <v>56006807.689999998</v>
      </c>
      <c r="T15" s="1326">
        <f t="shared" si="5"/>
        <v>0</v>
      </c>
      <c r="U15" s="1326"/>
      <c r="V15" s="1326"/>
      <c r="W15" s="1326"/>
      <c r="X15" s="1326"/>
      <c r="Y15" s="1080" t="s">
        <v>239</v>
      </c>
      <c r="Z15" s="1080" t="s">
        <v>1362</v>
      </c>
    </row>
    <row r="16" spans="1:26" s="1080" customFormat="1" ht="15">
      <c r="A16" s="1055"/>
      <c r="B16" s="1055"/>
      <c r="C16" s="1094" t="s">
        <v>580</v>
      </c>
      <c r="D16" s="1095" t="s">
        <v>211</v>
      </c>
      <c r="E16" s="1096">
        <v>83990</v>
      </c>
      <c r="F16" s="1096" t="s">
        <v>370</v>
      </c>
      <c r="G16" s="1095">
        <v>10</v>
      </c>
      <c r="H16" s="1095"/>
      <c r="I16" s="1110">
        <v>44885638</v>
      </c>
      <c r="J16" s="1369"/>
      <c r="K16" s="1109">
        <f t="shared" si="4"/>
        <v>44885638</v>
      </c>
      <c r="L16" s="1370"/>
      <c r="M16" s="1117">
        <f t="shared" si="2"/>
        <v>0</v>
      </c>
      <c r="N16" s="1117"/>
      <c r="O16" s="1142">
        <f t="shared" si="3"/>
        <v>44885638</v>
      </c>
      <c r="P16" s="1371"/>
      <c r="Q16" s="1326">
        <v>44885638</v>
      </c>
      <c r="R16" s="1326">
        <v>44885638</v>
      </c>
      <c r="S16" s="1326">
        <v>44885638</v>
      </c>
      <c r="T16" s="1326">
        <f t="shared" si="5"/>
        <v>0</v>
      </c>
      <c r="U16" s="1326"/>
      <c r="V16" s="1326"/>
      <c r="W16" s="1326"/>
      <c r="X16" s="1326"/>
      <c r="Y16" s="1080" t="s">
        <v>239</v>
      </c>
      <c r="Z16" s="1080" t="s">
        <v>1362</v>
      </c>
    </row>
    <row r="17" spans="1:26" s="1080" customFormat="1" ht="25.5">
      <c r="A17" s="1055"/>
      <c r="B17" s="1055"/>
      <c r="C17" s="1094" t="s">
        <v>581</v>
      </c>
      <c r="D17" s="1095" t="s">
        <v>211</v>
      </c>
      <c r="E17" s="1096">
        <v>83990</v>
      </c>
      <c r="F17" s="1096" t="s">
        <v>370</v>
      </c>
      <c r="G17" s="1095">
        <v>11</v>
      </c>
      <c r="H17" s="1095"/>
      <c r="I17" s="1110">
        <v>37019836</v>
      </c>
      <c r="J17" s="1369"/>
      <c r="K17" s="1109">
        <f t="shared" ref="K17" si="6">+SUM(I17:J17)</f>
        <v>37019836</v>
      </c>
      <c r="L17" s="1370"/>
      <c r="M17" s="1117">
        <f t="shared" ref="M17" si="7">+L17</f>
        <v>0</v>
      </c>
      <c r="N17" s="1117"/>
      <c r="O17" s="1142">
        <f t="shared" ref="O17" si="8">+N17+M17+K17</f>
        <v>37019836</v>
      </c>
      <c r="P17" s="1371"/>
      <c r="Q17" s="1326">
        <v>79328227</v>
      </c>
      <c r="R17" s="1326">
        <v>37019836</v>
      </c>
      <c r="S17" s="1326">
        <v>37019836</v>
      </c>
      <c r="T17" s="1326">
        <f t="shared" ref="T17" si="9">+Q17-S17</f>
        <v>42308391</v>
      </c>
      <c r="U17" s="1326">
        <v>42308391</v>
      </c>
      <c r="V17" s="1326"/>
      <c r="W17" s="1326"/>
      <c r="X17" s="1326"/>
      <c r="Y17" s="1080" t="s">
        <v>239</v>
      </c>
      <c r="Z17" s="1080" t="s">
        <v>1362</v>
      </c>
    </row>
    <row r="18" spans="1:26" s="1084" customFormat="1" ht="25.5">
      <c r="A18" s="1055"/>
      <c r="B18" s="1055"/>
      <c r="C18" s="1088" t="s">
        <v>581</v>
      </c>
      <c r="D18" s="1089" t="s">
        <v>211</v>
      </c>
      <c r="E18" s="1090">
        <v>83990</v>
      </c>
      <c r="F18" s="1090" t="s">
        <v>370</v>
      </c>
      <c r="G18" s="1089">
        <v>11</v>
      </c>
      <c r="H18" s="1089"/>
      <c r="I18" s="1215">
        <f>79328227-I17</f>
        <v>42308391</v>
      </c>
      <c r="J18" s="1386"/>
      <c r="K18" s="1387">
        <f t="shared" si="4"/>
        <v>42308391</v>
      </c>
      <c r="L18" s="1388"/>
      <c r="M18" s="1112">
        <f t="shared" si="2"/>
        <v>0</v>
      </c>
      <c r="N18" s="1112"/>
      <c r="O18" s="1389">
        <f t="shared" si="3"/>
        <v>42308391</v>
      </c>
      <c r="P18" s="1390"/>
      <c r="Q18" s="1329">
        <v>79328227</v>
      </c>
      <c r="R18" s="1329">
        <v>37019836</v>
      </c>
      <c r="S18" s="1329">
        <v>37019836</v>
      </c>
      <c r="T18" s="1329">
        <f t="shared" si="5"/>
        <v>42308391</v>
      </c>
      <c r="U18" s="1329">
        <v>42308391</v>
      </c>
      <c r="V18" s="1329"/>
      <c r="W18" s="1329"/>
      <c r="X18" s="1329"/>
      <c r="Y18" s="1084" t="s">
        <v>239</v>
      </c>
      <c r="Z18" s="1084" t="s">
        <v>1362</v>
      </c>
    </row>
    <row r="19" spans="1:26" s="1080" customFormat="1" ht="25.5">
      <c r="A19" s="1055"/>
      <c r="B19" s="1055"/>
      <c r="C19" s="1094" t="s">
        <v>371</v>
      </c>
      <c r="D19" s="1095" t="s">
        <v>211</v>
      </c>
      <c r="E19" s="1096">
        <v>83990</v>
      </c>
      <c r="F19" s="1096" t="s">
        <v>370</v>
      </c>
      <c r="G19" s="1095">
        <v>11</v>
      </c>
      <c r="H19" s="1095"/>
      <c r="I19" s="1110">
        <v>58974751</v>
      </c>
      <c r="J19" s="1369"/>
      <c r="K19" s="1109">
        <f t="shared" si="4"/>
        <v>58974751</v>
      </c>
      <c r="L19" s="1370"/>
      <c r="M19" s="1117">
        <f t="shared" si="2"/>
        <v>0</v>
      </c>
      <c r="N19" s="1117"/>
      <c r="O19" s="1142">
        <f t="shared" si="3"/>
        <v>58974751</v>
      </c>
      <c r="P19" s="1371"/>
      <c r="Q19" s="1326">
        <v>58974751</v>
      </c>
      <c r="R19" s="1326">
        <v>58974751</v>
      </c>
      <c r="S19" s="1326">
        <v>58974751</v>
      </c>
      <c r="T19" s="1326">
        <f t="shared" si="5"/>
        <v>0</v>
      </c>
      <c r="U19" s="1326"/>
      <c r="V19" s="1326"/>
      <c r="W19" s="1326"/>
      <c r="X19" s="1326"/>
      <c r="Y19" s="1080" t="s">
        <v>239</v>
      </c>
      <c r="Z19" s="1080" t="s">
        <v>1362</v>
      </c>
    </row>
    <row r="20" spans="1:26" s="1080" customFormat="1" ht="15">
      <c r="A20" s="1055"/>
      <c r="B20" s="1055"/>
      <c r="C20" s="1094" t="s">
        <v>445</v>
      </c>
      <c r="D20" s="1096" t="s">
        <v>211</v>
      </c>
      <c r="E20" s="1096">
        <v>83990</v>
      </c>
      <c r="F20" s="1096" t="s">
        <v>370</v>
      </c>
      <c r="G20" s="1095">
        <v>10</v>
      </c>
      <c r="H20" s="1095"/>
      <c r="I20" s="1110">
        <v>24588734</v>
      </c>
      <c r="J20" s="1110"/>
      <c r="K20" s="1109">
        <f t="shared" si="4"/>
        <v>24588734</v>
      </c>
      <c r="L20" s="1110"/>
      <c r="M20" s="1117">
        <f t="shared" si="2"/>
        <v>0</v>
      </c>
      <c r="N20" s="1117"/>
      <c r="O20" s="1142">
        <f t="shared" si="3"/>
        <v>24588734</v>
      </c>
      <c r="P20" s="1371"/>
      <c r="Q20" s="1326">
        <v>24588734</v>
      </c>
      <c r="R20" s="1326">
        <v>24588734</v>
      </c>
      <c r="S20" s="1326">
        <v>24588734</v>
      </c>
      <c r="T20" s="1326">
        <f t="shared" si="5"/>
        <v>0</v>
      </c>
      <c r="U20" s="1326"/>
      <c r="V20" s="1326"/>
      <c r="W20" s="1326"/>
      <c r="X20" s="1326"/>
      <c r="Y20" s="1080" t="s">
        <v>239</v>
      </c>
      <c r="Z20" s="1080" t="s">
        <v>1362</v>
      </c>
    </row>
    <row r="21" spans="1:26" s="1080" customFormat="1" ht="25.5">
      <c r="A21" s="1055"/>
      <c r="B21" s="1055"/>
      <c r="C21" s="1094" t="s">
        <v>582</v>
      </c>
      <c r="D21" s="1096" t="s">
        <v>211</v>
      </c>
      <c r="E21" s="1096">
        <v>83990</v>
      </c>
      <c r="F21" s="1096" t="s">
        <v>370</v>
      </c>
      <c r="G21" s="1095">
        <v>11</v>
      </c>
      <c r="H21" s="1095"/>
      <c r="I21" s="1110">
        <v>39233081</v>
      </c>
      <c r="J21" s="1110"/>
      <c r="K21" s="1109">
        <f t="shared" si="4"/>
        <v>39233081</v>
      </c>
      <c r="L21" s="1110"/>
      <c r="M21" s="1117">
        <f t="shared" si="2"/>
        <v>0</v>
      </c>
      <c r="N21" s="1117"/>
      <c r="O21" s="1142">
        <f t="shared" si="3"/>
        <v>39233081</v>
      </c>
      <c r="P21" s="1371"/>
      <c r="Q21" s="1326">
        <v>39233081</v>
      </c>
      <c r="R21" s="1326">
        <v>39233081</v>
      </c>
      <c r="S21" s="1326">
        <v>39233081</v>
      </c>
      <c r="T21" s="1326">
        <f t="shared" si="5"/>
        <v>0</v>
      </c>
      <c r="U21" s="1326"/>
      <c r="V21" s="1326"/>
      <c r="W21" s="1326"/>
      <c r="X21" s="1326"/>
      <c r="Y21" s="1080" t="s">
        <v>239</v>
      </c>
      <c r="Z21" s="1080" t="s">
        <v>1362</v>
      </c>
    </row>
    <row r="22" spans="1:26" s="1080" customFormat="1" ht="38.25">
      <c r="A22" s="1055"/>
      <c r="B22" s="1055"/>
      <c r="C22" s="1094" t="s">
        <v>372</v>
      </c>
      <c r="D22" s="1096" t="s">
        <v>211</v>
      </c>
      <c r="E22" s="1096">
        <v>83990</v>
      </c>
      <c r="F22" s="1096" t="s">
        <v>370</v>
      </c>
      <c r="G22" s="1095">
        <v>11</v>
      </c>
      <c r="H22" s="1095"/>
      <c r="I22" s="1110">
        <f>64023294.61376-3566637.61376</f>
        <v>60456657</v>
      </c>
      <c r="J22" s="1369"/>
      <c r="K22" s="1109">
        <f t="shared" si="4"/>
        <v>60456657</v>
      </c>
      <c r="L22" s="1370"/>
      <c r="M22" s="1117">
        <f t="shared" si="2"/>
        <v>0</v>
      </c>
      <c r="N22" s="1117"/>
      <c r="O22" s="1142">
        <f t="shared" si="3"/>
        <v>60456657</v>
      </c>
      <c r="P22" s="1371"/>
      <c r="Q22" s="1326">
        <v>60456657</v>
      </c>
      <c r="R22" s="1326">
        <v>60456657</v>
      </c>
      <c r="S22" s="1326">
        <v>60456657</v>
      </c>
      <c r="T22" s="1326">
        <f t="shared" si="5"/>
        <v>0</v>
      </c>
      <c r="U22" s="1326"/>
      <c r="V22" s="1326"/>
      <c r="W22" s="1326"/>
      <c r="X22" s="1326"/>
      <c r="Y22" s="1080" t="s">
        <v>239</v>
      </c>
      <c r="Z22" s="1080" t="s">
        <v>1362</v>
      </c>
    </row>
    <row r="23" spans="1:26" s="1080" customFormat="1" ht="25.5">
      <c r="A23" s="1055"/>
      <c r="B23" s="1055"/>
      <c r="C23" s="1094" t="s">
        <v>446</v>
      </c>
      <c r="D23" s="1096" t="s">
        <v>211</v>
      </c>
      <c r="E23" s="1096">
        <v>83990</v>
      </c>
      <c r="F23" s="1096" t="s">
        <v>370</v>
      </c>
      <c r="G23" s="1095">
        <v>10</v>
      </c>
      <c r="H23" s="1095"/>
      <c r="I23" s="1110">
        <v>45258543</v>
      </c>
      <c r="J23" s="1369"/>
      <c r="K23" s="1109">
        <f t="shared" si="4"/>
        <v>45258543</v>
      </c>
      <c r="L23" s="1370"/>
      <c r="M23" s="1117">
        <f t="shared" si="2"/>
        <v>0</v>
      </c>
      <c r="N23" s="1117"/>
      <c r="O23" s="1142">
        <f t="shared" si="3"/>
        <v>45258543</v>
      </c>
      <c r="P23" s="1371"/>
      <c r="Q23" s="1326">
        <v>45258543</v>
      </c>
      <c r="R23" s="1326">
        <v>45258543</v>
      </c>
      <c r="S23" s="1326">
        <v>45258543</v>
      </c>
      <c r="T23" s="1326">
        <f t="shared" si="5"/>
        <v>0</v>
      </c>
      <c r="U23" s="1326"/>
      <c r="V23" s="1326"/>
      <c r="W23" s="1326"/>
      <c r="X23" s="1326"/>
      <c r="Y23" s="1080" t="s">
        <v>239</v>
      </c>
      <c r="Z23" s="1080" t="s">
        <v>1362</v>
      </c>
    </row>
    <row r="24" spans="1:26" s="1084" customFormat="1" ht="25.5">
      <c r="A24" s="1055"/>
      <c r="B24" s="1055"/>
      <c r="C24" s="1088" t="s">
        <v>446</v>
      </c>
      <c r="D24" s="1090" t="s">
        <v>211</v>
      </c>
      <c r="E24" s="1090">
        <v>83991</v>
      </c>
      <c r="F24" s="1090" t="s">
        <v>370</v>
      </c>
      <c r="G24" s="1089">
        <v>10</v>
      </c>
      <c r="H24" s="1089"/>
      <c r="I24" s="1215"/>
      <c r="J24" s="1386"/>
      <c r="K24" s="1387">
        <f t="shared" si="4"/>
        <v>0</v>
      </c>
      <c r="L24" s="1388"/>
      <c r="M24" s="1112">
        <f t="shared" si="2"/>
        <v>0</v>
      </c>
      <c r="N24" s="1112"/>
      <c r="O24" s="1389">
        <f t="shared" si="3"/>
        <v>0</v>
      </c>
      <c r="P24" s="1390"/>
      <c r="Q24" s="1329">
        <v>0</v>
      </c>
      <c r="R24" s="1329"/>
      <c r="S24" s="1329"/>
      <c r="T24" s="1329">
        <f t="shared" si="5"/>
        <v>0</v>
      </c>
      <c r="U24" s="1329"/>
      <c r="V24" s="1329"/>
      <c r="W24" s="1329"/>
      <c r="X24" s="1329"/>
      <c r="Y24" s="1084" t="s">
        <v>239</v>
      </c>
      <c r="Z24" s="1084" t="s">
        <v>1362</v>
      </c>
    </row>
    <row r="25" spans="1:26" s="1080" customFormat="1" ht="15">
      <c r="A25" s="1055"/>
      <c r="B25" s="1055"/>
      <c r="C25" s="1094" t="s">
        <v>373</v>
      </c>
      <c r="D25" s="1096" t="s">
        <v>211</v>
      </c>
      <c r="E25" s="1096">
        <v>83992</v>
      </c>
      <c r="F25" s="1096" t="s">
        <v>370</v>
      </c>
      <c r="G25" s="1095">
        <v>11</v>
      </c>
      <c r="H25" s="1095"/>
      <c r="I25" s="1110">
        <v>44009169</v>
      </c>
      <c r="J25" s="1369"/>
      <c r="K25" s="1109">
        <f t="shared" si="4"/>
        <v>44009169</v>
      </c>
      <c r="L25" s="1370"/>
      <c r="M25" s="1117">
        <f t="shared" si="2"/>
        <v>0</v>
      </c>
      <c r="N25" s="1117"/>
      <c r="O25" s="1142">
        <f t="shared" si="3"/>
        <v>44009169</v>
      </c>
      <c r="P25" s="1371"/>
      <c r="Q25" s="1326">
        <v>44009169</v>
      </c>
      <c r="R25" s="1326">
        <v>44009169</v>
      </c>
      <c r="S25" s="1326">
        <v>44009169</v>
      </c>
      <c r="T25" s="1326">
        <f t="shared" si="5"/>
        <v>0</v>
      </c>
      <c r="U25" s="1326"/>
      <c r="V25" s="1326"/>
      <c r="W25" s="1326"/>
      <c r="X25" s="1326"/>
      <c r="Y25" s="1080" t="s">
        <v>239</v>
      </c>
      <c r="Z25" s="1080" t="s">
        <v>1362</v>
      </c>
    </row>
    <row r="26" spans="1:26" s="1084" customFormat="1" ht="33.75" customHeight="1" thickBot="1">
      <c r="A26" s="1055"/>
      <c r="B26" s="1055"/>
      <c r="C26" s="1088" t="s">
        <v>781</v>
      </c>
      <c r="D26" s="1090" t="s">
        <v>211</v>
      </c>
      <c r="E26" s="1090">
        <v>83993</v>
      </c>
      <c r="F26" s="1090" t="s">
        <v>370</v>
      </c>
      <c r="G26" s="1089">
        <v>10</v>
      </c>
      <c r="H26" s="1089"/>
      <c r="I26" s="1215"/>
      <c r="J26" s="1386"/>
      <c r="K26" s="1387">
        <f t="shared" si="4"/>
        <v>0</v>
      </c>
      <c r="L26" s="1388"/>
      <c r="M26" s="1112">
        <f t="shared" si="2"/>
        <v>0</v>
      </c>
      <c r="N26" s="1112"/>
      <c r="O26" s="1389">
        <f t="shared" si="3"/>
        <v>0</v>
      </c>
      <c r="P26" s="1328"/>
      <c r="Q26" s="1329"/>
      <c r="R26" s="1329"/>
      <c r="S26" s="1329"/>
      <c r="T26" s="1329">
        <f t="shared" si="5"/>
        <v>0</v>
      </c>
      <c r="U26" s="1329"/>
      <c r="V26" s="1329"/>
      <c r="W26" s="1329"/>
      <c r="X26" s="1329"/>
      <c r="Y26" s="1084" t="s">
        <v>239</v>
      </c>
      <c r="Z26" s="1084" t="s">
        <v>1362</v>
      </c>
    </row>
    <row r="27" spans="1:26" s="1080" customFormat="1" ht="14.25" customHeight="1">
      <c r="A27" s="1055"/>
      <c r="B27" s="1055"/>
      <c r="C27" s="1094" t="s">
        <v>963</v>
      </c>
      <c r="D27" s="1095" t="s">
        <v>381</v>
      </c>
      <c r="E27" s="1095" t="s">
        <v>392</v>
      </c>
      <c r="F27" s="1095" t="s">
        <v>198</v>
      </c>
      <c r="G27" s="1095">
        <v>1</v>
      </c>
      <c r="H27" s="1095"/>
      <c r="I27" s="1110">
        <v>32000000</v>
      </c>
      <c r="J27" s="1110"/>
      <c r="K27" s="1110">
        <f>+SUM(I27:J27)</f>
        <v>32000000</v>
      </c>
      <c r="L27" s="1139"/>
      <c r="M27" s="1117">
        <f>+L27</f>
        <v>0</v>
      </c>
      <c r="N27" s="1139"/>
      <c r="O27" s="1142">
        <f>+N27+M27+K27</f>
        <v>32000000</v>
      </c>
      <c r="P27" s="1368"/>
      <c r="Q27" s="1326">
        <v>32000000</v>
      </c>
      <c r="R27" s="1326">
        <v>32000000</v>
      </c>
      <c r="S27" s="1326">
        <v>32000000</v>
      </c>
      <c r="T27" s="1326">
        <f t="shared" ref="T27:T30" si="10">+Q27-S27</f>
        <v>0</v>
      </c>
      <c r="U27" s="1326"/>
      <c r="V27" s="1326"/>
      <c r="W27" s="1326"/>
      <c r="X27" s="1326"/>
    </row>
    <row r="28" spans="1:26" s="1080" customFormat="1" ht="15">
      <c r="A28" s="1055"/>
      <c r="B28" s="1055"/>
      <c r="C28" s="1094" t="s">
        <v>964</v>
      </c>
      <c r="D28" s="1095" t="s">
        <v>381</v>
      </c>
      <c r="E28" s="1095">
        <v>63391</v>
      </c>
      <c r="F28" s="1095" t="s">
        <v>198</v>
      </c>
      <c r="G28" s="1095">
        <v>1</v>
      </c>
      <c r="H28" s="1095"/>
      <c r="I28" s="1110">
        <v>15000000</v>
      </c>
      <c r="J28" s="1110"/>
      <c r="K28" s="1110">
        <f>+SUM(I28:J28)</f>
        <v>15000000</v>
      </c>
      <c r="L28" s="1139"/>
      <c r="M28" s="1117">
        <f t="shared" ref="M28:M30" si="11">+L28</f>
        <v>0</v>
      </c>
      <c r="N28" s="1139"/>
      <c r="O28" s="1142">
        <f>+N28+M28+K28</f>
        <v>15000000</v>
      </c>
      <c r="P28" s="1371"/>
      <c r="Q28" s="1326">
        <v>15000000</v>
      </c>
      <c r="R28" s="1326">
        <v>15000000</v>
      </c>
      <c r="S28" s="1326">
        <v>15000000</v>
      </c>
      <c r="T28" s="1326">
        <f t="shared" si="10"/>
        <v>0</v>
      </c>
      <c r="U28" s="1326"/>
      <c r="V28" s="1326"/>
      <c r="W28" s="1326"/>
      <c r="X28" s="1326"/>
    </row>
    <row r="29" spans="1:26" s="1080" customFormat="1" ht="15.75" thickBot="1">
      <c r="A29" s="1055"/>
      <c r="B29" s="1055"/>
      <c r="C29" s="1099" t="s">
        <v>204</v>
      </c>
      <c r="D29" s="1128" t="s">
        <v>382</v>
      </c>
      <c r="E29" s="1128"/>
      <c r="F29" s="1100" t="s">
        <v>198</v>
      </c>
      <c r="G29" s="1100">
        <v>1</v>
      </c>
      <c r="H29" s="1128"/>
      <c r="I29" s="1266">
        <v>39138223</v>
      </c>
      <c r="J29" s="1266"/>
      <c r="K29" s="1266">
        <f>+SUM(I29)</f>
        <v>39138223</v>
      </c>
      <c r="L29" s="1266"/>
      <c r="M29" s="1266">
        <f t="shared" ref="M29" si="12">+L29</f>
        <v>0</v>
      </c>
      <c r="N29" s="1266"/>
      <c r="O29" s="1324">
        <f>+N29+M29+K29</f>
        <v>39138223</v>
      </c>
      <c r="P29" s="1325"/>
      <c r="Q29" s="1326">
        <v>111713718.94513361</v>
      </c>
      <c r="R29" s="1326">
        <v>31864743</v>
      </c>
      <c r="S29" s="1326">
        <v>31864743</v>
      </c>
      <c r="T29" s="1326">
        <f t="shared" ref="T29" si="13">+Q29-S29</f>
        <v>79848975.945133612</v>
      </c>
      <c r="U29" s="1326">
        <v>79848975.945133612</v>
      </c>
      <c r="V29" s="1326"/>
      <c r="W29" s="1326"/>
      <c r="X29" s="1326"/>
    </row>
    <row r="30" spans="1:26" s="1084" customFormat="1" ht="15.75" thickBot="1">
      <c r="A30" s="1055"/>
      <c r="B30" s="1055"/>
      <c r="C30" s="1101" t="s">
        <v>204</v>
      </c>
      <c r="D30" s="1126" t="s">
        <v>382</v>
      </c>
      <c r="E30" s="1126"/>
      <c r="F30" s="1102" t="s">
        <v>198</v>
      </c>
      <c r="G30" s="1102">
        <v>1</v>
      </c>
      <c r="H30" s="1126"/>
      <c r="I30" s="1105">
        <f>111713718.945134-I29</f>
        <v>72575495.945133999</v>
      </c>
      <c r="J30" s="1105"/>
      <c r="K30" s="1105">
        <f>+SUM(I30)</f>
        <v>72575495.945133999</v>
      </c>
      <c r="L30" s="1105"/>
      <c r="M30" s="1105">
        <f t="shared" si="11"/>
        <v>0</v>
      </c>
      <c r="N30" s="1105"/>
      <c r="O30" s="1327">
        <f>+N30+M30+K30</f>
        <v>72575495.945133999</v>
      </c>
      <c r="P30" s="1328"/>
      <c r="Q30" s="1329">
        <v>111713718.94513361</v>
      </c>
      <c r="R30" s="1329">
        <v>31864743</v>
      </c>
      <c r="S30" s="1329">
        <v>31864743</v>
      </c>
      <c r="T30" s="1329">
        <f t="shared" si="10"/>
        <v>79848975.945133612</v>
      </c>
      <c r="U30" s="1329">
        <v>79848975.945133612</v>
      </c>
      <c r="V30" s="1329"/>
      <c r="W30" s="1329"/>
      <c r="X30" s="1329"/>
    </row>
    <row r="31" spans="1:26" s="150" customFormat="1" ht="52.5" customHeight="1" thickBot="1">
      <c r="A31" s="1866"/>
      <c r="B31" s="1867" t="s">
        <v>1508</v>
      </c>
      <c r="C31" s="410" t="s">
        <v>970</v>
      </c>
      <c r="D31" s="411"/>
      <c r="E31" s="411"/>
      <c r="F31" s="412" t="s">
        <v>1108</v>
      </c>
      <c r="G31" s="412">
        <v>37</v>
      </c>
      <c r="H31" s="412"/>
      <c r="I31" s="438">
        <f>SUM(I32:I38)</f>
        <v>374190939</v>
      </c>
      <c r="J31" s="438">
        <f t="shared" ref="J31:P31" si="14">SUM(J32:J38)</f>
        <v>150000000</v>
      </c>
      <c r="K31" s="438">
        <f t="shared" si="14"/>
        <v>524190939</v>
      </c>
      <c r="L31" s="438">
        <f t="shared" si="14"/>
        <v>99805852</v>
      </c>
      <c r="M31" s="438">
        <f t="shared" si="14"/>
        <v>99805852</v>
      </c>
      <c r="N31" s="438">
        <f t="shared" si="14"/>
        <v>0</v>
      </c>
      <c r="O31" s="439">
        <f t="shared" si="14"/>
        <v>623996791</v>
      </c>
      <c r="P31" s="439">
        <f t="shared" si="14"/>
        <v>14400000</v>
      </c>
      <c r="Q31" s="315"/>
      <c r="R31" s="315"/>
      <c r="S31" s="315"/>
      <c r="T31" s="315"/>
      <c r="U31" s="315"/>
      <c r="V31" s="315"/>
      <c r="W31" s="315"/>
      <c r="X31" s="315"/>
    </row>
    <row r="32" spans="1:26" s="1080" customFormat="1" ht="25.5">
      <c r="A32" s="1055"/>
      <c r="B32" s="1055"/>
      <c r="C32" s="1372" t="s">
        <v>737</v>
      </c>
      <c r="D32" s="1374" t="s">
        <v>374</v>
      </c>
      <c r="E32" s="1374">
        <v>196199</v>
      </c>
      <c r="F32" s="1374"/>
      <c r="G32" s="1374"/>
      <c r="H32" s="1148"/>
      <c r="I32" s="1375">
        <v>29190939</v>
      </c>
      <c r="J32" s="1376"/>
      <c r="K32" s="1377">
        <f t="shared" ref="K32:K38" si="15">+I32+J32</f>
        <v>29190939</v>
      </c>
      <c r="L32" s="1378"/>
      <c r="M32" s="1378">
        <f t="shared" ref="M32:M38" si="16">+L32</f>
        <v>0</v>
      </c>
      <c r="N32" s="1378"/>
      <c r="O32" s="1379">
        <f t="shared" ref="O32:O38" si="17">+N32+M32+K32</f>
        <v>29190939</v>
      </c>
      <c r="P32" s="1379"/>
      <c r="Q32" s="1326">
        <v>29190939</v>
      </c>
      <c r="R32" s="1326">
        <v>29190939</v>
      </c>
      <c r="S32" s="1326">
        <v>29190939</v>
      </c>
      <c r="T32" s="1326">
        <f t="shared" si="5"/>
        <v>0</v>
      </c>
      <c r="U32" s="1326"/>
      <c r="V32" s="1326"/>
      <c r="W32" s="1326"/>
      <c r="X32" s="1326"/>
      <c r="Y32" s="1080" t="s">
        <v>239</v>
      </c>
      <c r="Z32" s="1080" t="s">
        <v>1363</v>
      </c>
    </row>
    <row r="33" spans="1:26" s="1084" customFormat="1" ht="51">
      <c r="A33" s="1055"/>
      <c r="B33" s="1055"/>
      <c r="C33" s="1357" t="s">
        <v>375</v>
      </c>
      <c r="D33" s="1089" t="s">
        <v>525</v>
      </c>
      <c r="E33" s="1089" t="s">
        <v>583</v>
      </c>
      <c r="F33" s="1089" t="s">
        <v>198</v>
      </c>
      <c r="G33" s="1089">
        <v>1</v>
      </c>
      <c r="H33" s="1214"/>
      <c r="I33" s="1215">
        <v>165000000</v>
      </c>
      <c r="J33" s="1386"/>
      <c r="K33" s="1387">
        <f t="shared" si="15"/>
        <v>165000000</v>
      </c>
      <c r="L33" s="1112">
        <v>80000000</v>
      </c>
      <c r="M33" s="1112">
        <f t="shared" si="16"/>
        <v>80000000</v>
      </c>
      <c r="N33" s="1112"/>
      <c r="O33" s="1389">
        <f t="shared" si="17"/>
        <v>245000000</v>
      </c>
      <c r="P33" s="1389">
        <f>14400000</f>
        <v>14400000</v>
      </c>
      <c r="Q33" s="1329">
        <v>245000000</v>
      </c>
      <c r="R33" s="1329"/>
      <c r="S33" s="1329"/>
      <c r="T33" s="1329">
        <f t="shared" si="5"/>
        <v>245000000</v>
      </c>
      <c r="U33" s="1329">
        <v>165000000</v>
      </c>
      <c r="V33" s="1329"/>
      <c r="W33" s="1329">
        <v>80000000</v>
      </c>
      <c r="X33" s="1329"/>
      <c r="Y33" s="1084" t="s">
        <v>239</v>
      </c>
      <c r="Z33" s="1084" t="s">
        <v>1363</v>
      </c>
    </row>
    <row r="34" spans="1:26" s="1084" customFormat="1" ht="25.5">
      <c r="A34" s="1055"/>
      <c r="B34" s="1055"/>
      <c r="C34" s="1357" t="s">
        <v>376</v>
      </c>
      <c r="D34" s="1089" t="s">
        <v>447</v>
      </c>
      <c r="E34" s="1089">
        <v>3529901</v>
      </c>
      <c r="F34" s="1089" t="s">
        <v>408</v>
      </c>
      <c r="G34" s="1089">
        <v>1</v>
      </c>
      <c r="H34" s="1089"/>
      <c r="I34" s="1215">
        <v>150000000</v>
      </c>
      <c r="J34" s="1386">
        <v>150000000</v>
      </c>
      <c r="K34" s="1387">
        <f t="shared" si="15"/>
        <v>300000000</v>
      </c>
      <c r="L34" s="1112"/>
      <c r="M34" s="1112">
        <f t="shared" si="16"/>
        <v>0</v>
      </c>
      <c r="N34" s="1112"/>
      <c r="O34" s="1389">
        <f t="shared" si="17"/>
        <v>300000000</v>
      </c>
      <c r="P34" s="1389"/>
      <c r="Q34" s="1329">
        <v>300000000</v>
      </c>
      <c r="R34" s="1329"/>
      <c r="S34" s="1329"/>
      <c r="T34" s="1329">
        <f t="shared" si="5"/>
        <v>300000000</v>
      </c>
      <c r="U34" s="1329">
        <v>150000000</v>
      </c>
      <c r="V34" s="1329">
        <v>150000000</v>
      </c>
      <c r="W34" s="1329"/>
      <c r="X34" s="1329"/>
      <c r="Y34" s="1084" t="s">
        <v>239</v>
      </c>
      <c r="Z34" s="1084" t="s">
        <v>1363</v>
      </c>
    </row>
    <row r="35" spans="1:26" s="1391" customFormat="1" ht="25.5">
      <c r="A35" s="1055"/>
      <c r="B35" s="1055"/>
      <c r="C35" s="1392" t="s">
        <v>891</v>
      </c>
      <c r="D35" s="1393" t="s">
        <v>447</v>
      </c>
      <c r="E35" s="1394">
        <v>3899</v>
      </c>
      <c r="F35" s="1393" t="s">
        <v>198</v>
      </c>
      <c r="G35" s="1393">
        <v>1</v>
      </c>
      <c r="H35" s="1393"/>
      <c r="I35" s="1395">
        <v>9719273</v>
      </c>
      <c r="J35" s="1396"/>
      <c r="K35" s="1397">
        <f t="shared" si="15"/>
        <v>9719273</v>
      </c>
      <c r="L35" s="1202"/>
      <c r="M35" s="1202">
        <f t="shared" si="16"/>
        <v>0</v>
      </c>
      <c r="N35" s="1202"/>
      <c r="O35" s="1203">
        <f t="shared" si="17"/>
        <v>9719273</v>
      </c>
      <c r="P35" s="1203"/>
      <c r="Q35" s="1398">
        <v>10000000</v>
      </c>
      <c r="R35" s="1398"/>
      <c r="S35" s="1398"/>
      <c r="T35" s="1398">
        <f t="shared" si="5"/>
        <v>10000000</v>
      </c>
      <c r="U35" s="1398">
        <v>10000000</v>
      </c>
      <c r="V35" s="1398"/>
      <c r="W35" s="1398"/>
      <c r="X35" s="1398"/>
      <c r="Y35" s="1391" t="s">
        <v>239</v>
      </c>
      <c r="Z35" s="1391" t="s">
        <v>1363</v>
      </c>
    </row>
    <row r="36" spans="1:26" s="1399" customFormat="1" ht="25.5">
      <c r="A36" s="1055"/>
      <c r="B36" s="1055"/>
      <c r="C36" s="1400" t="s">
        <v>891</v>
      </c>
      <c r="D36" s="1401" t="s">
        <v>447</v>
      </c>
      <c r="E36" s="1402">
        <v>3899</v>
      </c>
      <c r="F36" s="1401" t="s">
        <v>198</v>
      </c>
      <c r="G36" s="1401">
        <v>1</v>
      </c>
      <c r="H36" s="1401"/>
      <c r="I36" s="1403">
        <f>10000000-I35</f>
        <v>280727</v>
      </c>
      <c r="J36" s="1404"/>
      <c r="K36" s="1405">
        <f t="shared" si="15"/>
        <v>280727</v>
      </c>
      <c r="L36" s="1406"/>
      <c r="M36" s="1406">
        <f t="shared" ref="M36" si="18">+L36</f>
        <v>0</v>
      </c>
      <c r="N36" s="1406"/>
      <c r="O36" s="1407">
        <f t="shared" si="17"/>
        <v>280727</v>
      </c>
      <c r="P36" s="1407"/>
      <c r="Q36" s="1408">
        <v>10000000</v>
      </c>
      <c r="R36" s="1408"/>
      <c r="S36" s="1408"/>
      <c r="T36" s="1408">
        <f t="shared" ref="T36" si="19">+Q36-S36</f>
        <v>10000000</v>
      </c>
      <c r="U36" s="1408">
        <v>10000000</v>
      </c>
      <c r="V36" s="1408"/>
      <c r="W36" s="1408"/>
      <c r="X36" s="1408"/>
      <c r="Y36" s="1399" t="s">
        <v>239</v>
      </c>
      <c r="Z36" s="1399" t="s">
        <v>1363</v>
      </c>
    </row>
    <row r="37" spans="1:26" s="1080" customFormat="1" ht="26.25" thickBot="1">
      <c r="A37" s="1055"/>
      <c r="B37" s="1055"/>
      <c r="C37" s="1099" t="s">
        <v>584</v>
      </c>
      <c r="D37" s="1316" t="s">
        <v>211</v>
      </c>
      <c r="E37" s="1316">
        <v>83990</v>
      </c>
      <c r="F37" s="1100" t="s">
        <v>198</v>
      </c>
      <c r="G37" s="1100">
        <v>1</v>
      </c>
      <c r="H37" s="1100"/>
      <c r="I37" s="1266">
        <v>20000000</v>
      </c>
      <c r="J37" s="1381"/>
      <c r="K37" s="1382">
        <f t="shared" si="15"/>
        <v>20000000</v>
      </c>
      <c r="L37" s="1383"/>
      <c r="M37" s="1383">
        <f t="shared" ref="M37" si="20">+L37</f>
        <v>0</v>
      </c>
      <c r="N37" s="1383"/>
      <c r="O37" s="1324">
        <f t="shared" si="17"/>
        <v>20000000</v>
      </c>
      <c r="P37" s="1324"/>
      <c r="Q37" s="1326">
        <v>39805852</v>
      </c>
      <c r="R37" s="1326">
        <v>20000000</v>
      </c>
      <c r="S37" s="1326">
        <v>20000000</v>
      </c>
      <c r="T37" s="1326">
        <f t="shared" ref="T37" si="21">+Q37-S37</f>
        <v>19805852</v>
      </c>
      <c r="U37" s="1326"/>
      <c r="V37" s="1326"/>
      <c r="W37" s="1326">
        <v>19805852</v>
      </c>
      <c r="X37" s="1326"/>
      <c r="Y37" s="1080" t="s">
        <v>239</v>
      </c>
      <c r="Z37" s="1080" t="s">
        <v>1365</v>
      </c>
    </row>
    <row r="38" spans="1:26" s="1084" customFormat="1" ht="26.25" thickBot="1">
      <c r="A38" s="1055"/>
      <c r="B38" s="1055"/>
      <c r="C38" s="1101" t="s">
        <v>584</v>
      </c>
      <c r="D38" s="1103" t="s">
        <v>211</v>
      </c>
      <c r="E38" s="1103">
        <v>83990</v>
      </c>
      <c r="F38" s="1102" t="s">
        <v>198</v>
      </c>
      <c r="G38" s="1102">
        <v>1</v>
      </c>
      <c r="H38" s="1102"/>
      <c r="I38" s="1105"/>
      <c r="J38" s="1384"/>
      <c r="K38" s="1104">
        <f t="shared" si="15"/>
        <v>0</v>
      </c>
      <c r="L38" s="1385">
        <v>19805852</v>
      </c>
      <c r="M38" s="1385">
        <f t="shared" si="16"/>
        <v>19805852</v>
      </c>
      <c r="N38" s="1385"/>
      <c r="O38" s="1327">
        <f t="shared" si="17"/>
        <v>19805852</v>
      </c>
      <c r="P38" s="1327"/>
      <c r="Q38" s="1329">
        <v>39805852</v>
      </c>
      <c r="R38" s="1329">
        <v>20000000</v>
      </c>
      <c r="S38" s="1329">
        <v>20000000</v>
      </c>
      <c r="T38" s="1329">
        <f t="shared" si="5"/>
        <v>19805852</v>
      </c>
      <c r="U38" s="1329"/>
      <c r="V38" s="1329"/>
      <c r="W38" s="1329">
        <v>19805852</v>
      </c>
      <c r="X38" s="1329"/>
      <c r="Y38" s="1084" t="s">
        <v>239</v>
      </c>
      <c r="Z38" s="1084" t="s">
        <v>1365</v>
      </c>
    </row>
    <row r="39" spans="1:26" s="150" customFormat="1" ht="30" customHeight="1" thickBot="1">
      <c r="A39" s="1866"/>
      <c r="B39" s="1867" t="s">
        <v>1509</v>
      </c>
      <c r="C39" s="410" t="s">
        <v>967</v>
      </c>
      <c r="D39" s="411"/>
      <c r="E39" s="411"/>
      <c r="F39" s="412" t="s">
        <v>1108</v>
      </c>
      <c r="G39" s="412">
        <v>37</v>
      </c>
      <c r="H39" s="412"/>
      <c r="I39" s="553">
        <f t="shared" ref="I39:N39" si="22">SUM(I40:I44)</f>
        <v>142816936</v>
      </c>
      <c r="J39" s="553">
        <f t="shared" si="22"/>
        <v>0</v>
      </c>
      <c r="K39" s="553">
        <f t="shared" si="22"/>
        <v>142816936</v>
      </c>
      <c r="L39" s="553">
        <f t="shared" si="22"/>
        <v>104305852</v>
      </c>
      <c r="M39" s="553">
        <f t="shared" si="22"/>
        <v>104305852</v>
      </c>
      <c r="N39" s="553">
        <f t="shared" si="22"/>
        <v>0</v>
      </c>
      <c r="O39" s="554">
        <f>SUM(O40:O44)</f>
        <v>247122788</v>
      </c>
      <c r="P39" s="554"/>
      <c r="Q39" s="315"/>
      <c r="R39" s="315"/>
      <c r="S39" s="315"/>
      <c r="T39" s="315"/>
      <c r="U39" s="315"/>
      <c r="V39" s="315"/>
      <c r="W39" s="315"/>
      <c r="X39" s="315"/>
    </row>
    <row r="40" spans="1:26" s="1080" customFormat="1" ht="15">
      <c r="A40" s="1055"/>
      <c r="B40" s="1055"/>
      <c r="C40" s="1372" t="s">
        <v>377</v>
      </c>
      <c r="D40" s="1373" t="s">
        <v>211</v>
      </c>
      <c r="E40" s="1373">
        <v>83990</v>
      </c>
      <c r="F40" s="1374" t="s">
        <v>370</v>
      </c>
      <c r="G40" s="1374">
        <v>10</v>
      </c>
      <c r="H40" s="1374"/>
      <c r="I40" s="1375">
        <v>35140000</v>
      </c>
      <c r="J40" s="1376"/>
      <c r="K40" s="1377">
        <f>+SUM(I40:J40)</f>
        <v>35140000</v>
      </c>
      <c r="L40" s="1378"/>
      <c r="M40" s="1378">
        <f t="shared" ref="M40:M44" si="23">+L40</f>
        <v>0</v>
      </c>
      <c r="N40" s="1378"/>
      <c r="O40" s="1379">
        <f>+N40+M40+K40</f>
        <v>35140000</v>
      </c>
      <c r="P40" s="1379"/>
      <c r="Q40" s="1326">
        <v>35140000</v>
      </c>
      <c r="R40" s="1326">
        <v>35140000</v>
      </c>
      <c r="S40" s="1326">
        <v>35140000</v>
      </c>
      <c r="T40" s="1326">
        <f t="shared" si="5"/>
        <v>0</v>
      </c>
      <c r="U40" s="1326"/>
      <c r="V40" s="1326"/>
      <c r="W40" s="1326"/>
      <c r="X40" s="1326"/>
      <c r="Y40" s="1080" t="s">
        <v>239</v>
      </c>
      <c r="Z40" s="1080" t="s">
        <v>1364</v>
      </c>
    </row>
    <row r="41" spans="1:26" s="1080" customFormat="1" ht="15">
      <c r="A41" s="1055"/>
      <c r="B41" s="1055"/>
      <c r="C41" s="1380" t="s">
        <v>378</v>
      </c>
      <c r="D41" s="1096" t="s">
        <v>211</v>
      </c>
      <c r="E41" s="1096">
        <v>83990</v>
      </c>
      <c r="F41" s="1095" t="s">
        <v>370</v>
      </c>
      <c r="G41" s="1095">
        <v>11</v>
      </c>
      <c r="H41" s="1095"/>
      <c r="I41" s="1110">
        <v>41145173</v>
      </c>
      <c r="J41" s="1369"/>
      <c r="K41" s="1109">
        <f>+SUM(I41:J41)</f>
        <v>41145173</v>
      </c>
      <c r="L41" s="1117"/>
      <c r="M41" s="1117">
        <f t="shared" si="23"/>
        <v>0</v>
      </c>
      <c r="N41" s="1117"/>
      <c r="O41" s="1142">
        <f>+N41+M41+K41</f>
        <v>41145173</v>
      </c>
      <c r="P41" s="1142"/>
      <c r="Q41" s="1326">
        <v>41145173</v>
      </c>
      <c r="R41" s="1326">
        <v>41145173</v>
      </c>
      <c r="S41" s="1326">
        <v>41145173</v>
      </c>
      <c r="T41" s="1326">
        <f t="shared" si="5"/>
        <v>0</v>
      </c>
      <c r="U41" s="1326"/>
      <c r="V41" s="1326"/>
      <c r="W41" s="1326"/>
      <c r="X41" s="1326"/>
      <c r="Y41" s="1080" t="s">
        <v>239</v>
      </c>
      <c r="Z41" s="1080" t="s">
        <v>1364</v>
      </c>
    </row>
    <row r="42" spans="1:26" s="1080" customFormat="1" ht="15">
      <c r="A42" s="1055"/>
      <c r="B42" s="1055"/>
      <c r="C42" s="1380" t="s">
        <v>379</v>
      </c>
      <c r="D42" s="1096" t="s">
        <v>211</v>
      </c>
      <c r="E42" s="1096">
        <v>83990</v>
      </c>
      <c r="F42" s="1095" t="s">
        <v>370</v>
      </c>
      <c r="G42" s="1095">
        <v>11</v>
      </c>
      <c r="H42" s="1095"/>
      <c r="I42" s="1110">
        <v>56531763</v>
      </c>
      <c r="J42" s="1369"/>
      <c r="K42" s="1109">
        <f>+SUM(I42:J42)</f>
        <v>56531763</v>
      </c>
      <c r="L42" s="1117"/>
      <c r="M42" s="1117">
        <f t="shared" si="23"/>
        <v>0</v>
      </c>
      <c r="N42" s="1117"/>
      <c r="O42" s="1142">
        <f>+N42+M42+K42</f>
        <v>56531763</v>
      </c>
      <c r="P42" s="1142"/>
      <c r="Q42" s="1326">
        <v>56531763</v>
      </c>
      <c r="R42" s="1326">
        <v>56531763</v>
      </c>
      <c r="S42" s="1326">
        <v>56531763</v>
      </c>
      <c r="T42" s="1326">
        <f t="shared" si="5"/>
        <v>0</v>
      </c>
      <c r="U42" s="1326"/>
      <c r="V42" s="1326"/>
      <c r="W42" s="1326"/>
      <c r="X42" s="1326"/>
      <c r="Y42" s="1080" t="s">
        <v>239</v>
      </c>
      <c r="Z42" s="1080" t="s">
        <v>1364</v>
      </c>
    </row>
    <row r="43" spans="1:26" s="1391" customFormat="1" ht="15.75" thickBot="1">
      <c r="A43" s="1055"/>
      <c r="B43" s="1055"/>
      <c r="C43" s="1410" t="s">
        <v>380</v>
      </c>
      <c r="D43" s="1411" t="s">
        <v>211</v>
      </c>
      <c r="E43" s="1411">
        <v>83990</v>
      </c>
      <c r="F43" s="1412" t="s">
        <v>198</v>
      </c>
      <c r="G43" s="1412">
        <v>1</v>
      </c>
      <c r="H43" s="1412"/>
      <c r="I43" s="1413">
        <v>10000000</v>
      </c>
      <c r="J43" s="1414"/>
      <c r="K43" s="1415">
        <f>+SUM(I43:J43)</f>
        <v>10000000</v>
      </c>
      <c r="L43" s="1416">
        <v>104283915</v>
      </c>
      <c r="M43" s="1416">
        <f t="shared" ref="M43" si="24">+L43</f>
        <v>104283915</v>
      </c>
      <c r="N43" s="1416"/>
      <c r="O43" s="1417">
        <f>+N43+M43+K43</f>
        <v>114283915</v>
      </c>
      <c r="P43" s="1417"/>
      <c r="Q43" s="1398">
        <v>114305852</v>
      </c>
      <c r="R43" s="1398"/>
      <c r="S43" s="1398"/>
      <c r="T43" s="1398">
        <f t="shared" ref="T43" si="25">+Q43-S43</f>
        <v>114305852</v>
      </c>
      <c r="U43" s="1398">
        <v>10000000</v>
      </c>
      <c r="V43" s="1398"/>
      <c r="W43" s="1398">
        <v>104305852</v>
      </c>
      <c r="X43" s="1398"/>
      <c r="Y43" s="1391" t="s">
        <v>239</v>
      </c>
      <c r="Z43" s="1391" t="s">
        <v>1364</v>
      </c>
    </row>
    <row r="44" spans="1:26" s="1399" customFormat="1" ht="15.75" thickBot="1">
      <c r="A44" s="1055"/>
      <c r="B44" s="1055"/>
      <c r="C44" s="1418" t="s">
        <v>380</v>
      </c>
      <c r="D44" s="1419" t="s">
        <v>211</v>
      </c>
      <c r="E44" s="1419">
        <v>83990</v>
      </c>
      <c r="F44" s="1420" t="s">
        <v>198</v>
      </c>
      <c r="G44" s="1420">
        <v>1</v>
      </c>
      <c r="H44" s="1420"/>
      <c r="I44" s="1421">
        <f>10000000-I43</f>
        <v>0</v>
      </c>
      <c r="J44" s="1422"/>
      <c r="K44" s="1423">
        <f>+SUM(I44:J44)</f>
        <v>0</v>
      </c>
      <c r="L44" s="1424">
        <f>104305852-L43</f>
        <v>21937</v>
      </c>
      <c r="M44" s="1424">
        <f t="shared" si="23"/>
        <v>21937</v>
      </c>
      <c r="N44" s="1424"/>
      <c r="O44" s="1425">
        <f>+N44+M44+K44</f>
        <v>21937</v>
      </c>
      <c r="P44" s="1425"/>
      <c r="Q44" s="1408">
        <v>114305852</v>
      </c>
      <c r="R44" s="1408"/>
      <c r="S44" s="1408"/>
      <c r="T44" s="1408">
        <f t="shared" si="5"/>
        <v>114305852</v>
      </c>
      <c r="U44" s="1408">
        <v>10000000</v>
      </c>
      <c r="V44" s="1408"/>
      <c r="W44" s="1408">
        <v>104305852</v>
      </c>
      <c r="X44" s="1408"/>
      <c r="Y44" s="1399" t="s">
        <v>239</v>
      </c>
      <c r="Z44" s="1399" t="s">
        <v>1364</v>
      </c>
    </row>
    <row r="45" spans="1:26" s="150" customFormat="1" ht="26.25" thickBot="1">
      <c r="A45" s="1869"/>
      <c r="B45" s="1870"/>
      <c r="C45" s="1910" t="s">
        <v>971</v>
      </c>
      <c r="D45" s="411"/>
      <c r="E45" s="411"/>
      <c r="F45" s="412"/>
      <c r="G45" s="412"/>
      <c r="H45" s="412"/>
      <c r="I45" s="438"/>
      <c r="J45" s="438"/>
      <c r="K45" s="438">
        <f>+K54</f>
        <v>0</v>
      </c>
      <c r="L45" s="418"/>
      <c r="M45" s="418">
        <f>+M54</f>
        <v>0</v>
      </c>
      <c r="N45" s="418">
        <f>SUM(N46:N55)</f>
        <v>1953386677</v>
      </c>
      <c r="O45" s="419">
        <f>+SUM(O46:O55)</f>
        <v>1953386677</v>
      </c>
      <c r="P45" s="419"/>
      <c r="Q45" s="315"/>
      <c r="R45" s="315"/>
      <c r="S45" s="315"/>
      <c r="T45" s="315"/>
      <c r="U45" s="315"/>
      <c r="V45" s="315"/>
      <c r="W45" s="315"/>
      <c r="X45" s="315"/>
    </row>
    <row r="46" spans="1:26" s="150" customFormat="1" ht="25.5">
      <c r="A46" s="1841"/>
      <c r="B46" s="1841"/>
      <c r="C46" s="415" t="s">
        <v>943</v>
      </c>
      <c r="D46" s="404" t="s">
        <v>935</v>
      </c>
      <c r="E46" s="404">
        <v>54290</v>
      </c>
      <c r="F46" s="402"/>
      <c r="G46" s="402"/>
      <c r="H46" s="402"/>
      <c r="I46" s="545"/>
      <c r="J46" s="545"/>
      <c r="K46" s="545"/>
      <c r="L46" s="555"/>
      <c r="M46" s="555">
        <f t="shared" ref="M46:M55" si="26">+L46</f>
        <v>0</v>
      </c>
      <c r="N46" s="555">
        <v>1121123765</v>
      </c>
      <c r="O46" s="546">
        <f t="shared" ref="O46:O55" si="27">+N46+M46+K46</f>
        <v>1121123765</v>
      </c>
      <c r="P46" s="546"/>
      <c r="Q46" s="315">
        <v>1121123765</v>
      </c>
      <c r="R46" s="315">
        <v>1121123765</v>
      </c>
      <c r="S46" s="315">
        <v>1121123765</v>
      </c>
      <c r="T46" s="315">
        <f t="shared" si="5"/>
        <v>0</v>
      </c>
      <c r="U46" s="315"/>
      <c r="V46" s="315"/>
      <c r="W46" s="315"/>
      <c r="X46" s="315"/>
      <c r="Y46" s="150" t="s">
        <v>239</v>
      </c>
      <c r="Z46" s="150" t="s">
        <v>1366</v>
      </c>
    </row>
    <row r="47" spans="1:26" s="150" customFormat="1" ht="25.5">
      <c r="A47" s="1841"/>
      <c r="B47" s="1841"/>
      <c r="C47" s="42" t="s">
        <v>934</v>
      </c>
      <c r="D47" s="403"/>
      <c r="E47" s="403"/>
      <c r="F47" s="391"/>
      <c r="G47" s="391"/>
      <c r="H47" s="391"/>
      <c r="I47" s="548"/>
      <c r="J47" s="548"/>
      <c r="K47" s="548"/>
      <c r="L47" s="498"/>
      <c r="M47" s="498">
        <f t="shared" si="26"/>
        <v>0</v>
      </c>
      <c r="N47" s="498">
        <v>285509037</v>
      </c>
      <c r="O47" s="130">
        <f t="shared" si="27"/>
        <v>285509037</v>
      </c>
      <c r="P47" s="130"/>
      <c r="Q47" s="315">
        <v>285509037</v>
      </c>
      <c r="R47" s="315">
        <v>285509037</v>
      </c>
      <c r="S47" s="315">
        <v>285509037</v>
      </c>
      <c r="T47" s="315">
        <f t="shared" si="5"/>
        <v>0</v>
      </c>
      <c r="U47" s="315"/>
      <c r="V47" s="315"/>
      <c r="W47" s="315"/>
      <c r="X47" s="315"/>
      <c r="Y47" s="150" t="s">
        <v>239</v>
      </c>
      <c r="Z47" s="150" t="s">
        <v>1366</v>
      </c>
    </row>
    <row r="48" spans="1:26" s="150" customFormat="1">
      <c r="A48" s="1841"/>
      <c r="B48" s="1841"/>
      <c r="C48" s="42" t="s">
        <v>936</v>
      </c>
      <c r="D48" s="403" t="s">
        <v>935</v>
      </c>
      <c r="E48" s="403">
        <v>54290</v>
      </c>
      <c r="F48" s="391"/>
      <c r="G48" s="391"/>
      <c r="H48" s="391"/>
      <c r="I48" s="548"/>
      <c r="J48" s="548"/>
      <c r="K48" s="548"/>
      <c r="L48" s="498"/>
      <c r="M48" s="498">
        <f t="shared" si="26"/>
        <v>0</v>
      </c>
      <c r="N48" s="498">
        <v>43026516</v>
      </c>
      <c r="O48" s="130">
        <f t="shared" si="27"/>
        <v>43026516</v>
      </c>
      <c r="P48" s="130"/>
      <c r="Q48" s="315">
        <v>43026516</v>
      </c>
      <c r="R48" s="315">
        <v>43026516</v>
      </c>
      <c r="S48" s="315">
        <v>43026516</v>
      </c>
      <c r="T48" s="315">
        <f t="shared" si="5"/>
        <v>0</v>
      </c>
      <c r="U48" s="315"/>
      <c r="V48" s="315"/>
      <c r="W48" s="315"/>
      <c r="X48" s="315"/>
      <c r="Y48" s="150" t="s">
        <v>239</v>
      </c>
      <c r="Z48" s="150" t="s">
        <v>1366</v>
      </c>
    </row>
    <row r="49" spans="1:26" s="150" customFormat="1" ht="51">
      <c r="A49" s="1841"/>
      <c r="B49" s="1841"/>
      <c r="C49" s="35" t="s">
        <v>937</v>
      </c>
      <c r="D49" s="403" t="s">
        <v>938</v>
      </c>
      <c r="E49" s="403" t="s">
        <v>816</v>
      </c>
      <c r="F49" s="391"/>
      <c r="G49" s="391"/>
      <c r="H49" s="391"/>
      <c r="I49" s="548"/>
      <c r="J49" s="548"/>
      <c r="K49" s="548"/>
      <c r="L49" s="498"/>
      <c r="M49" s="498">
        <f t="shared" si="26"/>
        <v>0</v>
      </c>
      <c r="N49" s="498">
        <v>156345000</v>
      </c>
      <c r="O49" s="130">
        <f t="shared" si="27"/>
        <v>156345000</v>
      </c>
      <c r="P49" s="130"/>
      <c r="Q49" s="315">
        <v>156345000</v>
      </c>
      <c r="R49" s="315">
        <v>156345000</v>
      </c>
      <c r="S49" s="315">
        <v>156345000</v>
      </c>
      <c r="T49" s="315">
        <f t="shared" si="5"/>
        <v>0</v>
      </c>
      <c r="U49" s="315"/>
      <c r="V49" s="315"/>
      <c r="W49" s="315"/>
      <c r="X49" s="315"/>
      <c r="Y49" s="150" t="s">
        <v>239</v>
      </c>
      <c r="Z49" s="150" t="s">
        <v>1366</v>
      </c>
    </row>
    <row r="50" spans="1:26" s="150" customFormat="1" ht="25.5">
      <c r="A50" s="1841"/>
      <c r="B50" s="1841"/>
      <c r="C50" s="35" t="s">
        <v>939</v>
      </c>
      <c r="D50" s="403" t="s">
        <v>447</v>
      </c>
      <c r="E50" s="403"/>
      <c r="F50" s="391"/>
      <c r="G50" s="391"/>
      <c r="H50" s="391"/>
      <c r="I50" s="548"/>
      <c r="J50" s="548"/>
      <c r="K50" s="548"/>
      <c r="L50" s="498"/>
      <c r="M50" s="498">
        <f t="shared" si="26"/>
        <v>0</v>
      </c>
      <c r="N50" s="498">
        <v>6000000</v>
      </c>
      <c r="O50" s="130">
        <f t="shared" si="27"/>
        <v>6000000</v>
      </c>
      <c r="P50" s="130"/>
      <c r="Q50" s="315">
        <v>6000000</v>
      </c>
      <c r="R50" s="315">
        <v>6000000</v>
      </c>
      <c r="S50" s="315">
        <v>6000000</v>
      </c>
      <c r="T50" s="315">
        <f t="shared" si="5"/>
        <v>0</v>
      </c>
      <c r="U50" s="315"/>
      <c r="V50" s="315"/>
      <c r="W50" s="315"/>
      <c r="X50" s="315"/>
      <c r="Y50" s="150" t="s">
        <v>239</v>
      </c>
      <c r="Z50" s="150" t="s">
        <v>1366</v>
      </c>
    </row>
    <row r="51" spans="1:26" s="150" customFormat="1" ht="25.5">
      <c r="A51" s="1841"/>
      <c r="B51" s="1841"/>
      <c r="C51" s="35" t="s">
        <v>940</v>
      </c>
      <c r="D51" s="403" t="s">
        <v>447</v>
      </c>
      <c r="E51" s="403">
        <v>32420</v>
      </c>
      <c r="F51" s="391"/>
      <c r="G51" s="391"/>
      <c r="H51" s="391"/>
      <c r="I51" s="548"/>
      <c r="J51" s="548"/>
      <c r="K51" s="548"/>
      <c r="L51" s="498"/>
      <c r="M51" s="498">
        <f t="shared" si="26"/>
        <v>0</v>
      </c>
      <c r="N51" s="498">
        <v>12000000</v>
      </c>
      <c r="O51" s="130">
        <f t="shared" si="27"/>
        <v>12000000</v>
      </c>
      <c r="P51" s="130"/>
      <c r="Q51" s="315">
        <v>12000000</v>
      </c>
      <c r="R51" s="315">
        <v>12000000</v>
      </c>
      <c r="S51" s="315">
        <v>12000000</v>
      </c>
      <c r="T51" s="315">
        <f t="shared" si="5"/>
        <v>0</v>
      </c>
      <c r="U51" s="315"/>
      <c r="V51" s="315"/>
      <c r="W51" s="315"/>
      <c r="X51" s="315"/>
      <c r="Y51" s="150" t="s">
        <v>239</v>
      </c>
      <c r="Z51" s="150" t="s">
        <v>1366</v>
      </c>
    </row>
    <row r="52" spans="1:26" s="150" customFormat="1">
      <c r="A52" s="1841"/>
      <c r="B52" s="1841"/>
      <c r="C52" s="35" t="s">
        <v>941</v>
      </c>
      <c r="D52" s="403" t="s">
        <v>211</v>
      </c>
      <c r="E52" s="403">
        <v>32299</v>
      </c>
      <c r="F52" s="391"/>
      <c r="G52" s="391"/>
      <c r="H52" s="391"/>
      <c r="I52" s="548"/>
      <c r="J52" s="548"/>
      <c r="K52" s="548"/>
      <c r="L52" s="498"/>
      <c r="M52" s="498">
        <f t="shared" si="26"/>
        <v>0</v>
      </c>
      <c r="N52" s="498">
        <v>66438426</v>
      </c>
      <c r="O52" s="130">
        <f t="shared" si="27"/>
        <v>66438426</v>
      </c>
      <c r="P52" s="130"/>
      <c r="Q52" s="315">
        <v>66438426</v>
      </c>
      <c r="R52" s="315">
        <v>66438426</v>
      </c>
      <c r="S52" s="315">
        <v>66438426</v>
      </c>
      <c r="T52" s="315">
        <f t="shared" si="5"/>
        <v>0</v>
      </c>
      <c r="U52" s="315"/>
      <c r="V52" s="315"/>
      <c r="W52" s="315"/>
      <c r="X52" s="315"/>
      <c r="Y52" s="150" t="s">
        <v>239</v>
      </c>
      <c r="Z52" s="150" t="s">
        <v>1366</v>
      </c>
    </row>
    <row r="53" spans="1:26" s="150" customFormat="1" ht="38.25">
      <c r="A53" s="1841"/>
      <c r="B53" s="1841"/>
      <c r="C53" s="35" t="s">
        <v>942</v>
      </c>
      <c r="D53" s="403" t="s">
        <v>211</v>
      </c>
      <c r="E53" s="403">
        <v>83990</v>
      </c>
      <c r="F53" s="391"/>
      <c r="G53" s="391"/>
      <c r="H53" s="391"/>
      <c r="I53" s="548"/>
      <c r="J53" s="548"/>
      <c r="K53" s="548"/>
      <c r="L53" s="498"/>
      <c r="M53" s="498">
        <f t="shared" si="26"/>
        <v>0</v>
      </c>
      <c r="N53" s="498">
        <v>134381864</v>
      </c>
      <c r="O53" s="130">
        <f t="shared" si="27"/>
        <v>134381864</v>
      </c>
      <c r="P53" s="130"/>
      <c r="Q53" s="315">
        <v>134381864</v>
      </c>
      <c r="R53" s="315">
        <v>134381864</v>
      </c>
      <c r="S53" s="315">
        <v>134381864</v>
      </c>
      <c r="T53" s="315">
        <f t="shared" si="5"/>
        <v>0</v>
      </c>
      <c r="U53" s="315"/>
      <c r="V53" s="315"/>
      <c r="W53" s="315"/>
      <c r="X53" s="315"/>
      <c r="Y53" s="150" t="s">
        <v>239</v>
      </c>
      <c r="Z53" s="150" t="s">
        <v>1366</v>
      </c>
    </row>
    <row r="54" spans="1:26" s="150" customFormat="1" ht="102">
      <c r="A54" s="1841"/>
      <c r="B54" s="1841"/>
      <c r="C54" s="35" t="s">
        <v>910</v>
      </c>
      <c r="D54" s="403" t="s">
        <v>911</v>
      </c>
      <c r="E54" s="403" t="s">
        <v>816</v>
      </c>
      <c r="F54" s="391" t="s">
        <v>408</v>
      </c>
      <c r="G54" s="391">
        <v>9</v>
      </c>
      <c r="H54" s="391"/>
      <c r="I54" s="548"/>
      <c r="J54" s="548"/>
      <c r="K54" s="548"/>
      <c r="L54" s="498"/>
      <c r="M54" s="498">
        <f t="shared" si="26"/>
        <v>0</v>
      </c>
      <c r="N54" s="498">
        <v>127956851</v>
      </c>
      <c r="O54" s="130">
        <f t="shared" si="27"/>
        <v>127956851</v>
      </c>
      <c r="P54" s="130"/>
      <c r="Q54" s="315">
        <v>127956851</v>
      </c>
      <c r="R54" s="315">
        <v>127956851</v>
      </c>
      <c r="S54" s="315">
        <v>0</v>
      </c>
      <c r="T54" s="315">
        <f>+Q54-R54</f>
        <v>0</v>
      </c>
      <c r="U54" s="315"/>
      <c r="V54" s="315"/>
      <c r="W54" s="315"/>
      <c r="X54" s="315"/>
      <c r="Y54" s="150" t="s">
        <v>239</v>
      </c>
      <c r="Z54" s="150" t="s">
        <v>1366</v>
      </c>
    </row>
    <row r="55" spans="1:26" s="150" customFormat="1" ht="13.5" thickBot="1">
      <c r="A55" s="1841"/>
      <c r="B55" s="1841"/>
      <c r="C55" s="414" t="s">
        <v>944</v>
      </c>
      <c r="D55" s="407"/>
      <c r="E55" s="407"/>
      <c r="F55" s="408"/>
      <c r="G55" s="408"/>
      <c r="H55" s="408"/>
      <c r="I55" s="549"/>
      <c r="J55" s="549"/>
      <c r="K55" s="549"/>
      <c r="L55" s="556"/>
      <c r="M55" s="556">
        <f t="shared" si="26"/>
        <v>0</v>
      </c>
      <c r="N55" s="556">
        <v>605218</v>
      </c>
      <c r="O55" s="551">
        <f t="shared" si="27"/>
        <v>605218</v>
      </c>
      <c r="P55" s="551"/>
      <c r="Q55" s="315">
        <v>605218</v>
      </c>
      <c r="R55" s="315">
        <v>605218</v>
      </c>
      <c r="S55" s="315">
        <v>605218</v>
      </c>
      <c r="T55" s="315">
        <f t="shared" si="5"/>
        <v>0</v>
      </c>
      <c r="U55" s="315"/>
      <c r="V55" s="315"/>
      <c r="W55" s="315"/>
      <c r="X55" s="315"/>
      <c r="Y55" s="150" t="s">
        <v>239</v>
      </c>
      <c r="Z55" s="150" t="s">
        <v>1366</v>
      </c>
    </row>
    <row r="56" spans="1:26" s="150" customFormat="1" ht="26.25" thickBot="1">
      <c r="A56" s="1869"/>
      <c r="B56" s="1870"/>
      <c r="C56" s="1910" t="s">
        <v>972</v>
      </c>
      <c r="D56" s="411"/>
      <c r="E56" s="411"/>
      <c r="F56" s="412"/>
      <c r="G56" s="412"/>
      <c r="H56" s="412"/>
      <c r="I56" s="438"/>
      <c r="J56" s="438"/>
      <c r="K56" s="438"/>
      <c r="L56" s="418"/>
      <c r="M56" s="418"/>
      <c r="N56" s="418">
        <f>+SUM(N57:N59)</f>
        <v>272370924</v>
      </c>
      <c r="O56" s="419">
        <f>+SUM(O57:O59)</f>
        <v>272370924</v>
      </c>
      <c r="P56" s="419"/>
      <c r="Q56" s="315"/>
      <c r="R56" s="315"/>
      <c r="S56" s="315"/>
      <c r="T56" s="315"/>
      <c r="U56" s="315"/>
      <c r="V56" s="315"/>
      <c r="W56" s="315"/>
      <c r="X56" s="315"/>
    </row>
    <row r="57" spans="1:26" s="452" customFormat="1" ht="15" customHeight="1">
      <c r="A57" s="1908"/>
      <c r="B57" s="1909"/>
      <c r="C57" s="2387" t="s">
        <v>815</v>
      </c>
      <c r="D57" s="404" t="s">
        <v>211</v>
      </c>
      <c r="E57" s="404">
        <v>83990</v>
      </c>
      <c r="F57" s="402" t="s">
        <v>198</v>
      </c>
      <c r="G57" s="402">
        <v>1</v>
      </c>
      <c r="H57" s="402"/>
      <c r="I57" s="545"/>
      <c r="J57" s="545"/>
      <c r="K57" s="456"/>
      <c r="L57" s="555"/>
      <c r="M57" s="555">
        <f t="shared" ref="M57:M59" si="28">+L57</f>
        <v>0</v>
      </c>
      <c r="N57" s="555">
        <v>37227056</v>
      </c>
      <c r="O57" s="546">
        <f>+N57+M57+K57</f>
        <v>37227056</v>
      </c>
      <c r="P57" s="546"/>
      <c r="Q57" s="315">
        <v>37227056</v>
      </c>
      <c r="R57" s="315">
        <v>37227056</v>
      </c>
      <c r="S57" s="315">
        <v>37227056</v>
      </c>
      <c r="T57" s="315">
        <f t="shared" si="5"/>
        <v>0</v>
      </c>
      <c r="U57" s="315"/>
      <c r="V57" s="315"/>
      <c r="W57" s="315"/>
      <c r="X57" s="315"/>
      <c r="Y57" s="2383" t="s">
        <v>239</v>
      </c>
      <c r="Z57" s="2384" t="s">
        <v>1367</v>
      </c>
    </row>
    <row r="58" spans="1:26" s="452" customFormat="1" ht="15" customHeight="1">
      <c r="A58" s="1908"/>
      <c r="B58" s="1909"/>
      <c r="C58" s="2388"/>
      <c r="D58" s="403" t="s">
        <v>447</v>
      </c>
      <c r="E58" s="403">
        <v>3229903</v>
      </c>
      <c r="F58" s="391" t="s">
        <v>198</v>
      </c>
      <c r="G58" s="391">
        <v>1</v>
      </c>
      <c r="H58" s="391"/>
      <c r="I58" s="548"/>
      <c r="J58" s="548"/>
      <c r="K58" s="482"/>
      <c r="L58" s="498"/>
      <c r="M58" s="498">
        <f t="shared" si="28"/>
        <v>0</v>
      </c>
      <c r="N58" s="498">
        <v>162783868</v>
      </c>
      <c r="O58" s="130">
        <f>+N58+M58+K58</f>
        <v>162783868</v>
      </c>
      <c r="P58" s="130"/>
      <c r="Q58" s="315">
        <v>162783868</v>
      </c>
      <c r="R58" s="315">
        <v>162783868</v>
      </c>
      <c r="S58" s="315">
        <v>162783868</v>
      </c>
      <c r="T58" s="315">
        <f t="shared" si="5"/>
        <v>0</v>
      </c>
      <c r="U58" s="315"/>
      <c r="V58" s="315"/>
      <c r="W58" s="315"/>
      <c r="X58" s="315"/>
      <c r="Y58" s="2383"/>
      <c r="Z58" s="2384"/>
    </row>
    <row r="59" spans="1:26" s="150" customFormat="1" ht="13.5" thickBot="1">
      <c r="A59" s="1841"/>
      <c r="B59" s="1868"/>
      <c r="C59" s="2389"/>
      <c r="D59" s="407" t="s">
        <v>211</v>
      </c>
      <c r="E59" s="408">
        <v>85999</v>
      </c>
      <c r="F59" s="408" t="s">
        <v>198</v>
      </c>
      <c r="G59" s="408">
        <v>1</v>
      </c>
      <c r="H59" s="409"/>
      <c r="I59" s="557"/>
      <c r="J59" s="558"/>
      <c r="K59" s="552">
        <f>+I59</f>
        <v>0</v>
      </c>
      <c r="L59" s="559"/>
      <c r="M59" s="550">
        <f t="shared" si="28"/>
        <v>0</v>
      </c>
      <c r="N59" s="550">
        <v>72360000</v>
      </c>
      <c r="O59" s="551">
        <f>+N59+M59+K59</f>
        <v>72360000</v>
      </c>
      <c r="P59" s="551"/>
      <c r="Q59" s="315">
        <v>72360000</v>
      </c>
      <c r="R59" s="315">
        <v>72360000</v>
      </c>
      <c r="S59" s="315">
        <v>72360000</v>
      </c>
      <c r="T59" s="315">
        <f t="shared" si="5"/>
        <v>0</v>
      </c>
      <c r="U59" s="315"/>
      <c r="V59" s="315"/>
      <c r="W59" s="315"/>
      <c r="X59" s="315"/>
      <c r="Y59" s="2383"/>
      <c r="Z59" s="2384"/>
    </row>
    <row r="60" spans="1:26" s="150" customFormat="1" ht="13.5" thickBot="1">
      <c r="A60" s="1841"/>
      <c r="B60" s="1868"/>
      <c r="C60" s="2385" t="s">
        <v>10</v>
      </c>
      <c r="D60" s="2386"/>
      <c r="E60" s="2386"/>
      <c r="F60" s="2386"/>
      <c r="G60" s="207"/>
      <c r="H60" s="207"/>
      <c r="I60" s="851">
        <f>+I10</f>
        <v>1246412701.6351342</v>
      </c>
      <c r="J60" s="851">
        <f t="shared" ref="J60:O60" si="29">+J10</f>
        <v>150000000</v>
      </c>
      <c r="K60" s="851">
        <f t="shared" si="29"/>
        <v>1396412701.6351342</v>
      </c>
      <c r="L60" s="851">
        <f t="shared" si="29"/>
        <v>204111704</v>
      </c>
      <c r="M60" s="851">
        <f t="shared" si="29"/>
        <v>204111704</v>
      </c>
      <c r="N60" s="851">
        <f t="shared" si="29"/>
        <v>2225757601</v>
      </c>
      <c r="O60" s="851">
        <f t="shared" si="29"/>
        <v>3826282006.6351342</v>
      </c>
      <c r="P60" s="851" t="e">
        <f>+#REF!+P10</f>
        <v>#REF!</v>
      </c>
      <c r="R60" s="315"/>
      <c r="S60" s="315"/>
    </row>
    <row r="61" spans="1:26" ht="15" customHeight="1" thickBot="1">
      <c r="I61" s="453"/>
      <c r="J61" s="453"/>
      <c r="K61" s="453"/>
      <c r="L61" s="436"/>
      <c r="M61" s="436"/>
      <c r="N61" s="454"/>
      <c r="O61" s="454"/>
      <c r="P61" s="454"/>
      <c r="S61" s="296"/>
      <c r="T61" s="1034">
        <f>SUM(T12:T60)</f>
        <v>1077538141.8902674</v>
      </c>
      <c r="U61" s="1034">
        <f>SUM(U12:U60)</f>
        <v>599314733.89026725</v>
      </c>
      <c r="V61" s="1034">
        <f>SUM(V12:V60)</f>
        <v>150000000</v>
      </c>
      <c r="W61" s="1034">
        <f>SUM(W12:W60)</f>
        <v>328223408</v>
      </c>
      <c r="X61" s="1034">
        <f>SUM(X12:X60)</f>
        <v>0</v>
      </c>
    </row>
    <row r="62" spans="1:26" ht="13.5" thickBot="1">
      <c r="I62" s="980">
        <v>1246412701.6031337</v>
      </c>
      <c r="J62" s="981">
        <v>150000000</v>
      </c>
      <c r="K62" s="982">
        <v>1396412701.6031337</v>
      </c>
      <c r="L62" s="983">
        <v>204111704</v>
      </c>
      <c r="M62" s="984">
        <v>204111704</v>
      </c>
      <c r="N62" s="984">
        <v>2225757601</v>
      </c>
      <c r="O62" s="984">
        <v>3826282006.6031303</v>
      </c>
      <c r="P62" s="984"/>
    </row>
    <row r="63" spans="1:26">
      <c r="E63" s="292"/>
      <c r="K63" s="436"/>
      <c r="L63" s="436"/>
      <c r="M63" s="436"/>
    </row>
    <row r="64" spans="1:26">
      <c r="I64" s="177">
        <f t="shared" ref="I64:M64" si="30">+I60-I62</f>
        <v>3.2000541687011719E-2</v>
      </c>
      <c r="J64" s="177">
        <f t="shared" si="30"/>
        <v>0</v>
      </c>
      <c r="K64" s="177">
        <f t="shared" si="30"/>
        <v>3.2000541687011719E-2</v>
      </c>
      <c r="L64" s="177">
        <f t="shared" si="30"/>
        <v>0</v>
      </c>
      <c r="M64" s="177">
        <f t="shared" si="30"/>
        <v>0</v>
      </c>
      <c r="N64" s="177">
        <f>+N62-N60</f>
        <v>0</v>
      </c>
      <c r="O64" s="177">
        <f>+O62-O60</f>
        <v>-3.2003879547119141E-2</v>
      </c>
      <c r="P64" s="177"/>
    </row>
    <row r="65" spans="6:16">
      <c r="M65" s="296"/>
      <c r="O65" s="316"/>
      <c r="P65" s="316"/>
    </row>
    <row r="66" spans="6:16">
      <c r="K66" s="1125">
        <f>+K12+K14+K15+K16+K17+K19+K20+K21+K22+K23+K25+K28+K29+K32+K35+K37+K40+K41+K42+K43+L43+K27</f>
        <v>920532002.69000006</v>
      </c>
      <c r="L66" s="1125" t="s">
        <v>1406</v>
      </c>
    </row>
    <row r="67" spans="6:16">
      <c r="K67" s="292"/>
      <c r="M67" s="292"/>
    </row>
    <row r="68" spans="6:16">
      <c r="F68" s="1"/>
      <c r="G68" s="1"/>
      <c r="H68" s="1"/>
      <c r="I68" s="1"/>
      <c r="J68" s="1"/>
      <c r="M68" s="378"/>
    </row>
    <row r="69" spans="6:16">
      <c r="F69" s="1"/>
      <c r="G69" s="1"/>
      <c r="H69" s="1"/>
      <c r="I69" s="1"/>
      <c r="J69" s="1"/>
      <c r="L69" s="292"/>
    </row>
    <row r="70" spans="6:16">
      <c r="F70" s="1"/>
      <c r="G70" s="1"/>
      <c r="H70" s="1"/>
      <c r="I70" s="292"/>
      <c r="J70" s="292"/>
    </row>
    <row r="71" spans="6:16">
      <c r="F71" s="1"/>
      <c r="G71" s="1"/>
      <c r="H71" s="1"/>
      <c r="I71" s="1"/>
      <c r="J71" s="1"/>
    </row>
    <row r="72" spans="6:16">
      <c r="F72" s="1"/>
      <c r="G72" s="1"/>
      <c r="H72" s="1"/>
      <c r="I72" s="1"/>
      <c r="J72" s="1"/>
    </row>
    <row r="73" spans="6:16">
      <c r="F73" s="1"/>
      <c r="G73" s="1"/>
      <c r="H73" s="1"/>
      <c r="I73" s="1"/>
      <c r="J73" s="1"/>
    </row>
    <row r="74" spans="6:16">
      <c r="F74" s="1"/>
      <c r="G74" s="1"/>
      <c r="H74" s="1"/>
      <c r="I74" s="1"/>
      <c r="J74" s="1"/>
    </row>
    <row r="75" spans="6:16">
      <c r="F75" s="1"/>
      <c r="G75" s="1"/>
      <c r="H75" s="1"/>
      <c r="I75" s="1"/>
      <c r="J75" s="1"/>
    </row>
    <row r="76" spans="6:16">
      <c r="F76" s="1"/>
      <c r="G76" s="1"/>
      <c r="H76" s="1"/>
      <c r="I76" s="1"/>
      <c r="J76" s="1"/>
    </row>
    <row r="77" spans="6:16">
      <c r="F77" s="1"/>
      <c r="G77" s="1"/>
      <c r="H77" s="1"/>
      <c r="I77" s="1"/>
      <c r="J77" s="1"/>
    </row>
    <row r="78" spans="6:16">
      <c r="F78" s="1"/>
      <c r="G78" s="1"/>
      <c r="H78" s="1"/>
      <c r="I78" s="1"/>
      <c r="J78" s="1"/>
    </row>
    <row r="79" spans="6:16">
      <c r="F79" s="1"/>
      <c r="G79" s="1"/>
      <c r="H79" s="1"/>
      <c r="I79" s="1"/>
      <c r="J79" s="1"/>
    </row>
    <row r="80" spans="6:16">
      <c r="F80" s="1"/>
      <c r="G80" s="1"/>
      <c r="H80" s="1"/>
      <c r="I80" s="1"/>
      <c r="J80" s="1"/>
    </row>
    <row r="81" spans="1:2" s="1" customFormat="1">
      <c r="A81" s="1842"/>
      <c r="B81" s="1842"/>
    </row>
    <row r="82" spans="1:2" s="1" customFormat="1">
      <c r="A82" s="1842"/>
      <c r="B82" s="1842"/>
    </row>
    <row r="83" spans="1:2" s="1" customFormat="1">
      <c r="A83" s="1842"/>
      <c r="B83" s="1842"/>
    </row>
    <row r="84" spans="1:2" s="1" customFormat="1">
      <c r="A84" s="1842"/>
      <c r="B84" s="1842"/>
    </row>
    <row r="85" spans="1:2" s="1" customFormat="1">
      <c r="A85" s="1842"/>
      <c r="B85" s="1842"/>
    </row>
    <row r="86" spans="1:2" s="1" customFormat="1">
      <c r="A86" s="1842"/>
      <c r="B86" s="1842"/>
    </row>
    <row r="87" spans="1:2" s="1" customFormat="1">
      <c r="A87" s="1842"/>
      <c r="B87" s="1842"/>
    </row>
  </sheetData>
  <autoFilter ref="A9:Z62"/>
  <mergeCells count="34">
    <mergeCell ref="C5:O5"/>
    <mergeCell ref="C6:O6"/>
    <mergeCell ref="M7:M9"/>
    <mergeCell ref="I7:J7"/>
    <mergeCell ref="J8:J9"/>
    <mergeCell ref="L8:L9"/>
    <mergeCell ref="C1:C3"/>
    <mergeCell ref="N1:O1"/>
    <mergeCell ref="N2:O2"/>
    <mergeCell ref="N3:O3"/>
    <mergeCell ref="D1:M3"/>
    <mergeCell ref="A7:A9"/>
    <mergeCell ref="B7:B9"/>
    <mergeCell ref="C7:C9"/>
    <mergeCell ref="D7:D9"/>
    <mergeCell ref="E7:E9"/>
    <mergeCell ref="T7:T8"/>
    <mergeCell ref="U7:X7"/>
    <mergeCell ref="U8:V8"/>
    <mergeCell ref="C60:F60"/>
    <mergeCell ref="F7:F9"/>
    <mergeCell ref="G7:G9"/>
    <mergeCell ref="H7:H9"/>
    <mergeCell ref="K7:K9"/>
    <mergeCell ref="I8:I9"/>
    <mergeCell ref="C57:C59"/>
    <mergeCell ref="P7:P9"/>
    <mergeCell ref="N7:N9"/>
    <mergeCell ref="O7:O9"/>
    <mergeCell ref="Y57:Y59"/>
    <mergeCell ref="Z57:Z59"/>
    <mergeCell ref="Y7:Z7"/>
    <mergeCell ref="Y8:Y10"/>
    <mergeCell ref="Z8:Z10"/>
  </mergeCells>
  <pageMargins left="0.7" right="0.7" top="0.75" bottom="0.75" header="0.3" footer="0.3"/>
  <pageSetup paperSize="9" orientation="portrait" verticalDpi="597"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0" tint="-4.9989318521683403E-2"/>
  </sheetPr>
  <dimension ref="A1:M22"/>
  <sheetViews>
    <sheetView zoomScale="80" zoomScaleNormal="80" workbookViewId="0">
      <pane xSplit="4" ySplit="9" topLeftCell="E10" activePane="bottomRight" state="frozen"/>
      <selection activeCell="F55" sqref="F55"/>
      <selection pane="topRight" activeCell="F55" sqref="F55"/>
      <selection pane="bottomLeft" activeCell="F55" sqref="F55"/>
      <selection pane="bottomRight" activeCell="E53" sqref="E53"/>
    </sheetView>
  </sheetViews>
  <sheetFormatPr baseColWidth="10" defaultRowHeight="15"/>
  <cols>
    <col min="1" max="1" width="12.140625" customWidth="1"/>
    <col min="2" max="2" width="59.42578125" bestFit="1" customWidth="1"/>
    <col min="3" max="3" width="15.7109375" customWidth="1"/>
    <col min="4" max="4" width="10.140625" customWidth="1"/>
    <col min="5" max="6" width="15.7109375" customWidth="1"/>
    <col min="7" max="7" width="15.140625" customWidth="1"/>
    <col min="8" max="8" width="12" customWidth="1"/>
    <col min="9" max="9" width="15.140625" bestFit="1" customWidth="1"/>
    <col min="10" max="10" width="15.140625" customWidth="1"/>
    <col min="11" max="11" width="14.140625" customWidth="1"/>
    <col min="12" max="12" width="16.85546875" bestFit="1" customWidth="1"/>
    <col min="13" max="13" width="16" customWidth="1"/>
  </cols>
  <sheetData>
    <row r="1" spans="1:13" ht="15" customHeight="1">
      <c r="B1" s="2201"/>
      <c r="C1" s="2188" t="s">
        <v>434</v>
      </c>
      <c r="D1" s="2189"/>
      <c r="E1" s="2189"/>
      <c r="F1" s="2189"/>
      <c r="G1" s="2189"/>
      <c r="H1" s="2189"/>
      <c r="I1" s="2189"/>
      <c r="J1" s="2189"/>
      <c r="K1" s="2190"/>
      <c r="L1" s="2248" t="s">
        <v>364</v>
      </c>
      <c r="M1" s="2249"/>
    </row>
    <row r="2" spans="1:13">
      <c r="B2" s="2202"/>
      <c r="C2" s="2188"/>
      <c r="D2" s="2189"/>
      <c r="E2" s="2189"/>
      <c r="F2" s="2189"/>
      <c r="G2" s="2189"/>
      <c r="H2" s="2189"/>
      <c r="I2" s="2189"/>
      <c r="J2" s="2189"/>
      <c r="K2" s="2190"/>
      <c r="L2" s="2250" t="s">
        <v>365</v>
      </c>
      <c r="M2" s="2251"/>
    </row>
    <row r="3" spans="1:13" ht="15.75" customHeight="1" thickBot="1">
      <c r="B3" s="2203"/>
      <c r="C3" s="2188"/>
      <c r="D3" s="2189"/>
      <c r="E3" s="2189"/>
      <c r="F3" s="2189"/>
      <c r="G3" s="2189"/>
      <c r="H3" s="2189"/>
      <c r="I3" s="2189"/>
      <c r="J3" s="2189"/>
      <c r="K3" s="2190"/>
      <c r="L3" s="2252" t="s">
        <v>366</v>
      </c>
      <c r="M3" s="2253"/>
    </row>
    <row r="4" spans="1:13" ht="5.25" customHeight="1" thickBot="1">
      <c r="A4" s="1"/>
      <c r="B4" s="1"/>
      <c r="C4" s="1"/>
      <c r="D4" s="1"/>
      <c r="E4" s="1"/>
      <c r="F4" s="1"/>
      <c r="G4" s="1"/>
      <c r="H4" s="1"/>
    </row>
    <row r="5" spans="1:13" ht="15.75" customHeight="1" thickBot="1">
      <c r="B5" s="2393" t="s">
        <v>187</v>
      </c>
      <c r="C5" s="2394"/>
      <c r="D5" s="2394"/>
      <c r="E5" s="2394"/>
      <c r="F5" s="2394"/>
      <c r="G5" s="2394"/>
      <c r="H5" s="2394"/>
      <c r="I5" s="2394"/>
      <c r="J5" s="2394"/>
      <c r="K5" s="2394"/>
      <c r="L5" s="2394"/>
      <c r="M5" s="2395"/>
    </row>
    <row r="6" spans="1:13" ht="15.75" customHeight="1" thickBot="1">
      <c r="B6" s="2393" t="s">
        <v>1402</v>
      </c>
      <c r="C6" s="2394"/>
      <c r="D6" s="2394"/>
      <c r="E6" s="2394"/>
      <c r="F6" s="2394"/>
      <c r="G6" s="2394"/>
      <c r="H6" s="2394"/>
      <c r="I6" s="2394"/>
      <c r="J6" s="2394"/>
      <c r="K6" s="2394"/>
      <c r="L6" s="2394"/>
      <c r="M6" s="2395"/>
    </row>
    <row r="7" spans="1:13" ht="15" customHeight="1" thickBot="1">
      <c r="A7" s="2135" t="s">
        <v>278</v>
      </c>
      <c r="B7" s="2401" t="s">
        <v>322</v>
      </c>
      <c r="C7" s="2163">
        <v>2024</v>
      </c>
      <c r="D7" s="2164"/>
      <c r="E7" s="2164"/>
      <c r="F7" s="2164"/>
      <c r="G7" s="2164"/>
      <c r="H7" s="2164"/>
      <c r="I7" s="2164"/>
      <c r="J7" s="2164"/>
      <c r="K7" s="2164"/>
      <c r="L7" s="2164"/>
      <c r="M7" s="2165"/>
    </row>
    <row r="8" spans="1:13" ht="25.5" customHeight="1" thickBot="1">
      <c r="A8" s="2135"/>
      <c r="B8" s="2402"/>
      <c r="C8" s="2135" t="s">
        <v>190</v>
      </c>
      <c r="D8" s="2135" t="s">
        <v>191</v>
      </c>
      <c r="E8" s="2273" t="s">
        <v>213</v>
      </c>
      <c r="F8" s="2275"/>
      <c r="G8" s="2135" t="s">
        <v>245</v>
      </c>
      <c r="H8" s="2139" t="s">
        <v>527</v>
      </c>
      <c r="I8" s="2140"/>
      <c r="J8" s="2141"/>
      <c r="K8" s="2396" t="s">
        <v>1055</v>
      </c>
      <c r="L8" s="2210" t="s">
        <v>954</v>
      </c>
      <c r="M8" s="2396" t="s">
        <v>909</v>
      </c>
    </row>
    <row r="9" spans="1:13" ht="36.75" thickBot="1">
      <c r="A9" s="2135"/>
      <c r="B9" s="2403"/>
      <c r="C9" s="2135"/>
      <c r="D9" s="2135"/>
      <c r="E9" s="505" t="s">
        <v>240</v>
      </c>
      <c r="F9" s="505" t="s">
        <v>277</v>
      </c>
      <c r="G9" s="2135"/>
      <c r="H9" s="389" t="s">
        <v>194</v>
      </c>
      <c r="I9" s="389" t="s">
        <v>209</v>
      </c>
      <c r="J9" s="505" t="s">
        <v>277</v>
      </c>
      <c r="K9" s="2397"/>
      <c r="L9" s="2136"/>
      <c r="M9" s="2397"/>
    </row>
    <row r="10" spans="1:13" ht="15.75" thickBot="1">
      <c r="A10" s="186">
        <v>3299011</v>
      </c>
      <c r="B10" s="168" t="s">
        <v>955</v>
      </c>
      <c r="C10" s="801" t="s">
        <v>1098</v>
      </c>
      <c r="D10" s="801">
        <v>100</v>
      </c>
      <c r="E10" s="380">
        <f>SUM(E11)</f>
        <v>365120849.94583917</v>
      </c>
      <c r="F10" s="380">
        <f t="shared" ref="F10:M10" si="0">SUM(F11)</f>
        <v>76849600</v>
      </c>
      <c r="G10" s="380">
        <f t="shared" si="0"/>
        <v>441970449.94583917</v>
      </c>
      <c r="H10" s="380">
        <f t="shared" si="0"/>
        <v>0</v>
      </c>
      <c r="I10" s="380">
        <f t="shared" si="0"/>
        <v>108017764.66</v>
      </c>
      <c r="J10" s="380">
        <f t="shared" si="0"/>
        <v>8150400</v>
      </c>
      <c r="K10" s="380">
        <f t="shared" si="0"/>
        <v>116168164.66</v>
      </c>
      <c r="L10" s="380">
        <f t="shared" si="0"/>
        <v>2137500000</v>
      </c>
      <c r="M10" s="380">
        <f t="shared" si="0"/>
        <v>2695638614.6058388</v>
      </c>
    </row>
    <row r="11" spans="1:13" ht="26.25" thickBot="1">
      <c r="B11" s="171" t="s">
        <v>956</v>
      </c>
      <c r="C11" s="784" t="s">
        <v>1106</v>
      </c>
      <c r="D11" s="784">
        <v>1</v>
      </c>
      <c r="E11" s="440">
        <f>+'ACCIONES 329901'!M11</f>
        <v>365120849.94583917</v>
      </c>
      <c r="F11" s="440">
        <f>+'ACCIONES 329901'!N11</f>
        <v>76849600</v>
      </c>
      <c r="G11" s="440">
        <f>+'ACCIONES 329901'!O11</f>
        <v>441970449.94583917</v>
      </c>
      <c r="H11" s="440">
        <f>+'ACCIONES 329901'!P11</f>
        <v>0</v>
      </c>
      <c r="I11" s="440">
        <f>+'ACCIONES 329901'!Q11</f>
        <v>108017764.66</v>
      </c>
      <c r="J11" s="440">
        <f>+'ACCIONES 329901'!R11</f>
        <v>8150400</v>
      </c>
      <c r="K11" s="440">
        <f>+'ACCIONES 329901'!S11</f>
        <v>116168164.66</v>
      </c>
      <c r="L11" s="440">
        <f>+'ACCIONES 329901'!T11</f>
        <v>2137500000</v>
      </c>
      <c r="M11" s="440">
        <f>+'ACCIONES 329901'!U11</f>
        <v>2695638614.6058388</v>
      </c>
    </row>
    <row r="12" spans="1:13" ht="26.25" thickBot="1">
      <c r="A12" s="187">
        <v>3299065</v>
      </c>
      <c r="B12" s="508" t="s">
        <v>957</v>
      </c>
      <c r="C12" s="801" t="s">
        <v>1098</v>
      </c>
      <c r="D12" s="801">
        <v>100</v>
      </c>
      <c r="E12" s="542">
        <f>SUM(E13)</f>
        <v>701277807.46735919</v>
      </c>
      <c r="F12" s="542">
        <f t="shared" ref="F12:M12" si="1">SUM(F13)</f>
        <v>0</v>
      </c>
      <c r="G12" s="542">
        <f t="shared" si="1"/>
        <v>701277807.46735919</v>
      </c>
      <c r="H12" s="542">
        <f t="shared" si="1"/>
        <v>0</v>
      </c>
      <c r="I12" s="542">
        <f t="shared" si="1"/>
        <v>118269475.34</v>
      </c>
      <c r="J12" s="542">
        <f t="shared" si="1"/>
        <v>0</v>
      </c>
      <c r="K12" s="542">
        <f t="shared" si="1"/>
        <v>118269475.34</v>
      </c>
      <c r="L12" s="542">
        <f t="shared" si="1"/>
        <v>0</v>
      </c>
      <c r="M12" s="542">
        <f t="shared" si="1"/>
        <v>819547282.8073591</v>
      </c>
    </row>
    <row r="13" spans="1:13" ht="26.25" thickBot="1">
      <c r="B13" s="171" t="s">
        <v>958</v>
      </c>
      <c r="C13" s="784" t="s">
        <v>1109</v>
      </c>
      <c r="D13" s="784">
        <v>1</v>
      </c>
      <c r="E13" s="440">
        <f>+'ACCIONES 329901'!M24</f>
        <v>701277807.46735919</v>
      </c>
      <c r="F13" s="440">
        <f>+'ACCIONES 329901'!N24</f>
        <v>0</v>
      </c>
      <c r="G13" s="440">
        <f>+'ACCIONES 329901'!O24</f>
        <v>701277807.46735919</v>
      </c>
      <c r="H13" s="440">
        <f>+'ACCIONES 329901'!P24</f>
        <v>0</v>
      </c>
      <c r="I13" s="440">
        <f>+'ACCIONES 329901'!Q24</f>
        <v>118269475.34</v>
      </c>
      <c r="J13" s="440">
        <f>+'ACCIONES 329901'!R24</f>
        <v>0</v>
      </c>
      <c r="K13" s="440">
        <f>+'ACCIONES 329901'!S24</f>
        <v>118269475.34</v>
      </c>
      <c r="L13" s="440">
        <f>+'ACCIONES 329901'!T24</f>
        <v>0</v>
      </c>
      <c r="M13" s="440">
        <f>+'ACCIONES 329901'!U24</f>
        <v>819547282.8073591</v>
      </c>
    </row>
    <row r="14" spans="1:13" ht="26.25" thickBot="1">
      <c r="A14" s="187">
        <v>3299060</v>
      </c>
      <c r="B14" s="499" t="s">
        <v>959</v>
      </c>
      <c r="C14" s="801" t="s">
        <v>1098</v>
      </c>
      <c r="D14" s="801">
        <v>100</v>
      </c>
      <c r="E14" s="542">
        <f>SUM(E15:E16)</f>
        <v>1211534881.1772351</v>
      </c>
      <c r="F14" s="542">
        <f t="shared" ref="F14:M14" si="2">SUM(F15:F16)</f>
        <v>0</v>
      </c>
      <c r="G14" s="542">
        <f t="shared" si="2"/>
        <v>1211534881.1772351</v>
      </c>
      <c r="H14" s="542">
        <f t="shared" si="2"/>
        <v>5000000</v>
      </c>
      <c r="I14" s="542">
        <f t="shared" si="2"/>
        <v>46736591</v>
      </c>
      <c r="J14" s="542">
        <f t="shared" ref="J14" si="3">SUM(J15:J16)</f>
        <v>0</v>
      </c>
      <c r="K14" s="542">
        <f t="shared" si="2"/>
        <v>51736591</v>
      </c>
      <c r="L14" s="542">
        <f t="shared" si="2"/>
        <v>0</v>
      </c>
      <c r="M14" s="542">
        <f t="shared" si="2"/>
        <v>1263271472.1772351</v>
      </c>
    </row>
    <row r="15" spans="1:13" ht="25.5">
      <c r="B15" s="167" t="s">
        <v>960</v>
      </c>
      <c r="C15" s="784" t="s">
        <v>1098</v>
      </c>
      <c r="D15" s="784">
        <v>100</v>
      </c>
      <c r="E15" s="437">
        <f>+'ACCIONES 329901'!M46</f>
        <v>1064106649.274848</v>
      </c>
      <c r="F15" s="437">
        <f>+'ACCIONES 329901'!N46</f>
        <v>0</v>
      </c>
      <c r="G15" s="437">
        <f>+'ACCIONES 329901'!O46</f>
        <v>1064106649.274848</v>
      </c>
      <c r="H15" s="437">
        <f>+'ACCIONES 329901'!P46</f>
        <v>5000000</v>
      </c>
      <c r="I15" s="437">
        <f>+'ACCIONES 329901'!Q46</f>
        <v>15000000</v>
      </c>
      <c r="J15" s="437">
        <f>+'ACCIONES 329901'!R46</f>
        <v>0</v>
      </c>
      <c r="K15" s="437">
        <f>+'ACCIONES 329901'!S46</f>
        <v>20000000</v>
      </c>
      <c r="L15" s="437">
        <f>+'ACCIONES 329901'!T46</f>
        <v>0</v>
      </c>
      <c r="M15" s="437">
        <f>+'ACCIONES 329901'!U46</f>
        <v>1084106649.274848</v>
      </c>
    </row>
    <row r="16" spans="1:13" ht="26.25" thickBot="1">
      <c r="B16" s="509" t="s">
        <v>961</v>
      </c>
      <c r="C16" s="784" t="s">
        <v>1098</v>
      </c>
      <c r="D16" s="784">
        <v>100</v>
      </c>
      <c r="E16" s="474">
        <f>+'ACCIONES 329901'!M80</f>
        <v>147428231.90238708</v>
      </c>
      <c r="F16" s="474">
        <f>+'ACCIONES 329901'!N80</f>
        <v>0</v>
      </c>
      <c r="G16" s="474">
        <f>+'ACCIONES 329901'!O80</f>
        <v>147428231.90238708</v>
      </c>
      <c r="H16" s="474">
        <f>+'ACCIONES 329901'!P80</f>
        <v>0</v>
      </c>
      <c r="I16" s="474">
        <f>+'ACCIONES 329901'!Q80</f>
        <v>31736591</v>
      </c>
      <c r="J16" s="474">
        <f>+'ACCIONES 329901'!R80</f>
        <v>0</v>
      </c>
      <c r="K16" s="474">
        <f>+'ACCIONES 329901'!S80</f>
        <v>31736591</v>
      </c>
      <c r="L16" s="474">
        <f>+'ACCIONES 329901'!T80</f>
        <v>0</v>
      </c>
      <c r="M16" s="474">
        <f>+'ACCIONES 329901'!U80</f>
        <v>179164822.90238708</v>
      </c>
    </row>
    <row r="17" spans="2:13" ht="15.75" thickBot="1">
      <c r="B17" s="2398" t="s">
        <v>10</v>
      </c>
      <c r="C17" s="2399"/>
      <c r="D17" s="2400"/>
      <c r="E17" s="560">
        <f>+E10+E12+E14</f>
        <v>2277933538.5904336</v>
      </c>
      <c r="F17" s="560">
        <f>+F10+F12+F14</f>
        <v>76849600</v>
      </c>
      <c r="G17" s="560">
        <f t="shared" ref="G17:M17" si="4">+G10+G12+G14</f>
        <v>2354783138.5904336</v>
      </c>
      <c r="H17" s="560">
        <f t="shared" si="4"/>
        <v>5000000</v>
      </c>
      <c r="I17" s="560">
        <f t="shared" si="4"/>
        <v>273023831</v>
      </c>
      <c r="J17" s="560">
        <f t="shared" si="4"/>
        <v>8150400</v>
      </c>
      <c r="K17" s="560">
        <f t="shared" si="4"/>
        <v>286174231</v>
      </c>
      <c r="L17" s="560">
        <f t="shared" si="4"/>
        <v>2137500000</v>
      </c>
      <c r="M17" s="560">
        <f t="shared" si="4"/>
        <v>4778457369.5904331</v>
      </c>
    </row>
    <row r="18" spans="2:13" ht="15.75" thickBot="1">
      <c r="E18" s="32"/>
      <c r="F18" s="32"/>
    </row>
    <row r="19" spans="2:13" ht="15.75" thickBot="1">
      <c r="E19" s="985">
        <v>2277933538.5904331</v>
      </c>
      <c r="F19" s="998">
        <v>76849600</v>
      </c>
      <c r="G19" s="986">
        <v>2354783138.5904331</v>
      </c>
      <c r="H19" s="987">
        <v>5000000</v>
      </c>
      <c r="I19" s="988">
        <v>273023831</v>
      </c>
      <c r="J19" s="988">
        <v>8150400</v>
      </c>
      <c r="K19" s="988">
        <v>286174231</v>
      </c>
      <c r="L19" s="988">
        <v>2137500000</v>
      </c>
      <c r="M19" s="988">
        <v>4778457369.5904331</v>
      </c>
    </row>
    <row r="21" spans="2:13">
      <c r="E21" s="32">
        <f>+E17-E19</f>
        <v>0</v>
      </c>
      <c r="F21" s="32"/>
      <c r="G21" s="32">
        <f>+G17-G19</f>
        <v>0</v>
      </c>
      <c r="H21" s="371"/>
      <c r="I21" s="32">
        <f>+I19-I17</f>
        <v>0</v>
      </c>
      <c r="J21" s="32">
        <f t="shared" ref="J21:L21" si="5">+J19-J17</f>
        <v>0</v>
      </c>
      <c r="K21" s="32">
        <f t="shared" si="5"/>
        <v>0</v>
      </c>
      <c r="L21" s="32">
        <f t="shared" si="5"/>
        <v>0</v>
      </c>
      <c r="M21" s="32">
        <f>+M17-M19</f>
        <v>0</v>
      </c>
    </row>
    <row r="22" spans="2:13">
      <c r="E22" s="32"/>
      <c r="F22" s="32"/>
    </row>
  </sheetData>
  <mergeCells count="19">
    <mergeCell ref="B17:D17"/>
    <mergeCell ref="A7:A9"/>
    <mergeCell ref="B7:B9"/>
    <mergeCell ref="C8:C9"/>
    <mergeCell ref="D8:D9"/>
    <mergeCell ref="B1:B3"/>
    <mergeCell ref="G8:G9"/>
    <mergeCell ref="L1:M1"/>
    <mergeCell ref="L2:M2"/>
    <mergeCell ref="L3:M3"/>
    <mergeCell ref="C1:K3"/>
    <mergeCell ref="B5:M5"/>
    <mergeCell ref="B6:M6"/>
    <mergeCell ref="L8:L9"/>
    <mergeCell ref="M8:M9"/>
    <mergeCell ref="C7:M7"/>
    <mergeCell ref="K8:K9"/>
    <mergeCell ref="E8:F8"/>
    <mergeCell ref="H8:J8"/>
  </mergeCells>
  <pageMargins left="0.11811023622047245" right="0.11811023622047245" top="0.15748031496062992" bottom="1.1417322834645669" header="0.31496062992125984" footer="0.31496062992125984"/>
  <pageSetup scale="80" orientation="landscape" verticalDpi="597"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0">
    <tabColor theme="0" tint="-4.9989318521683403E-2"/>
  </sheetPr>
  <dimension ref="A1:AV108"/>
  <sheetViews>
    <sheetView topLeftCell="A5" zoomScale="60" zoomScaleNormal="60" workbookViewId="0">
      <pane xSplit="12" ySplit="5" topLeftCell="N34" activePane="bottomRight" state="frozen"/>
      <selection activeCell="F55" sqref="F55"/>
      <selection pane="topRight" activeCell="F55" sqref="F55"/>
      <selection pane="bottomLeft" activeCell="F55" sqref="F55"/>
      <selection pane="bottomRight" activeCell="U31" activeCellId="3" sqref="U25 U26 U27 U31"/>
    </sheetView>
  </sheetViews>
  <sheetFormatPr baseColWidth="10" defaultColWidth="11.42578125" defaultRowHeight="12.75"/>
  <cols>
    <col min="1" max="1" width="7.42578125" style="1842" customWidth="1"/>
    <col min="2" max="2" width="8.42578125" style="1842" customWidth="1"/>
    <col min="3" max="3" width="34" style="150" customWidth="1"/>
    <col min="4" max="4" width="17.7109375" style="1" customWidth="1"/>
    <col min="5" max="5" width="7.5703125" style="1" customWidth="1"/>
    <col min="6" max="6" width="14.5703125" style="317" customWidth="1"/>
    <col min="7" max="7" width="10.5703125" style="96" customWidth="1"/>
    <col min="8" max="8" width="12.140625" style="98" customWidth="1"/>
    <col min="9" max="9" width="9.42578125" style="1" customWidth="1"/>
    <col min="10" max="10" width="16.85546875" style="1" customWidth="1"/>
    <col min="11" max="11" width="17.28515625" style="1" customWidth="1"/>
    <col min="12" max="12" width="16.28515625" style="1" customWidth="1"/>
    <col min="13" max="13" width="16.42578125" style="150" customWidth="1"/>
    <col min="14" max="14" width="13.140625" style="150" customWidth="1"/>
    <col min="15" max="15" width="15" style="150" customWidth="1"/>
    <col min="16" max="16" width="12.85546875" style="150" customWidth="1"/>
    <col min="17" max="17" width="13.85546875" style="150" customWidth="1"/>
    <col min="18" max="18" width="11.42578125" style="150" customWidth="1"/>
    <col min="19" max="19" width="13.28515625" style="150" customWidth="1"/>
    <col min="20" max="20" width="16.7109375" style="1" customWidth="1"/>
    <col min="21" max="21" width="15.5703125" style="150" customWidth="1"/>
    <col min="22" max="22" width="15.7109375" style="150" customWidth="1"/>
    <col min="23" max="23" width="12.7109375" style="150" bestFit="1" customWidth="1"/>
    <col min="24" max="24" width="14.5703125" style="150" bestFit="1" customWidth="1"/>
    <col min="25" max="25" width="17.7109375" style="150" customWidth="1"/>
    <col min="26" max="26" width="16.7109375" style="150" customWidth="1"/>
    <col min="27" max="27" width="11.85546875" style="150" customWidth="1"/>
    <col min="28" max="28" width="13.7109375" style="150" bestFit="1" customWidth="1"/>
    <col min="29" max="30" width="13.7109375" style="150" customWidth="1"/>
    <col min="31" max="31" width="14.7109375" style="150" customWidth="1"/>
    <col min="32" max="32" width="27.28515625" style="150" customWidth="1"/>
    <col min="33" max="38" width="27.5703125" style="150" customWidth="1"/>
    <col min="39" max="39" width="21.140625" style="150" customWidth="1"/>
    <col min="40" max="41" width="27.5703125" style="150" customWidth="1"/>
    <col min="42" max="46" width="15.7109375" style="150" customWidth="1"/>
    <col min="47" max="47" width="21.28515625" style="150" customWidth="1"/>
    <col min="48" max="48" width="15.42578125" style="150" customWidth="1"/>
    <col min="49" max="49" width="13" style="150" bestFit="1" customWidth="1"/>
    <col min="50" max="16384" width="11.42578125" style="150"/>
  </cols>
  <sheetData>
    <row r="1" spans="1:37" ht="15" customHeight="1">
      <c r="C1" s="2223"/>
      <c r="D1" s="2163" t="s">
        <v>434</v>
      </c>
      <c r="E1" s="2164"/>
      <c r="F1" s="2164"/>
      <c r="G1" s="2164"/>
      <c r="H1" s="2164"/>
      <c r="I1" s="2164"/>
      <c r="J1" s="2164"/>
      <c r="K1" s="2164"/>
      <c r="L1" s="2164"/>
      <c r="M1" s="2264"/>
      <c r="N1" s="2264"/>
      <c r="O1" s="2264"/>
      <c r="P1" s="2264"/>
      <c r="Q1" s="2407"/>
      <c r="R1" s="2407"/>
      <c r="S1" s="2407"/>
      <c r="T1" s="2411" t="s">
        <v>980</v>
      </c>
      <c r="U1" s="2249"/>
    </row>
    <row r="2" spans="1:37" ht="15" customHeight="1">
      <c r="C2" s="2224"/>
      <c r="D2" s="2166"/>
      <c r="E2" s="2167"/>
      <c r="F2" s="2167"/>
      <c r="G2" s="2167"/>
      <c r="H2" s="2167"/>
      <c r="I2" s="2167"/>
      <c r="J2" s="2167"/>
      <c r="K2" s="2167"/>
      <c r="L2" s="2167"/>
      <c r="M2" s="2237"/>
      <c r="N2" s="2237"/>
      <c r="O2" s="2237"/>
      <c r="P2" s="2237"/>
      <c r="Q2" s="2406"/>
      <c r="R2" s="2406"/>
      <c r="S2" s="2406"/>
      <c r="T2" s="2412" t="s">
        <v>365</v>
      </c>
      <c r="U2" s="2251"/>
    </row>
    <row r="3" spans="1:37" ht="15.75" customHeight="1" thickBot="1">
      <c r="C3" s="2225"/>
      <c r="D3" s="2169"/>
      <c r="E3" s="2170"/>
      <c r="F3" s="2170"/>
      <c r="G3" s="2170"/>
      <c r="H3" s="2170"/>
      <c r="I3" s="2170"/>
      <c r="J3" s="2170"/>
      <c r="K3" s="2170"/>
      <c r="L3" s="2170"/>
      <c r="M3" s="2207"/>
      <c r="N3" s="2207"/>
      <c r="O3" s="2207"/>
      <c r="P3" s="2207"/>
      <c r="Q3" s="2405"/>
      <c r="R3" s="2405"/>
      <c r="S3" s="2405"/>
      <c r="T3" s="2413" t="s">
        <v>366</v>
      </c>
      <c r="U3" s="2253"/>
    </row>
    <row r="4" spans="1:37" ht="13.5" thickBot="1">
      <c r="G4" s="1"/>
      <c r="H4" s="1"/>
    </row>
    <row r="5" spans="1:37">
      <c r="C5" s="2263" t="s">
        <v>187</v>
      </c>
      <c r="D5" s="2164"/>
      <c r="E5" s="2164"/>
      <c r="F5" s="2164"/>
      <c r="G5" s="2164"/>
      <c r="H5" s="2164"/>
      <c r="I5" s="2164"/>
      <c r="J5" s="2164"/>
      <c r="K5" s="2164"/>
      <c r="L5" s="2164"/>
      <c r="M5" s="2264"/>
      <c r="N5" s="2264"/>
      <c r="O5" s="2264"/>
      <c r="P5" s="2264"/>
      <c r="Q5" s="2264"/>
      <c r="R5" s="2264"/>
      <c r="S5" s="2264"/>
      <c r="T5" s="2164"/>
      <c r="U5" s="2265"/>
    </row>
    <row r="6" spans="1:37" ht="13.5" thickBot="1">
      <c r="C6" s="2408" t="s">
        <v>1403</v>
      </c>
      <c r="D6" s="2277"/>
      <c r="E6" s="2277"/>
      <c r="F6" s="2277"/>
      <c r="G6" s="2277"/>
      <c r="H6" s="2277"/>
      <c r="I6" s="2277"/>
      <c r="J6" s="2277"/>
      <c r="K6" s="2277"/>
      <c r="L6" s="2277"/>
      <c r="M6" s="2409"/>
      <c r="N6" s="2409"/>
      <c r="O6" s="2409"/>
      <c r="P6" s="2409"/>
      <c r="Q6" s="2409"/>
      <c r="R6" s="2409"/>
      <c r="S6" s="2409"/>
      <c r="T6" s="2277"/>
      <c r="U6" s="2410"/>
      <c r="AF6" s="2255" t="s">
        <v>1302</v>
      </c>
      <c r="AG6" s="2255"/>
    </row>
    <row r="7" spans="1:37" ht="26.45" customHeight="1" thickBot="1">
      <c r="A7" s="2135" t="s">
        <v>368</v>
      </c>
      <c r="B7" s="2135" t="s">
        <v>369</v>
      </c>
      <c r="C7" s="2247" t="s">
        <v>311</v>
      </c>
      <c r="D7" s="2136" t="s">
        <v>312</v>
      </c>
      <c r="E7" s="2136" t="s">
        <v>350</v>
      </c>
      <c r="F7" s="2416" t="s">
        <v>317</v>
      </c>
      <c r="G7" s="2136" t="s">
        <v>321</v>
      </c>
      <c r="H7" s="2136" t="s">
        <v>313</v>
      </c>
      <c r="I7" s="2136" t="s">
        <v>191</v>
      </c>
      <c r="J7" s="2136" t="s">
        <v>320</v>
      </c>
      <c r="K7" s="2136" t="s">
        <v>348</v>
      </c>
      <c r="L7" s="2136" t="s">
        <v>245</v>
      </c>
      <c r="M7" s="2148" t="s">
        <v>189</v>
      </c>
      <c r="N7" s="2150"/>
      <c r="O7" s="2247" t="s">
        <v>965</v>
      </c>
      <c r="P7" s="2246" t="s">
        <v>527</v>
      </c>
      <c r="Q7" s="2414"/>
      <c r="R7" s="2234"/>
      <c r="S7" s="2404" t="s">
        <v>966</v>
      </c>
      <c r="T7" s="2142" t="s">
        <v>954</v>
      </c>
      <c r="U7" s="2404" t="s">
        <v>909</v>
      </c>
      <c r="V7" s="745" t="s">
        <v>1280</v>
      </c>
      <c r="W7" s="1024" t="s">
        <v>1276</v>
      </c>
      <c r="X7" s="1024" t="s">
        <v>1277</v>
      </c>
      <c r="Y7" s="2156" t="s">
        <v>1278</v>
      </c>
      <c r="Z7" s="2262" t="s">
        <v>1286</v>
      </c>
      <c r="AA7" s="2262"/>
      <c r="AB7" s="2262" t="s">
        <v>1284</v>
      </c>
      <c r="AC7" s="2262"/>
      <c r="AD7" s="2262"/>
      <c r="AE7" s="2156" t="s">
        <v>954</v>
      </c>
      <c r="AF7" s="2262" t="s">
        <v>1288</v>
      </c>
      <c r="AG7" s="2262" t="s">
        <v>1289</v>
      </c>
    </row>
    <row r="8" spans="1:37" ht="9.9499999999999993" customHeight="1" thickBot="1">
      <c r="A8" s="2135"/>
      <c r="B8" s="2135"/>
      <c r="C8" s="2159"/>
      <c r="D8" s="2135"/>
      <c r="E8" s="2135"/>
      <c r="F8" s="2417"/>
      <c r="G8" s="2135"/>
      <c r="H8" s="2135"/>
      <c r="I8" s="2135"/>
      <c r="J8" s="2135"/>
      <c r="K8" s="2135"/>
      <c r="L8" s="2135"/>
      <c r="M8" s="2159" t="s">
        <v>194</v>
      </c>
      <c r="N8" s="2159" t="s">
        <v>277</v>
      </c>
      <c r="O8" s="2159"/>
      <c r="P8" s="2159" t="s">
        <v>194</v>
      </c>
      <c r="Q8" s="2200" t="s">
        <v>209</v>
      </c>
      <c r="R8" s="2159" t="s">
        <v>277</v>
      </c>
      <c r="S8" s="2404"/>
      <c r="T8" s="2142"/>
      <c r="U8" s="2404"/>
      <c r="V8" s="1030"/>
      <c r="W8" s="1030"/>
      <c r="X8" s="1030"/>
      <c r="Y8" s="2156"/>
      <c r="Z8" s="1030" t="s">
        <v>194</v>
      </c>
      <c r="AA8" s="1030" t="s">
        <v>277</v>
      </c>
      <c r="AB8" s="1026" t="s">
        <v>194</v>
      </c>
      <c r="AC8" s="1026" t="s">
        <v>209</v>
      </c>
      <c r="AD8" s="1030" t="s">
        <v>277</v>
      </c>
      <c r="AE8" s="2156"/>
      <c r="AF8" s="2262"/>
      <c r="AG8" s="2262"/>
    </row>
    <row r="9" spans="1:37" ht="15.95" customHeight="1" thickBot="1">
      <c r="A9" s="2210"/>
      <c r="B9" s="2210"/>
      <c r="C9" s="2200"/>
      <c r="D9" s="2210"/>
      <c r="E9" s="2210"/>
      <c r="F9" s="2418"/>
      <c r="G9" s="2210"/>
      <c r="H9" s="2210"/>
      <c r="I9" s="2210"/>
      <c r="J9" s="2210"/>
      <c r="K9" s="2210"/>
      <c r="L9" s="2210"/>
      <c r="M9" s="2200"/>
      <c r="N9" s="2200"/>
      <c r="O9" s="2200"/>
      <c r="P9" s="2200"/>
      <c r="Q9" s="2172"/>
      <c r="R9" s="2200"/>
      <c r="S9" s="2404"/>
      <c r="T9" s="2142"/>
      <c r="U9" s="2404"/>
      <c r="AF9" s="2262"/>
      <c r="AG9" s="2262"/>
    </row>
    <row r="10" spans="1:37" ht="21.75" customHeight="1" thickBot="1">
      <c r="A10" s="1866">
        <v>228</v>
      </c>
      <c r="B10" s="1907"/>
      <c r="C10" s="768" t="s">
        <v>955</v>
      </c>
      <c r="D10" s="1709"/>
      <c r="E10" s="1710"/>
      <c r="F10" s="1711"/>
      <c r="G10" s="1709"/>
      <c r="H10" s="1710" t="s">
        <v>1098</v>
      </c>
      <c r="I10" s="1710">
        <v>100</v>
      </c>
      <c r="J10" s="1076"/>
      <c r="K10" s="1076"/>
      <c r="L10" s="1076"/>
      <c r="M10" s="1077">
        <f t="shared" ref="M10:U10" si="0">+M11</f>
        <v>365120849.94583917</v>
      </c>
      <c r="N10" s="1077">
        <f t="shared" si="0"/>
        <v>76849600</v>
      </c>
      <c r="O10" s="1077">
        <f t="shared" si="0"/>
        <v>441970449.94583917</v>
      </c>
      <c r="P10" s="1077">
        <f t="shared" si="0"/>
        <v>0</v>
      </c>
      <c r="Q10" s="1077">
        <f t="shared" si="0"/>
        <v>108017764.66</v>
      </c>
      <c r="R10" s="1077">
        <f t="shared" si="0"/>
        <v>8150400</v>
      </c>
      <c r="S10" s="1077">
        <f t="shared" si="0"/>
        <v>116168164.66</v>
      </c>
      <c r="T10" s="1077">
        <f t="shared" si="0"/>
        <v>2137500000</v>
      </c>
      <c r="U10" s="1078">
        <f t="shared" si="0"/>
        <v>2695638614.6058388</v>
      </c>
      <c r="V10" s="1025"/>
      <c r="W10" s="1025"/>
      <c r="X10" s="1025"/>
      <c r="Y10" s="1025"/>
      <c r="Z10" s="1025"/>
      <c r="AA10" s="1025"/>
      <c r="AB10" s="1025"/>
      <c r="AC10" s="1025"/>
      <c r="AD10" s="1025"/>
      <c r="AE10" s="1025"/>
    </row>
    <row r="11" spans="1:37" ht="21.75" customHeight="1">
      <c r="A11" s="1866"/>
      <c r="B11" s="1907">
        <v>350</v>
      </c>
      <c r="C11" s="1079" t="s">
        <v>956</v>
      </c>
      <c r="D11" s="503"/>
      <c r="E11" s="500"/>
      <c r="F11" s="1068"/>
      <c r="G11" s="503"/>
      <c r="H11" s="500" t="s">
        <v>1106</v>
      </c>
      <c r="I11" s="500">
        <v>1</v>
      </c>
      <c r="J11" s="1075">
        <f>+J12</f>
        <v>0</v>
      </c>
      <c r="K11" s="1075"/>
      <c r="L11" s="1069">
        <f>SUM(L12:L12)</f>
        <v>0</v>
      </c>
      <c r="M11" s="762">
        <f>SUM(M12:M22)</f>
        <v>365120849.94583917</v>
      </c>
      <c r="N11" s="762">
        <f t="shared" ref="N11:U11" si="1">SUM(N12:N22)</f>
        <v>76849600</v>
      </c>
      <c r="O11" s="762">
        <f t="shared" si="1"/>
        <v>441970449.94583917</v>
      </c>
      <c r="P11" s="762">
        <f t="shared" si="1"/>
        <v>0</v>
      </c>
      <c r="Q11" s="762">
        <f t="shared" si="1"/>
        <v>108017764.66</v>
      </c>
      <c r="R11" s="762">
        <f t="shared" si="1"/>
        <v>8150400</v>
      </c>
      <c r="S11" s="762">
        <f t="shared" si="1"/>
        <v>116168164.66</v>
      </c>
      <c r="T11" s="762">
        <f t="shared" si="1"/>
        <v>2137500000</v>
      </c>
      <c r="U11" s="763">
        <f t="shared" si="1"/>
        <v>2695638614.6058388</v>
      </c>
      <c r="V11" s="1025"/>
      <c r="W11" s="1025"/>
      <c r="X11" s="1025"/>
      <c r="Y11" s="1025"/>
      <c r="Z11" s="1025"/>
      <c r="AA11" s="1025"/>
      <c r="AB11" s="1025"/>
      <c r="AC11" s="1025"/>
      <c r="AD11" s="1025"/>
      <c r="AE11" s="1025"/>
    </row>
    <row r="12" spans="1:37" s="1399" customFormat="1" ht="21.75" customHeight="1">
      <c r="A12" s="1055"/>
      <c r="B12" s="1055"/>
      <c r="C12" s="1088" t="s">
        <v>742</v>
      </c>
      <c r="D12" s="1090" t="s">
        <v>402</v>
      </c>
      <c r="E12" s="1089">
        <v>54590</v>
      </c>
      <c r="F12" s="1303"/>
      <c r="G12" s="1304"/>
      <c r="H12" s="1089" t="s">
        <v>408</v>
      </c>
      <c r="I12" s="1089">
        <v>1</v>
      </c>
      <c r="J12" s="1305"/>
      <c r="K12" s="1305"/>
      <c r="L12" s="1426"/>
      <c r="M12" s="1308"/>
      <c r="N12" s="1308"/>
      <c r="O12" s="1307">
        <f>+M12+N12</f>
        <v>0</v>
      </c>
      <c r="P12" s="1307"/>
      <c r="Q12" s="1308"/>
      <c r="R12" s="1308"/>
      <c r="S12" s="1308">
        <f>SUM(P12:R12)</f>
        <v>0</v>
      </c>
      <c r="T12" s="1308">
        <v>2137500000</v>
      </c>
      <c r="U12" s="1309">
        <f>+O12+S12+T12</f>
        <v>2137500000</v>
      </c>
      <c r="V12" s="1085">
        <v>2137500000</v>
      </c>
      <c r="W12" s="1086"/>
      <c r="X12" s="1086"/>
      <c r="Y12" s="1085">
        <f>+V12-X12</f>
        <v>2137500000</v>
      </c>
      <c r="Z12" s="1085"/>
      <c r="AA12" s="1085"/>
      <c r="AB12" s="1085"/>
      <c r="AC12" s="1085"/>
      <c r="AD12" s="1085"/>
      <c r="AE12" s="1085">
        <v>2137500000</v>
      </c>
      <c r="AF12" s="1427" t="s">
        <v>9</v>
      </c>
      <c r="AG12" s="1427" t="s">
        <v>1296</v>
      </c>
      <c r="AH12" s="1084"/>
    </row>
    <row r="13" spans="1:37" s="1428" customFormat="1" ht="21.75" customHeight="1">
      <c r="A13" s="1055"/>
      <c r="B13" s="1055"/>
      <c r="C13" s="1380" t="s">
        <v>560</v>
      </c>
      <c r="D13" s="1096" t="s">
        <v>211</v>
      </c>
      <c r="E13" s="1095">
        <v>83990</v>
      </c>
      <c r="F13" s="1310" t="s">
        <v>444</v>
      </c>
      <c r="G13" s="1095" t="s">
        <v>522</v>
      </c>
      <c r="H13" s="1095" t="s">
        <v>197</v>
      </c>
      <c r="I13" s="1095">
        <v>5.5</v>
      </c>
      <c r="J13" s="1429">
        <f>3200000*1.1088</f>
        <v>3548160</v>
      </c>
      <c r="K13" s="1312">
        <f>+J13*I13</f>
        <v>19514880</v>
      </c>
      <c r="L13" s="1429">
        <f>+K13*1.004</f>
        <v>19592939.52</v>
      </c>
      <c r="M13" s="1313">
        <f>19790000-197060.48</f>
        <v>19592939.52</v>
      </c>
      <c r="N13" s="1313"/>
      <c r="O13" s="1313">
        <f t="shared" ref="O13:O22" si="2">+M13+N13</f>
        <v>19592939.52</v>
      </c>
      <c r="P13" s="1313"/>
      <c r="Q13" s="1313"/>
      <c r="R13" s="1313"/>
      <c r="S13" s="1313">
        <f t="shared" ref="S13:S20" si="3">SUM(P13:R13)</f>
        <v>0</v>
      </c>
      <c r="T13" s="1313"/>
      <c r="U13" s="1466">
        <f t="shared" ref="U13:U18" si="4">+O13+S13+T13</f>
        <v>19592939.52</v>
      </c>
      <c r="V13" s="1431">
        <v>19592939.52</v>
      </c>
      <c r="W13" s="1431">
        <v>19592940</v>
      </c>
      <c r="X13" s="1431">
        <v>19592940</v>
      </c>
      <c r="Y13" s="1083">
        <f t="shared" ref="Y13:Y87" si="5">+V13-X13</f>
        <v>-0.48000000044703484</v>
      </c>
      <c r="Z13" s="1431"/>
      <c r="AA13" s="1431"/>
      <c r="AB13" s="1431"/>
      <c r="AC13" s="1431"/>
      <c r="AD13" s="1431"/>
      <c r="AE13" s="1431"/>
      <c r="AF13" s="1432" t="s">
        <v>9</v>
      </c>
      <c r="AG13" s="1477" t="s">
        <v>1297</v>
      </c>
      <c r="AH13" s="1478"/>
      <c r="AI13" s="1478"/>
      <c r="AJ13" s="1478"/>
      <c r="AK13" s="1478"/>
    </row>
    <row r="14" spans="1:37" s="1399" customFormat="1" ht="21.75" customHeight="1">
      <c r="A14" s="1055"/>
      <c r="B14" s="1055"/>
      <c r="C14" s="1500" t="s">
        <v>732</v>
      </c>
      <c r="D14" s="1090" t="s">
        <v>402</v>
      </c>
      <c r="E14" s="1090">
        <v>5329</v>
      </c>
      <c r="F14" s="1303"/>
      <c r="G14" s="1090" t="s">
        <v>741</v>
      </c>
      <c r="H14" s="1089"/>
      <c r="I14" s="1089"/>
      <c r="J14" s="1426">
        <v>150000000</v>
      </c>
      <c r="K14" s="1426"/>
      <c r="L14" s="1426"/>
      <c r="M14" s="1307">
        <v>150000000</v>
      </c>
      <c r="N14" s="1307"/>
      <c r="O14" s="1307">
        <f t="shared" si="2"/>
        <v>150000000</v>
      </c>
      <c r="P14" s="1307"/>
      <c r="Q14" s="1308"/>
      <c r="R14" s="1308"/>
      <c r="S14" s="1308">
        <f t="shared" si="3"/>
        <v>0</v>
      </c>
      <c r="T14" s="1308"/>
      <c r="U14" s="1309">
        <f t="shared" si="4"/>
        <v>150000000</v>
      </c>
      <c r="V14" s="1085">
        <v>150000000</v>
      </c>
      <c r="W14" s="1086"/>
      <c r="X14" s="1086"/>
      <c r="Y14" s="1085">
        <f t="shared" si="5"/>
        <v>150000000</v>
      </c>
      <c r="Z14" s="1085">
        <v>150000000</v>
      </c>
      <c r="AA14" s="1085"/>
      <c r="AB14" s="1085"/>
      <c r="AC14" s="1085"/>
      <c r="AD14" s="1085"/>
      <c r="AE14" s="1085"/>
      <c r="AF14" s="1427" t="s">
        <v>9</v>
      </c>
      <c r="AG14" s="1514" t="s">
        <v>1297</v>
      </c>
      <c r="AH14" s="1507"/>
      <c r="AI14" s="1515"/>
      <c r="AJ14" s="1515"/>
      <c r="AK14" s="1515"/>
    </row>
    <row r="15" spans="1:37" s="1399" customFormat="1" ht="21.75" customHeight="1">
      <c r="A15" s="1055"/>
      <c r="B15" s="1055"/>
      <c r="C15" s="1500" t="s">
        <v>926</v>
      </c>
      <c r="D15" s="1090"/>
      <c r="E15" s="1090"/>
      <c r="F15" s="1303"/>
      <c r="G15" s="1090" t="s">
        <v>741</v>
      </c>
      <c r="H15" s="1089"/>
      <c r="I15" s="1089">
        <v>1</v>
      </c>
      <c r="J15" s="1516">
        <v>30693576</v>
      </c>
      <c r="K15" s="1516">
        <v>30693576</v>
      </c>
      <c r="L15" s="1434">
        <f>+K15*1.004</f>
        <v>30816350.304000001</v>
      </c>
      <c r="M15" s="1307">
        <v>30816350.304000001</v>
      </c>
      <c r="N15" s="1307"/>
      <c r="O15" s="1307">
        <f t="shared" si="2"/>
        <v>30816350.304000001</v>
      </c>
      <c r="P15" s="1307"/>
      <c r="Q15" s="1308"/>
      <c r="R15" s="1308"/>
      <c r="S15" s="1308">
        <f t="shared" si="3"/>
        <v>0</v>
      </c>
      <c r="T15" s="1308"/>
      <c r="U15" s="1309">
        <f t="shared" si="4"/>
        <v>30816350.304000001</v>
      </c>
      <c r="V15" s="1085">
        <v>30816350.304000001</v>
      </c>
      <c r="W15" s="1086"/>
      <c r="X15" s="1086"/>
      <c r="Y15" s="1085">
        <f t="shared" si="5"/>
        <v>30816350.304000001</v>
      </c>
      <c r="Z15" s="1085">
        <v>30816350.304000001</v>
      </c>
      <c r="AA15" s="1085"/>
      <c r="AB15" s="1085"/>
      <c r="AC15" s="1085"/>
      <c r="AD15" s="1085"/>
      <c r="AE15" s="1085"/>
      <c r="AF15" s="1427" t="s">
        <v>9</v>
      </c>
      <c r="AG15" s="1514" t="s">
        <v>1297</v>
      </c>
      <c r="AH15" s="1507"/>
      <c r="AI15" s="1515"/>
      <c r="AJ15" s="1515"/>
      <c r="AK15" s="1515"/>
    </row>
    <row r="16" spans="1:37" s="1428" customFormat="1" ht="21.75" customHeight="1">
      <c r="A16" s="1055"/>
      <c r="B16" s="1055"/>
      <c r="C16" s="1380" t="s">
        <v>564</v>
      </c>
      <c r="D16" s="1096" t="s">
        <v>211</v>
      </c>
      <c r="E16" s="1095">
        <v>83990</v>
      </c>
      <c r="F16" s="1095" t="s">
        <v>890</v>
      </c>
      <c r="G16" s="1095" t="s">
        <v>522</v>
      </c>
      <c r="H16" s="1095" t="s">
        <v>197</v>
      </c>
      <c r="I16" s="1429">
        <v>10</v>
      </c>
      <c r="J16" s="1429">
        <v>5774108.5657370519</v>
      </c>
      <c r="K16" s="1312">
        <f>+J16*I16</f>
        <v>57741085.657370523</v>
      </c>
      <c r="L16" s="1429">
        <f>+K16*1.004</f>
        <v>57972050.000000007</v>
      </c>
      <c r="M16" s="1313">
        <v>57972044</v>
      </c>
      <c r="N16" s="1313"/>
      <c r="O16" s="1313">
        <f t="shared" ref="O16" si="6">+M16+N16</f>
        <v>57972044</v>
      </c>
      <c r="P16" s="1313"/>
      <c r="Q16" s="1313"/>
      <c r="R16" s="1313"/>
      <c r="S16" s="1313">
        <f t="shared" ref="S16" si="7">SUM(P16:R16)</f>
        <v>0</v>
      </c>
      <c r="T16" s="1313"/>
      <c r="U16" s="1466">
        <f t="shared" ref="U16" si="8">+O16+S16+T16</f>
        <v>57972044</v>
      </c>
      <c r="V16" s="1431">
        <v>57972050.000000007</v>
      </c>
      <c r="W16" s="1431">
        <v>57972044</v>
      </c>
      <c r="X16" s="1431">
        <v>57972044</v>
      </c>
      <c r="Y16" s="1083">
        <f t="shared" ref="Y16" si="9">+V16-X16</f>
        <v>6.0000000074505806</v>
      </c>
      <c r="Z16" s="1431">
        <v>6.0000000074505806</v>
      </c>
      <c r="AA16" s="1431"/>
      <c r="AB16" s="1431"/>
      <c r="AC16" s="1431"/>
      <c r="AD16" s="1431"/>
      <c r="AE16" s="1431"/>
      <c r="AF16" s="1432" t="s">
        <v>9</v>
      </c>
      <c r="AG16" s="1467" t="s">
        <v>1298</v>
      </c>
    </row>
    <row r="17" spans="1:47" s="1468" customFormat="1" ht="21.75" customHeight="1">
      <c r="A17" s="1055"/>
      <c r="B17" s="1055"/>
      <c r="C17" s="1357" t="s">
        <v>564</v>
      </c>
      <c r="D17" s="1090" t="s">
        <v>211</v>
      </c>
      <c r="E17" s="1089">
        <v>83990</v>
      </c>
      <c r="F17" s="1089" t="s">
        <v>890</v>
      </c>
      <c r="G17" s="1089" t="s">
        <v>522</v>
      </c>
      <c r="H17" s="1089" t="s">
        <v>197</v>
      </c>
      <c r="I17" s="1434">
        <v>10</v>
      </c>
      <c r="J17" s="1434">
        <v>5774108.5657370519</v>
      </c>
      <c r="K17" s="1305">
        <f>+J17*I17</f>
        <v>57741085.657370523</v>
      </c>
      <c r="L17" s="1434">
        <f>+K17*1.004</f>
        <v>57972050.000000007</v>
      </c>
      <c r="M17" s="1307">
        <f>57972050-M16</f>
        <v>6</v>
      </c>
      <c r="N17" s="1307"/>
      <c r="O17" s="1307">
        <f t="shared" si="2"/>
        <v>6</v>
      </c>
      <c r="P17" s="1307"/>
      <c r="Q17" s="1307"/>
      <c r="R17" s="1307"/>
      <c r="S17" s="1307">
        <f t="shared" si="3"/>
        <v>0</v>
      </c>
      <c r="T17" s="1307"/>
      <c r="U17" s="1469">
        <f t="shared" si="4"/>
        <v>6</v>
      </c>
      <c r="V17" s="1436">
        <v>57972050.000000007</v>
      </c>
      <c r="W17" s="1436">
        <v>57972044</v>
      </c>
      <c r="X17" s="1436">
        <v>57972044</v>
      </c>
      <c r="Y17" s="1085">
        <f t="shared" si="5"/>
        <v>6.0000000074505806</v>
      </c>
      <c r="Z17" s="1436">
        <v>6.0000000074505806</v>
      </c>
      <c r="AA17" s="1436"/>
      <c r="AB17" s="1436"/>
      <c r="AC17" s="1436"/>
      <c r="AD17" s="1436"/>
      <c r="AE17" s="1436"/>
      <c r="AF17" s="1427" t="s">
        <v>9</v>
      </c>
      <c r="AG17" s="1470" t="s">
        <v>1298</v>
      </c>
      <c r="AH17" s="1433"/>
    </row>
    <row r="18" spans="1:47" s="1428" customFormat="1" ht="21.75" customHeight="1">
      <c r="A18" s="1055"/>
      <c r="B18" s="1055"/>
      <c r="C18" s="1380" t="s">
        <v>560</v>
      </c>
      <c r="D18" s="1096" t="s">
        <v>211</v>
      </c>
      <c r="E18" s="1095">
        <v>83990</v>
      </c>
      <c r="F18" s="1095" t="s">
        <v>444</v>
      </c>
      <c r="G18" s="1095" t="s">
        <v>522</v>
      </c>
      <c r="H18" s="1095" t="s">
        <v>197</v>
      </c>
      <c r="I18" s="1429">
        <v>5.5</v>
      </c>
      <c r="J18" s="1429">
        <f>3200000*1.1088</f>
        <v>3548160</v>
      </c>
      <c r="K18" s="1312">
        <f>+J18*I18</f>
        <v>19514880</v>
      </c>
      <c r="L18" s="1429">
        <f>+K18*1.004</f>
        <v>19592939.52</v>
      </c>
      <c r="M18" s="1313">
        <f>+L18</f>
        <v>19592939.52</v>
      </c>
      <c r="N18" s="1313"/>
      <c r="O18" s="1313">
        <f t="shared" si="2"/>
        <v>19592939.52</v>
      </c>
      <c r="P18" s="1313"/>
      <c r="Q18" s="1313"/>
      <c r="R18" s="1313"/>
      <c r="S18" s="1313">
        <f t="shared" si="3"/>
        <v>0</v>
      </c>
      <c r="T18" s="1313"/>
      <c r="U18" s="1466">
        <f t="shared" si="4"/>
        <v>19592939.52</v>
      </c>
      <c r="V18" s="1431">
        <v>19592939.52</v>
      </c>
      <c r="W18" s="1431">
        <v>19592940</v>
      </c>
      <c r="X18" s="1431">
        <v>19592940</v>
      </c>
      <c r="Y18" s="1083">
        <f t="shared" si="5"/>
        <v>-0.48000000044703484</v>
      </c>
      <c r="Z18" s="1431"/>
      <c r="AA18" s="1431"/>
      <c r="AB18" s="1431"/>
      <c r="AC18" s="1431"/>
      <c r="AD18" s="1431"/>
      <c r="AE18" s="1431"/>
      <c r="AF18" s="1432" t="s">
        <v>9</v>
      </c>
      <c r="AG18" s="1467" t="s">
        <v>1298</v>
      </c>
      <c r="AL18" s="1508"/>
      <c r="AM18" s="1508"/>
      <c r="AN18" s="1508"/>
      <c r="AO18" s="1508"/>
      <c r="AP18" s="1508"/>
    </row>
    <row r="19" spans="1:47" s="1468" customFormat="1" ht="21.75" customHeight="1">
      <c r="A19" s="1055"/>
      <c r="B19" s="1055"/>
      <c r="C19" s="1357" t="s">
        <v>928</v>
      </c>
      <c r="D19" s="1090"/>
      <c r="E19" s="1089"/>
      <c r="F19" s="1089"/>
      <c r="G19" s="1089"/>
      <c r="H19" s="1089"/>
      <c r="I19" s="1089"/>
      <c r="J19" s="1434">
        <f>107587415</f>
        <v>107587415</v>
      </c>
      <c r="K19" s="1434">
        <f>107587415</f>
        <v>107587415</v>
      </c>
      <c r="L19" s="1434">
        <f>+K19*1.004</f>
        <v>108017764.66</v>
      </c>
      <c r="M19" s="1307"/>
      <c r="N19" s="1307"/>
      <c r="O19" s="1307">
        <f t="shared" si="2"/>
        <v>0</v>
      </c>
      <c r="P19" s="1307"/>
      <c r="Q19" s="1307">
        <v>108017764.66</v>
      </c>
      <c r="R19" s="1307"/>
      <c r="S19" s="1307">
        <f t="shared" si="3"/>
        <v>108017764.66</v>
      </c>
      <c r="T19" s="1307"/>
      <c r="U19" s="1469">
        <f t="shared" ref="U19:U20" si="10">+O19+S19+T19</f>
        <v>108017764.66</v>
      </c>
      <c r="V19" s="1436">
        <v>108017764.66</v>
      </c>
      <c r="W19" s="1517"/>
      <c r="X19" s="1517"/>
      <c r="Y19" s="1085">
        <f t="shared" si="5"/>
        <v>108017764.66</v>
      </c>
      <c r="Z19" s="1436"/>
      <c r="AA19" s="1436"/>
      <c r="AB19" s="1436"/>
      <c r="AC19" s="1436">
        <v>108017764.66</v>
      </c>
      <c r="AD19" s="1436"/>
      <c r="AE19" s="1436"/>
      <c r="AF19" s="1427" t="s">
        <v>9</v>
      </c>
      <c r="AG19" s="1470" t="s">
        <v>1298</v>
      </c>
      <c r="AH19" s="1433"/>
      <c r="AL19" s="1518"/>
      <c r="AM19" s="1518"/>
      <c r="AN19" s="1518"/>
      <c r="AO19" s="1518"/>
      <c r="AP19" s="1518"/>
    </row>
    <row r="20" spans="1:47" s="1468" customFormat="1" ht="21.75" customHeight="1">
      <c r="A20" s="1055"/>
      <c r="B20" s="1055"/>
      <c r="C20" s="1357" t="s">
        <v>1123</v>
      </c>
      <c r="D20" s="1090"/>
      <c r="E20" s="1089"/>
      <c r="F20" s="1089"/>
      <c r="G20" s="1089"/>
      <c r="H20" s="1089"/>
      <c r="I20" s="1089"/>
      <c r="J20" s="1434"/>
      <c r="K20" s="1434"/>
      <c r="L20" s="1434"/>
      <c r="M20" s="1307"/>
      <c r="N20" s="1307">
        <f>85000000-8150400</f>
        <v>76849600</v>
      </c>
      <c r="O20" s="1307">
        <f t="shared" si="2"/>
        <v>76849600</v>
      </c>
      <c r="P20" s="1307"/>
      <c r="Q20" s="1307"/>
      <c r="R20" s="1307">
        <v>8150400</v>
      </c>
      <c r="S20" s="1307">
        <f t="shared" si="3"/>
        <v>8150400</v>
      </c>
      <c r="T20" s="1307"/>
      <c r="U20" s="1469">
        <f t="shared" si="10"/>
        <v>85000000</v>
      </c>
      <c r="V20" s="1436">
        <v>85000000</v>
      </c>
      <c r="W20" s="1517"/>
      <c r="X20" s="1517"/>
      <c r="Y20" s="1085">
        <f t="shared" si="5"/>
        <v>85000000</v>
      </c>
      <c r="Z20" s="1436"/>
      <c r="AA20" s="1436">
        <v>76849600</v>
      </c>
      <c r="AB20" s="1436"/>
      <c r="AC20" s="1436"/>
      <c r="AD20" s="1436">
        <v>8150400</v>
      </c>
      <c r="AE20" s="1436"/>
      <c r="AF20" s="1433"/>
      <c r="AG20" s="1433"/>
      <c r="AH20" s="1433"/>
      <c r="AL20" s="1518"/>
      <c r="AM20" s="1518"/>
      <c r="AN20" s="1518"/>
      <c r="AO20" s="1518"/>
      <c r="AP20" s="1518"/>
    </row>
    <row r="21" spans="1:47" s="1080" customFormat="1" ht="21.75" customHeight="1" thickBot="1">
      <c r="A21" s="1055"/>
      <c r="B21" s="1055"/>
      <c r="C21" s="1099" t="s">
        <v>204</v>
      </c>
      <c r="D21" s="1290" t="s">
        <v>865</v>
      </c>
      <c r="E21" s="1290"/>
      <c r="F21" s="1291"/>
      <c r="G21" s="1292"/>
      <c r="H21" s="1293"/>
      <c r="I21" s="1293"/>
      <c r="J21" s="1294"/>
      <c r="K21" s="1294"/>
      <c r="L21" s="1294"/>
      <c r="M21" s="1320">
        <f>14441334+4699131</f>
        <v>19140465</v>
      </c>
      <c r="N21" s="1320"/>
      <c r="O21" s="1321">
        <f t="shared" ref="O21" si="11">+M21+N21</f>
        <v>19140465</v>
      </c>
      <c r="P21" s="1321"/>
      <c r="Q21" s="1320"/>
      <c r="R21" s="1320"/>
      <c r="S21" s="1322">
        <f t="shared" ref="S21" si="12">SUM(P21:R21)</f>
        <v>0</v>
      </c>
      <c r="T21" s="1295"/>
      <c r="U21" s="1323">
        <f>+O21+S21+T21</f>
        <v>19140465</v>
      </c>
      <c r="V21" s="1083">
        <f>245779.2+365119449</f>
        <v>365365228.19999999</v>
      </c>
      <c r="W21" s="1083">
        <f>245779+94169692</f>
        <v>94415471</v>
      </c>
      <c r="X21" s="1083">
        <f>40963+94169692</f>
        <v>94210655</v>
      </c>
      <c r="Y21" s="1083">
        <f t="shared" ref="Y21" si="13">+V21-X21</f>
        <v>271154573.19999999</v>
      </c>
      <c r="Z21" s="1083">
        <v>204816.2</v>
      </c>
      <c r="AA21" s="1083"/>
      <c r="AB21" s="1083"/>
      <c r="AC21" s="1083"/>
      <c r="AD21" s="1083"/>
      <c r="AE21" s="1083"/>
    </row>
    <row r="22" spans="1:47" s="1084" customFormat="1" ht="21.75" customHeight="1" thickBot="1">
      <c r="A22" s="1055"/>
      <c r="B22" s="1055"/>
      <c r="C22" s="1101" t="s">
        <v>204</v>
      </c>
      <c r="D22" s="1103" t="s">
        <v>865</v>
      </c>
      <c r="E22" s="1103"/>
      <c r="F22" s="1296"/>
      <c r="G22" s="1297"/>
      <c r="H22" s="1102"/>
      <c r="I22" s="1102"/>
      <c r="J22" s="1298"/>
      <c r="K22" s="1298"/>
      <c r="L22" s="1298"/>
      <c r="M22" s="1299">
        <f>87146570.6018392-M21</f>
        <v>68006105.6018392</v>
      </c>
      <c r="N22" s="1299"/>
      <c r="O22" s="1300">
        <f t="shared" si="2"/>
        <v>68006105.6018392</v>
      </c>
      <c r="P22" s="1300"/>
      <c r="Q22" s="1299"/>
      <c r="R22" s="1299"/>
      <c r="S22" s="1301">
        <f t="shared" ref="S22" si="14">SUM(P22:R22)</f>
        <v>0</v>
      </c>
      <c r="T22" s="1299"/>
      <c r="U22" s="1302">
        <f>+O22+S22+T22</f>
        <v>68006105.6018392</v>
      </c>
      <c r="V22" s="1085">
        <f>245779.2+365119449</f>
        <v>365365228.19999999</v>
      </c>
      <c r="W22" s="1085">
        <f>245779+94169692</f>
        <v>94415471</v>
      </c>
      <c r="X22" s="1085">
        <f>40963+94169692</f>
        <v>94210655</v>
      </c>
      <c r="Y22" s="1085">
        <f t="shared" si="5"/>
        <v>271154573.19999999</v>
      </c>
      <c r="Z22" s="1085">
        <v>204816.2</v>
      </c>
      <c r="AA22" s="1085"/>
      <c r="AB22" s="1085"/>
      <c r="AC22" s="1085"/>
      <c r="AD22" s="1085"/>
      <c r="AE22" s="1085"/>
    </row>
    <row r="23" spans="1:47" ht="21.75" customHeight="1" thickBot="1">
      <c r="A23" s="1866">
        <v>229</v>
      </c>
      <c r="B23" s="1866"/>
      <c r="C23" s="1911" t="s">
        <v>957</v>
      </c>
      <c r="D23" s="1712"/>
      <c r="E23" s="1713"/>
      <c r="F23" s="1714"/>
      <c r="G23" s="1712"/>
      <c r="H23" s="1713" t="s">
        <v>1098</v>
      </c>
      <c r="I23" s="1713">
        <v>100</v>
      </c>
      <c r="J23" s="1070"/>
      <c r="K23" s="1071">
        <f>+K24</f>
        <v>216794217.98399997</v>
      </c>
      <c r="L23" s="1071">
        <f>+L24</f>
        <v>216794217.98399997</v>
      </c>
      <c r="M23" s="1072">
        <f>+M24</f>
        <v>701277807.46735919</v>
      </c>
      <c r="N23" s="1072">
        <f t="shared" ref="N23:U23" si="15">+N24</f>
        <v>0</v>
      </c>
      <c r="O23" s="1072">
        <f t="shared" si="15"/>
        <v>701277807.46735919</v>
      </c>
      <c r="P23" s="1072">
        <f t="shared" si="15"/>
        <v>0</v>
      </c>
      <c r="Q23" s="1072">
        <f t="shared" si="15"/>
        <v>118269475.34</v>
      </c>
      <c r="R23" s="1072">
        <f t="shared" si="15"/>
        <v>0</v>
      </c>
      <c r="S23" s="1072">
        <f t="shared" si="15"/>
        <v>118269475.34</v>
      </c>
      <c r="T23" s="1072">
        <f t="shared" si="15"/>
        <v>0</v>
      </c>
      <c r="U23" s="1073">
        <f t="shared" si="15"/>
        <v>819547282.8073591</v>
      </c>
      <c r="V23" s="1025"/>
      <c r="W23" s="1025"/>
      <c r="X23" s="1025"/>
      <c r="Y23" s="1025"/>
      <c r="Z23" s="1025"/>
      <c r="AA23" s="1025"/>
      <c r="AB23" s="1025"/>
      <c r="AC23" s="1025"/>
      <c r="AD23" s="1025"/>
      <c r="AE23" s="1025"/>
      <c r="AO23" s="393"/>
      <c r="AP23" s="393"/>
      <c r="AQ23" s="393"/>
      <c r="AR23" s="393"/>
      <c r="AS23" s="393"/>
    </row>
    <row r="24" spans="1:47" ht="21.75" customHeight="1">
      <c r="A24" s="1866"/>
      <c r="B24" s="1866">
        <v>351</v>
      </c>
      <c r="C24" s="1912" t="s">
        <v>958</v>
      </c>
      <c r="D24" s="503"/>
      <c r="E24" s="500"/>
      <c r="F24" s="1068"/>
      <c r="G24" s="503"/>
      <c r="H24" s="500" t="s">
        <v>1109</v>
      </c>
      <c r="I24" s="500">
        <v>1</v>
      </c>
      <c r="J24" s="1069"/>
      <c r="K24" s="1069">
        <f>+K25</f>
        <v>216794217.98399997</v>
      </c>
      <c r="L24" s="1069">
        <f>+L25</f>
        <v>216794217.98399997</v>
      </c>
      <c r="M24" s="762">
        <f>+SUM(M25:M44)</f>
        <v>701277807.46735919</v>
      </c>
      <c r="N24" s="762">
        <f t="shared" ref="N24:U24" si="16">+SUM(N25:N44)</f>
        <v>0</v>
      </c>
      <c r="O24" s="762">
        <f t="shared" si="16"/>
        <v>701277807.46735919</v>
      </c>
      <c r="P24" s="762">
        <f t="shared" si="16"/>
        <v>0</v>
      </c>
      <c r="Q24" s="762">
        <f t="shared" si="16"/>
        <v>118269475.34</v>
      </c>
      <c r="R24" s="762">
        <f t="shared" si="16"/>
        <v>0</v>
      </c>
      <c r="S24" s="762">
        <f t="shared" si="16"/>
        <v>118269475.34</v>
      </c>
      <c r="T24" s="762">
        <f t="shared" si="16"/>
        <v>0</v>
      </c>
      <c r="U24" s="763">
        <f t="shared" si="16"/>
        <v>819547282.8073591</v>
      </c>
      <c r="V24" s="1025"/>
      <c r="W24" s="1025"/>
      <c r="X24" s="1025"/>
      <c r="Y24" s="1025"/>
      <c r="Z24" s="1025"/>
      <c r="AA24" s="1025"/>
      <c r="AB24" s="1025"/>
      <c r="AC24" s="1025"/>
      <c r="AD24" s="1025"/>
      <c r="AE24" s="1025"/>
      <c r="AF24" s="393"/>
      <c r="AG24" s="393"/>
      <c r="AH24" s="393"/>
      <c r="AI24" s="393"/>
      <c r="AJ24" s="393"/>
      <c r="AK24" s="393"/>
      <c r="AL24" s="393"/>
      <c r="AM24" s="393"/>
      <c r="AN24" s="393"/>
      <c r="AO24" s="393"/>
      <c r="AP24" s="394"/>
      <c r="AQ24" s="394"/>
      <c r="AR24" s="394"/>
      <c r="AS24" s="394"/>
      <c r="AT24" s="394"/>
    </row>
    <row r="25" spans="1:47" s="1080" customFormat="1" ht="21.75" customHeight="1">
      <c r="A25" s="1055"/>
      <c r="B25" s="1055"/>
      <c r="C25" s="1094" t="s">
        <v>708</v>
      </c>
      <c r="D25" s="1096" t="s">
        <v>211</v>
      </c>
      <c r="E25" s="1455">
        <v>83990</v>
      </c>
      <c r="F25" s="1310"/>
      <c r="G25" s="1311" t="s">
        <v>593</v>
      </c>
      <c r="H25" s="1095"/>
      <c r="I25" s="1095">
        <v>12</v>
      </c>
      <c r="J25" s="1312">
        <f>+M25/I25</f>
        <v>18066184.831999999</v>
      </c>
      <c r="K25" s="1312">
        <f>+J25*I25</f>
        <v>216794217.98399997</v>
      </c>
      <c r="L25" s="1312">
        <f>+K25</f>
        <v>216794217.98399997</v>
      </c>
      <c r="M25" s="1183">
        <v>216794217.984</v>
      </c>
      <c r="N25" s="1183"/>
      <c r="O25" s="1313">
        <f t="shared" ref="O25:O44" si="17">+M25+N25</f>
        <v>216794217.984</v>
      </c>
      <c r="P25" s="1313"/>
      <c r="Q25" s="1370"/>
      <c r="R25" s="1370"/>
      <c r="S25" s="1314">
        <f t="shared" ref="S25:S40" si="18">SUM(P25:R25)</f>
        <v>0</v>
      </c>
      <c r="T25" s="1370"/>
      <c r="U25" s="1315">
        <f t="shared" ref="U25:U40" si="19">+O25+S25+T25</f>
        <v>216794217.984</v>
      </c>
      <c r="V25" s="1083">
        <v>216794217.984</v>
      </c>
      <c r="W25" s="1083">
        <v>216794218</v>
      </c>
      <c r="X25" s="1083">
        <v>216794218</v>
      </c>
      <c r="Y25" s="1083">
        <f t="shared" si="5"/>
        <v>-1.600000262260437E-2</v>
      </c>
      <c r="Z25" s="1083"/>
      <c r="AA25" s="1083"/>
      <c r="AB25" s="1083"/>
      <c r="AC25" s="1083"/>
      <c r="AD25" s="1083"/>
      <c r="AE25" s="1083"/>
      <c r="AF25" s="1456" t="s">
        <v>8</v>
      </c>
      <c r="AG25" s="1456" t="s">
        <v>1293</v>
      </c>
      <c r="AH25" s="1457"/>
      <c r="AI25" s="1457"/>
      <c r="AJ25" s="1457"/>
      <c r="AK25" s="1457"/>
      <c r="AL25" s="1457"/>
      <c r="AM25" s="1457"/>
      <c r="AN25" s="1457"/>
      <c r="AO25" s="1457"/>
      <c r="AP25" s="1457"/>
      <c r="AQ25" s="1457"/>
      <c r="AR25" s="1457"/>
      <c r="AS25" s="1457"/>
      <c r="AT25" s="1457"/>
    </row>
    <row r="26" spans="1:47" s="1080" customFormat="1" ht="21.75" customHeight="1">
      <c r="A26" s="1055"/>
      <c r="B26" s="1055"/>
      <c r="C26" s="1182" t="s">
        <v>929</v>
      </c>
      <c r="D26" s="1394"/>
      <c r="E26" s="1394"/>
      <c r="F26" s="1496"/>
      <c r="G26" s="1394"/>
      <c r="H26" s="1393"/>
      <c r="I26" s="1393">
        <v>1</v>
      </c>
      <c r="J26" s="1497">
        <f>3068741</f>
        <v>3068741</v>
      </c>
      <c r="K26" s="1498">
        <f>+J26</f>
        <v>3068741</v>
      </c>
      <c r="L26" s="1498">
        <f>+K26</f>
        <v>3068741</v>
      </c>
      <c r="M26" s="1183"/>
      <c r="N26" s="1183"/>
      <c r="O26" s="1183">
        <f t="shared" si="17"/>
        <v>0</v>
      </c>
      <c r="P26" s="1183"/>
      <c r="Q26" s="1459">
        <v>3068741</v>
      </c>
      <c r="R26" s="1459"/>
      <c r="S26" s="1314">
        <f t="shared" si="18"/>
        <v>3068741</v>
      </c>
      <c r="T26" s="1499"/>
      <c r="U26" s="1315">
        <f t="shared" si="19"/>
        <v>3068741</v>
      </c>
      <c r="V26" s="1083">
        <v>3068741</v>
      </c>
      <c r="W26" s="1083">
        <v>3068741</v>
      </c>
      <c r="X26" s="1083"/>
      <c r="Y26" s="1083">
        <f>+V26-W26</f>
        <v>0</v>
      </c>
      <c r="Z26" s="1083"/>
      <c r="AA26" s="1083"/>
      <c r="AB26" s="1083"/>
      <c r="AC26" s="1083"/>
      <c r="AD26" s="1083"/>
      <c r="AE26" s="1083"/>
      <c r="AF26" s="1456" t="s">
        <v>8</v>
      </c>
      <c r="AG26" s="1461" t="s">
        <v>1294</v>
      </c>
      <c r="AH26" s="1494"/>
      <c r="AI26" s="1494"/>
      <c r="AJ26" s="1494"/>
      <c r="AK26" s="1494"/>
      <c r="AL26" s="1494"/>
      <c r="AM26" s="1494"/>
      <c r="AN26" s="1494"/>
      <c r="AO26" s="1494"/>
      <c r="AU26" s="1494"/>
    </row>
    <row r="27" spans="1:47" s="1080" customFormat="1" ht="21.75" customHeight="1">
      <c r="A27" s="1055"/>
      <c r="B27" s="1055"/>
      <c r="C27" s="1182" t="s">
        <v>707</v>
      </c>
      <c r="D27" s="1096" t="s">
        <v>716</v>
      </c>
      <c r="E27" s="1096" t="s">
        <v>443</v>
      </c>
      <c r="F27" s="1310"/>
      <c r="G27" s="1096" t="s">
        <v>738</v>
      </c>
      <c r="H27" s="1095" t="s">
        <v>595</v>
      </c>
      <c r="I27" s="1095">
        <v>1</v>
      </c>
      <c r="J27" s="1430">
        <v>5003056</v>
      </c>
      <c r="K27" s="1430">
        <f>+J27</f>
        <v>5003056</v>
      </c>
      <c r="L27" s="1458">
        <f>+K27*1.004</f>
        <v>5023068.2240000004</v>
      </c>
      <c r="M27" s="1183">
        <f>+L27</f>
        <v>5023068.2240000004</v>
      </c>
      <c r="N27" s="1183"/>
      <c r="O27" s="1183">
        <f t="shared" si="17"/>
        <v>5023068.2240000004</v>
      </c>
      <c r="P27" s="1183"/>
      <c r="Q27" s="1459">
        <f>+P27</f>
        <v>0</v>
      </c>
      <c r="R27" s="1459"/>
      <c r="S27" s="1314">
        <f t="shared" si="18"/>
        <v>0</v>
      </c>
      <c r="T27" s="1459"/>
      <c r="U27" s="1315">
        <f t="shared" si="19"/>
        <v>5023068.2240000004</v>
      </c>
      <c r="V27" s="1083">
        <v>5023068.2240000004</v>
      </c>
      <c r="W27" s="1083">
        <v>5023068.2240000004</v>
      </c>
      <c r="X27" s="1083">
        <v>5023068</v>
      </c>
      <c r="Y27" s="1083">
        <f t="shared" si="5"/>
        <v>0.22400000039488077</v>
      </c>
      <c r="Z27" s="1460"/>
      <c r="AA27" s="1460"/>
      <c r="AB27" s="1460"/>
      <c r="AC27" s="1460"/>
      <c r="AD27" s="1460"/>
      <c r="AE27" s="1460"/>
      <c r="AF27" s="1456" t="s">
        <v>8</v>
      </c>
      <c r="AG27" s="1461" t="s">
        <v>1294</v>
      </c>
      <c r="AH27" s="1462"/>
      <c r="AI27" s="1462"/>
      <c r="AJ27" s="1462"/>
      <c r="AK27" s="1462"/>
      <c r="AL27" s="1462"/>
      <c r="AM27" s="1462"/>
      <c r="AN27" s="1462"/>
      <c r="AO27" s="1462"/>
      <c r="AP27" s="1457"/>
      <c r="AQ27" s="1457"/>
      <c r="AR27" s="1457"/>
      <c r="AS27" s="1457"/>
      <c r="AT27" s="1457"/>
      <c r="AU27" s="1457"/>
    </row>
    <row r="28" spans="1:47" s="1084" customFormat="1" ht="21.75" customHeight="1">
      <c r="A28" s="1055"/>
      <c r="B28" s="1055"/>
      <c r="C28" s="1500" t="s">
        <v>709</v>
      </c>
      <c r="D28" s="1090" t="s">
        <v>716</v>
      </c>
      <c r="E28" s="1090" t="s">
        <v>443</v>
      </c>
      <c r="F28" s="1303"/>
      <c r="G28" s="1090" t="s">
        <v>593</v>
      </c>
      <c r="H28" s="1089" t="s">
        <v>595</v>
      </c>
      <c r="I28" s="1089">
        <v>1</v>
      </c>
      <c r="J28" s="1435">
        <v>4014394</v>
      </c>
      <c r="K28" s="1435">
        <f>+J28</f>
        <v>4014394</v>
      </c>
      <c r="L28" s="1435">
        <f>+K28</f>
        <v>4014394</v>
      </c>
      <c r="M28" s="1306">
        <f>+L28</f>
        <v>4014394</v>
      </c>
      <c r="N28" s="1306"/>
      <c r="O28" s="1306">
        <f t="shared" si="17"/>
        <v>4014394</v>
      </c>
      <c r="P28" s="1306"/>
      <c r="Q28" s="1502"/>
      <c r="R28" s="1502"/>
      <c r="S28" s="1308">
        <f t="shared" si="18"/>
        <v>0</v>
      </c>
      <c r="T28" s="1502"/>
      <c r="U28" s="1309">
        <f t="shared" si="19"/>
        <v>4014394</v>
      </c>
      <c r="V28" s="1085">
        <v>4014394</v>
      </c>
      <c r="W28" s="1085"/>
      <c r="X28" s="1085"/>
      <c r="Y28" s="1085">
        <f t="shared" si="5"/>
        <v>4014394</v>
      </c>
      <c r="Z28" s="1085">
        <v>4014394</v>
      </c>
      <c r="AA28" s="1503"/>
      <c r="AB28" s="1503"/>
      <c r="AC28" s="1503"/>
      <c r="AD28" s="1503"/>
      <c r="AE28" s="1503"/>
      <c r="AF28" s="1504" t="s">
        <v>8</v>
      </c>
      <c r="AG28" s="1505" t="s">
        <v>1294</v>
      </c>
      <c r="AH28" s="1506"/>
      <c r="AI28" s="1506"/>
      <c r="AJ28" s="1506"/>
      <c r="AK28" s="1506"/>
      <c r="AL28" s="1506"/>
      <c r="AM28" s="1506"/>
      <c r="AN28" s="1506"/>
      <c r="AO28" s="1506"/>
      <c r="AP28" s="1507"/>
      <c r="AQ28" s="1507"/>
      <c r="AR28" s="1507"/>
      <c r="AS28" s="1507"/>
      <c r="AT28" s="1507"/>
      <c r="AU28" s="1507"/>
    </row>
    <row r="29" spans="1:47" s="1084" customFormat="1" ht="21.75" customHeight="1">
      <c r="A29" s="1055"/>
      <c r="B29" s="1055"/>
      <c r="C29" s="1500" t="s">
        <v>710</v>
      </c>
      <c r="D29" s="1090" t="s">
        <v>716</v>
      </c>
      <c r="E29" s="1090" t="s">
        <v>443</v>
      </c>
      <c r="F29" s="1303"/>
      <c r="G29" s="1090" t="s">
        <v>740</v>
      </c>
      <c r="H29" s="1089" t="s">
        <v>595</v>
      </c>
      <c r="I29" s="1089">
        <v>1</v>
      </c>
      <c r="J29" s="1435">
        <v>80000000</v>
      </c>
      <c r="K29" s="1435">
        <f>+J29</f>
        <v>80000000</v>
      </c>
      <c r="L29" s="1501"/>
      <c r="M29" s="1306">
        <v>77851520</v>
      </c>
      <c r="N29" s="1306"/>
      <c r="O29" s="1306">
        <f t="shared" si="17"/>
        <v>77851520</v>
      </c>
      <c r="P29" s="1306"/>
      <c r="Q29" s="1502"/>
      <c r="R29" s="1502"/>
      <c r="S29" s="1308">
        <f t="shared" si="18"/>
        <v>0</v>
      </c>
      <c r="T29" s="1502"/>
      <c r="U29" s="1309">
        <f t="shared" si="19"/>
        <v>77851520</v>
      </c>
      <c r="V29" s="1085">
        <v>77851520</v>
      </c>
      <c r="W29" s="1085"/>
      <c r="X29" s="1085"/>
      <c r="Y29" s="1085">
        <f t="shared" si="5"/>
        <v>77851520</v>
      </c>
      <c r="Z29" s="1085">
        <v>77851520</v>
      </c>
      <c r="AA29" s="1503"/>
      <c r="AB29" s="1503"/>
      <c r="AC29" s="1503"/>
      <c r="AD29" s="1503"/>
      <c r="AE29" s="1503"/>
      <c r="AF29" s="1504" t="s">
        <v>8</v>
      </c>
      <c r="AG29" s="1505" t="s">
        <v>1294</v>
      </c>
      <c r="AH29" s="1506"/>
      <c r="AI29" s="1506"/>
      <c r="AJ29" s="1506"/>
      <c r="AK29" s="1506"/>
      <c r="AL29" s="1506"/>
      <c r="AM29" s="1506"/>
      <c r="AN29" s="1506"/>
      <c r="AO29" s="1506"/>
      <c r="AP29" s="1507"/>
      <c r="AQ29" s="1507"/>
      <c r="AR29" s="1507"/>
      <c r="AS29" s="1507"/>
      <c r="AT29" s="1507"/>
      <c r="AU29" s="1507"/>
    </row>
    <row r="30" spans="1:47" s="1084" customFormat="1" ht="21.75" customHeight="1">
      <c r="A30" s="1055"/>
      <c r="B30" s="1055"/>
      <c r="C30" s="1500" t="s">
        <v>729</v>
      </c>
      <c r="D30" s="1090" t="s">
        <v>211</v>
      </c>
      <c r="E30" s="1090">
        <v>84222</v>
      </c>
      <c r="F30" s="1303"/>
      <c r="G30" s="1090" t="s">
        <v>740</v>
      </c>
      <c r="H30" s="1089" t="s">
        <v>595</v>
      </c>
      <c r="I30" s="1089">
        <v>1</v>
      </c>
      <c r="J30" s="1435">
        <v>139825000</v>
      </c>
      <c r="K30" s="1435">
        <f>+J30</f>
        <v>139825000</v>
      </c>
      <c r="L30" s="1501">
        <f>+K30*1.004</f>
        <v>140384300</v>
      </c>
      <c r="M30" s="1306">
        <v>120000000</v>
      </c>
      <c r="N30" s="1306"/>
      <c r="O30" s="1306">
        <f t="shared" si="17"/>
        <v>120000000</v>
      </c>
      <c r="P30" s="1306"/>
      <c r="Q30" s="1502">
        <v>20384300</v>
      </c>
      <c r="R30" s="1502"/>
      <c r="S30" s="1308">
        <f t="shared" si="18"/>
        <v>20384300</v>
      </c>
      <c r="T30" s="1502"/>
      <c r="U30" s="1309">
        <f t="shared" si="19"/>
        <v>140384300</v>
      </c>
      <c r="V30" s="1085">
        <v>140384300</v>
      </c>
      <c r="W30" s="1085"/>
      <c r="X30" s="1085"/>
      <c r="Y30" s="1085">
        <f t="shared" si="5"/>
        <v>140384300</v>
      </c>
      <c r="Z30" s="1085">
        <v>120000000</v>
      </c>
      <c r="AA30" s="1503"/>
      <c r="AB30" s="1503"/>
      <c r="AC30" s="1085">
        <v>20384300</v>
      </c>
      <c r="AD30" s="1085"/>
      <c r="AE30" s="1503"/>
      <c r="AF30" s="1504" t="s">
        <v>8</v>
      </c>
      <c r="AG30" s="1505" t="s">
        <v>1294</v>
      </c>
      <c r="AH30" s="1506"/>
      <c r="AI30" s="1506"/>
      <c r="AJ30" s="1506"/>
      <c r="AK30" s="1506"/>
      <c r="AL30" s="1506"/>
      <c r="AM30" s="1506"/>
      <c r="AN30" s="1506"/>
      <c r="AO30" s="1506"/>
      <c r="AP30" s="1507"/>
      <c r="AQ30" s="1507"/>
      <c r="AR30" s="1507"/>
      <c r="AS30" s="1507"/>
      <c r="AT30" s="1507"/>
      <c r="AU30" s="1507"/>
    </row>
    <row r="31" spans="1:47" s="1080" customFormat="1" ht="21.75" customHeight="1">
      <c r="A31" s="1055"/>
      <c r="B31" s="1055"/>
      <c r="C31" s="1182" t="s">
        <v>713</v>
      </c>
      <c r="D31" s="1096" t="s">
        <v>717</v>
      </c>
      <c r="E31" s="1096">
        <v>45290</v>
      </c>
      <c r="F31" s="1310"/>
      <c r="G31" s="1096" t="s">
        <v>738</v>
      </c>
      <c r="H31" s="1095" t="s">
        <v>595</v>
      </c>
      <c r="I31" s="1095">
        <v>1</v>
      </c>
      <c r="J31" s="1430">
        <v>50000000</v>
      </c>
      <c r="K31" s="1430"/>
      <c r="L31" s="1458"/>
      <c r="M31" s="1183">
        <v>49999200</v>
      </c>
      <c r="N31" s="1183"/>
      <c r="O31" s="1183">
        <f t="shared" ref="O31" si="20">+M31+N31</f>
        <v>49999200</v>
      </c>
      <c r="P31" s="1183"/>
      <c r="Q31" s="1459"/>
      <c r="R31" s="1459"/>
      <c r="S31" s="1314">
        <f t="shared" ref="S31" si="21">SUM(P31:R31)</f>
        <v>0</v>
      </c>
      <c r="T31" s="1459"/>
      <c r="U31" s="1315">
        <f t="shared" ref="U31" si="22">+O31+S31+T31</f>
        <v>49999200</v>
      </c>
      <c r="V31" s="1083">
        <v>50000000</v>
      </c>
      <c r="W31" s="1083">
        <v>49999200</v>
      </c>
      <c r="X31" s="1083"/>
      <c r="Y31" s="1083">
        <f>+V31-W31</f>
        <v>800</v>
      </c>
      <c r="Z31" s="1083">
        <v>800</v>
      </c>
      <c r="AA31" s="1460"/>
      <c r="AB31" s="1460"/>
      <c r="AC31" s="1460"/>
      <c r="AD31" s="1460"/>
      <c r="AE31" s="1460"/>
      <c r="AF31" s="1456" t="s">
        <v>8</v>
      </c>
      <c r="AG31" s="1461" t="s">
        <v>1294</v>
      </c>
      <c r="AH31" s="1462"/>
      <c r="AI31" s="1462"/>
      <c r="AJ31" s="1462"/>
      <c r="AK31" s="1462"/>
      <c r="AL31" s="1462"/>
      <c r="AM31" s="1462"/>
      <c r="AN31" s="1462"/>
      <c r="AO31" s="1462"/>
      <c r="AP31" s="1457"/>
      <c r="AQ31" s="1457"/>
      <c r="AR31" s="1457"/>
      <c r="AS31" s="1457"/>
      <c r="AT31" s="1457"/>
      <c r="AU31" s="1457"/>
    </row>
    <row r="32" spans="1:47" s="1084" customFormat="1" ht="21.75" customHeight="1">
      <c r="A32" s="1055"/>
      <c r="B32" s="1055"/>
      <c r="C32" s="1500" t="s">
        <v>713</v>
      </c>
      <c r="D32" s="1090" t="s">
        <v>717</v>
      </c>
      <c r="E32" s="1090">
        <v>45290</v>
      </c>
      <c r="F32" s="1303"/>
      <c r="G32" s="1090" t="s">
        <v>738</v>
      </c>
      <c r="H32" s="1089" t="s">
        <v>595</v>
      </c>
      <c r="I32" s="1089">
        <v>1</v>
      </c>
      <c r="J32" s="1435">
        <v>50000000</v>
      </c>
      <c r="K32" s="1435"/>
      <c r="L32" s="1501"/>
      <c r="M32" s="1306">
        <f>50000000-M31</f>
        <v>800</v>
      </c>
      <c r="N32" s="1306"/>
      <c r="O32" s="1306">
        <f t="shared" si="17"/>
        <v>800</v>
      </c>
      <c r="P32" s="1306"/>
      <c r="Q32" s="1502"/>
      <c r="R32" s="1502"/>
      <c r="S32" s="1308">
        <f t="shared" si="18"/>
        <v>0</v>
      </c>
      <c r="T32" s="1502"/>
      <c r="U32" s="1309">
        <f t="shared" si="19"/>
        <v>800</v>
      </c>
      <c r="V32" s="1085">
        <v>50000000</v>
      </c>
      <c r="W32" s="1085">
        <v>49999200</v>
      </c>
      <c r="X32" s="1085"/>
      <c r="Y32" s="1085">
        <f>+V32-W32</f>
        <v>800</v>
      </c>
      <c r="Z32" s="1085">
        <v>800</v>
      </c>
      <c r="AA32" s="1503"/>
      <c r="AB32" s="1503"/>
      <c r="AC32" s="1503"/>
      <c r="AD32" s="1503"/>
      <c r="AE32" s="1503"/>
      <c r="AF32" s="1504" t="s">
        <v>8</v>
      </c>
      <c r="AG32" s="1505" t="s">
        <v>1294</v>
      </c>
      <c r="AH32" s="1506"/>
      <c r="AI32" s="1506"/>
      <c r="AJ32" s="1506"/>
      <c r="AK32" s="1506"/>
      <c r="AL32" s="1506"/>
      <c r="AM32" s="1506"/>
      <c r="AN32" s="1506"/>
      <c r="AO32" s="1506"/>
      <c r="AP32" s="1507"/>
      <c r="AQ32" s="1507"/>
      <c r="AR32" s="1507"/>
      <c r="AS32" s="1507"/>
      <c r="AT32" s="1507"/>
      <c r="AU32" s="1507"/>
    </row>
    <row r="33" spans="1:47" s="1084" customFormat="1" ht="21.75" customHeight="1">
      <c r="A33" s="1055"/>
      <c r="B33" s="1055"/>
      <c r="C33" s="1500" t="s">
        <v>565</v>
      </c>
      <c r="D33" s="1090" t="s">
        <v>716</v>
      </c>
      <c r="E33" s="1090" t="s">
        <v>443</v>
      </c>
      <c r="F33" s="1303" t="s">
        <v>570</v>
      </c>
      <c r="G33" s="1090" t="s">
        <v>566</v>
      </c>
      <c r="H33" s="1089" t="s">
        <v>595</v>
      </c>
      <c r="I33" s="1089">
        <v>1</v>
      </c>
      <c r="J33" s="1305">
        <v>32505801</v>
      </c>
      <c r="K33" s="1305">
        <f t="shared" ref="K33:K39" si="23">+J33/1.004</f>
        <v>32376295.816733066</v>
      </c>
      <c r="L33" s="1501">
        <f>+K33*1.004</f>
        <v>32505801</v>
      </c>
      <c r="M33" s="1306">
        <f>+L33</f>
        <v>32505801</v>
      </c>
      <c r="N33" s="1306"/>
      <c r="O33" s="1306">
        <f t="shared" si="17"/>
        <v>32505801</v>
      </c>
      <c r="P33" s="1306"/>
      <c r="Q33" s="1306">
        <v>12674199</v>
      </c>
      <c r="R33" s="1306"/>
      <c r="S33" s="1308">
        <f t="shared" si="18"/>
        <v>12674199</v>
      </c>
      <c r="T33" s="1306"/>
      <c r="U33" s="1309">
        <f t="shared" si="19"/>
        <v>45180000</v>
      </c>
      <c r="V33" s="1085">
        <v>45180000</v>
      </c>
      <c r="W33" s="1085"/>
      <c r="X33" s="1085"/>
      <c r="Y33" s="1085">
        <f t="shared" si="5"/>
        <v>45180000</v>
      </c>
      <c r="Z33" s="1085">
        <v>32505801</v>
      </c>
      <c r="AA33" s="1085"/>
      <c r="AB33" s="1085"/>
      <c r="AC33" s="1085">
        <v>12674199</v>
      </c>
      <c r="AD33" s="1085"/>
      <c r="AE33" s="1085"/>
      <c r="AF33" s="1504" t="s">
        <v>8</v>
      </c>
      <c r="AG33" s="1505" t="s">
        <v>1294</v>
      </c>
      <c r="AH33" s="1519"/>
      <c r="AI33" s="1519"/>
      <c r="AJ33" s="1519"/>
      <c r="AK33" s="1519"/>
      <c r="AL33" s="1519"/>
      <c r="AM33" s="1519"/>
      <c r="AN33" s="1519"/>
      <c r="AO33" s="1519"/>
      <c r="AU33" s="1519"/>
    </row>
    <row r="34" spans="1:47" s="1084" customFormat="1" ht="21.75" customHeight="1">
      <c r="A34" s="1055"/>
      <c r="B34" s="1055"/>
      <c r="C34" s="1500" t="s">
        <v>567</v>
      </c>
      <c r="D34" s="1090" t="s">
        <v>716</v>
      </c>
      <c r="E34" s="1090" t="s">
        <v>443</v>
      </c>
      <c r="F34" s="1303" t="s">
        <v>569</v>
      </c>
      <c r="G34" s="1090" t="s">
        <v>568</v>
      </c>
      <c r="H34" s="1089" t="s">
        <v>595</v>
      </c>
      <c r="I34" s="1089">
        <v>1</v>
      </c>
      <c r="J34" s="1435">
        <v>40160000</v>
      </c>
      <c r="K34" s="1435">
        <f t="shared" si="23"/>
        <v>40000000</v>
      </c>
      <c r="L34" s="1501"/>
      <c r="M34" s="1306"/>
      <c r="N34" s="1306"/>
      <c r="O34" s="1306">
        <f t="shared" si="17"/>
        <v>0</v>
      </c>
      <c r="P34" s="1306"/>
      <c r="Q34" s="1502">
        <f>+K34*1.004</f>
        <v>40160000</v>
      </c>
      <c r="R34" s="1502"/>
      <c r="S34" s="1308">
        <f t="shared" si="18"/>
        <v>40160000</v>
      </c>
      <c r="T34" s="1502"/>
      <c r="U34" s="1309">
        <f t="shared" si="19"/>
        <v>40160000</v>
      </c>
      <c r="V34" s="1085">
        <v>40160000</v>
      </c>
      <c r="W34" s="1085"/>
      <c r="X34" s="1085"/>
      <c r="Y34" s="1085">
        <f t="shared" si="5"/>
        <v>40160000</v>
      </c>
      <c r="Z34" s="1503"/>
      <c r="AA34" s="1503"/>
      <c r="AB34" s="1503"/>
      <c r="AC34" s="1503">
        <v>40160000</v>
      </c>
      <c r="AD34" s="1503"/>
      <c r="AE34" s="1503"/>
      <c r="AF34" s="1504" t="s">
        <v>8</v>
      </c>
      <c r="AG34" s="1505" t="s">
        <v>1294</v>
      </c>
      <c r="AH34" s="1506"/>
      <c r="AI34" s="1506"/>
      <c r="AJ34" s="1506"/>
      <c r="AK34" s="1506"/>
      <c r="AL34" s="1506"/>
      <c r="AM34" s="1506"/>
      <c r="AN34" s="1506"/>
      <c r="AO34" s="1506"/>
      <c r="AP34" s="1507"/>
      <c r="AQ34" s="1507"/>
      <c r="AR34" s="1507"/>
      <c r="AS34" s="1507"/>
      <c r="AT34" s="1507"/>
      <c r="AU34" s="1507"/>
    </row>
    <row r="35" spans="1:47" s="1084" customFormat="1" ht="21.75" customHeight="1">
      <c r="A35" s="1055"/>
      <c r="B35" s="1055"/>
      <c r="C35" s="1500" t="s">
        <v>711</v>
      </c>
      <c r="D35" s="1090" t="s">
        <v>211</v>
      </c>
      <c r="E35" s="1090">
        <v>84222</v>
      </c>
      <c r="F35" s="1303"/>
      <c r="G35" s="1090" t="s">
        <v>566</v>
      </c>
      <c r="H35" s="1089" t="s">
        <v>595</v>
      </c>
      <c r="I35" s="1089">
        <v>1</v>
      </c>
      <c r="J35" s="1435">
        <v>80000000</v>
      </c>
      <c r="K35" s="1435">
        <f t="shared" si="23"/>
        <v>79681274.900398403</v>
      </c>
      <c r="L35" s="1501">
        <v>80000000</v>
      </c>
      <c r="M35" s="1306">
        <v>23213520</v>
      </c>
      <c r="N35" s="1306"/>
      <c r="O35" s="1306">
        <f t="shared" si="17"/>
        <v>23213520</v>
      </c>
      <c r="P35" s="1306"/>
      <c r="Q35" s="1502">
        <v>41982235.340000004</v>
      </c>
      <c r="R35" s="1502"/>
      <c r="S35" s="1308">
        <f t="shared" si="18"/>
        <v>41982235.340000004</v>
      </c>
      <c r="T35" s="1502"/>
      <c r="U35" s="1309">
        <f t="shared" si="19"/>
        <v>65195755.340000004</v>
      </c>
      <c r="V35" s="1085">
        <v>65195755.340000004</v>
      </c>
      <c r="W35" s="1085"/>
      <c r="X35" s="1085"/>
      <c r="Y35" s="1085">
        <f t="shared" si="5"/>
        <v>65195755.340000004</v>
      </c>
      <c r="Z35" s="1520">
        <v>23213520</v>
      </c>
      <c r="AA35" s="1503"/>
      <c r="AB35" s="1503"/>
      <c r="AC35" s="1503">
        <v>41982235.340000004</v>
      </c>
      <c r="AD35" s="1503"/>
      <c r="AE35" s="1503"/>
      <c r="AF35" s="1504" t="s">
        <v>8</v>
      </c>
      <c r="AG35" s="1505" t="s">
        <v>1294</v>
      </c>
      <c r="AH35" s="1506"/>
      <c r="AI35" s="1506"/>
      <c r="AJ35" s="1506"/>
      <c r="AK35" s="1506"/>
      <c r="AL35" s="1506"/>
      <c r="AM35" s="1506"/>
      <c r="AN35" s="1506"/>
      <c r="AO35" s="1506"/>
      <c r="AP35" s="1507"/>
      <c r="AQ35" s="1507"/>
      <c r="AR35" s="1507"/>
      <c r="AS35" s="1507"/>
      <c r="AT35" s="1507"/>
      <c r="AU35" s="1507"/>
    </row>
    <row r="36" spans="1:47" s="1084" customFormat="1" ht="21.75" customHeight="1">
      <c r="A36" s="1055"/>
      <c r="B36" s="1055"/>
      <c r="C36" s="1500" t="s">
        <v>712</v>
      </c>
      <c r="D36" s="1090" t="s">
        <v>716</v>
      </c>
      <c r="E36" s="1090" t="s">
        <v>443</v>
      </c>
      <c r="F36" s="1303"/>
      <c r="G36" s="1090" t="s">
        <v>566</v>
      </c>
      <c r="H36" s="1089" t="s">
        <v>595</v>
      </c>
      <c r="I36" s="1089">
        <v>1</v>
      </c>
      <c r="J36" s="1435">
        <v>40000000</v>
      </c>
      <c r="K36" s="1435">
        <f t="shared" si="23"/>
        <v>39840637.450199202</v>
      </c>
      <c r="L36" s="1501"/>
      <c r="M36" s="1306"/>
      <c r="N36" s="1306"/>
      <c r="O36" s="1306">
        <f t="shared" si="17"/>
        <v>0</v>
      </c>
      <c r="P36" s="1306"/>
      <c r="Q36" s="1502"/>
      <c r="R36" s="1502"/>
      <c r="S36" s="1308">
        <f t="shared" si="18"/>
        <v>0</v>
      </c>
      <c r="T36" s="1502"/>
      <c r="U36" s="1309">
        <f t="shared" si="19"/>
        <v>0</v>
      </c>
      <c r="V36" s="1085"/>
      <c r="W36" s="1085"/>
      <c r="X36" s="1085"/>
      <c r="Y36" s="1085">
        <f t="shared" si="5"/>
        <v>0</v>
      </c>
      <c r="Z36" s="1503"/>
      <c r="AA36" s="1503"/>
      <c r="AB36" s="1503"/>
      <c r="AC36" s="1503"/>
      <c r="AD36" s="1503"/>
      <c r="AE36" s="1503"/>
      <c r="AF36" s="1504" t="s">
        <v>8</v>
      </c>
      <c r="AG36" s="1505" t="s">
        <v>1294</v>
      </c>
      <c r="AH36" s="1506"/>
      <c r="AI36" s="1506"/>
      <c r="AJ36" s="1506"/>
      <c r="AK36" s="1506"/>
      <c r="AL36" s="1506"/>
      <c r="AM36" s="1506"/>
      <c r="AN36" s="1506"/>
      <c r="AO36" s="1506"/>
      <c r="AP36" s="1507"/>
      <c r="AQ36" s="1507"/>
      <c r="AR36" s="1507"/>
      <c r="AS36" s="1507"/>
      <c r="AT36" s="1507"/>
      <c r="AU36" s="1507"/>
    </row>
    <row r="37" spans="1:47" s="1084" customFormat="1" ht="21.75" customHeight="1">
      <c r="A37" s="1055"/>
      <c r="B37" s="1055"/>
      <c r="C37" s="1500" t="s">
        <v>730</v>
      </c>
      <c r="D37" s="1090" t="s">
        <v>211</v>
      </c>
      <c r="E37" s="1090">
        <v>84222</v>
      </c>
      <c r="F37" s="1303"/>
      <c r="G37" s="1090" t="s">
        <v>566</v>
      </c>
      <c r="H37" s="1089" t="s">
        <v>595</v>
      </c>
      <c r="I37" s="1089">
        <v>1</v>
      </c>
      <c r="J37" s="1435">
        <v>22100000</v>
      </c>
      <c r="K37" s="1435">
        <f t="shared" si="23"/>
        <v>22011952.191235058</v>
      </c>
      <c r="L37" s="1501"/>
      <c r="M37" s="1306"/>
      <c r="N37" s="1306"/>
      <c r="O37" s="1306">
        <f t="shared" si="17"/>
        <v>0</v>
      </c>
      <c r="P37" s="1306"/>
      <c r="Q37" s="1502"/>
      <c r="R37" s="1502"/>
      <c r="S37" s="1308">
        <f t="shared" si="18"/>
        <v>0</v>
      </c>
      <c r="T37" s="1502"/>
      <c r="U37" s="1309">
        <f t="shared" si="19"/>
        <v>0</v>
      </c>
      <c r="V37" s="1085"/>
      <c r="W37" s="1085"/>
      <c r="X37" s="1085"/>
      <c r="Y37" s="1085">
        <f t="shared" si="5"/>
        <v>0</v>
      </c>
      <c r="Z37" s="1503"/>
      <c r="AA37" s="1503"/>
      <c r="AB37" s="1503"/>
      <c r="AC37" s="1503"/>
      <c r="AD37" s="1503"/>
      <c r="AE37" s="1503"/>
      <c r="AF37" s="1504" t="s">
        <v>8</v>
      </c>
      <c r="AG37" s="1505" t="s">
        <v>1294</v>
      </c>
      <c r="AH37" s="1506"/>
      <c r="AI37" s="1506"/>
      <c r="AJ37" s="1506"/>
      <c r="AK37" s="1506"/>
      <c r="AL37" s="1506"/>
      <c r="AM37" s="1506"/>
      <c r="AN37" s="1506"/>
      <c r="AO37" s="1506"/>
      <c r="AP37" s="1507"/>
      <c r="AQ37" s="1507"/>
      <c r="AR37" s="1507"/>
      <c r="AS37" s="1507"/>
      <c r="AT37" s="1507"/>
      <c r="AU37" s="1507"/>
    </row>
    <row r="38" spans="1:47" s="1084" customFormat="1" ht="21.75" customHeight="1">
      <c r="A38" s="1055"/>
      <c r="B38" s="1055"/>
      <c r="C38" s="1500" t="s">
        <v>953</v>
      </c>
      <c r="D38" s="1090"/>
      <c r="E38" s="1090"/>
      <c r="F38" s="1303"/>
      <c r="G38" s="1090"/>
      <c r="H38" s="1089"/>
      <c r="I38" s="1089"/>
      <c r="J38" s="1435"/>
      <c r="K38" s="1435"/>
      <c r="L38" s="1501"/>
      <c r="M38" s="1306"/>
      <c r="N38" s="1306"/>
      <c r="O38" s="1306">
        <f t="shared" si="17"/>
        <v>0</v>
      </c>
      <c r="P38" s="1306"/>
      <c r="Q38" s="1502"/>
      <c r="R38" s="1502"/>
      <c r="S38" s="1308">
        <f t="shared" si="18"/>
        <v>0</v>
      </c>
      <c r="T38" s="1502"/>
      <c r="U38" s="1309">
        <f t="shared" si="19"/>
        <v>0</v>
      </c>
      <c r="V38" s="1085"/>
      <c r="W38" s="1085"/>
      <c r="X38" s="1085"/>
      <c r="Y38" s="1085">
        <f t="shared" si="5"/>
        <v>0</v>
      </c>
      <c r="Z38" s="1503"/>
      <c r="AA38" s="1503"/>
      <c r="AB38" s="1503"/>
      <c r="AC38" s="1503"/>
      <c r="AD38" s="1503"/>
      <c r="AE38" s="1503"/>
      <c r="AF38" s="1504" t="s">
        <v>8</v>
      </c>
      <c r="AG38" s="1505" t="s">
        <v>1294</v>
      </c>
      <c r="AH38" s="1506"/>
      <c r="AI38" s="1506"/>
      <c r="AJ38" s="1506"/>
      <c r="AK38" s="1506"/>
      <c r="AL38" s="1506"/>
      <c r="AM38" s="1506"/>
      <c r="AN38" s="1506"/>
      <c r="AO38" s="1506"/>
      <c r="AP38" s="1507"/>
      <c r="AQ38" s="1507"/>
      <c r="AR38" s="1507"/>
      <c r="AS38" s="1507"/>
      <c r="AT38" s="1507"/>
      <c r="AU38" s="1507"/>
    </row>
    <row r="39" spans="1:47" s="1084" customFormat="1" ht="21.75" customHeight="1">
      <c r="A39" s="1055"/>
      <c r="B39" s="1055"/>
      <c r="C39" s="1500" t="s">
        <v>714</v>
      </c>
      <c r="D39" s="1090" t="s">
        <v>211</v>
      </c>
      <c r="E39" s="1090">
        <v>8715</v>
      </c>
      <c r="F39" s="1303"/>
      <c r="G39" s="1090"/>
      <c r="H39" s="1089" t="s">
        <v>595</v>
      </c>
      <c r="I39" s="1089">
        <v>1</v>
      </c>
      <c r="J39" s="1435">
        <v>30000000</v>
      </c>
      <c r="K39" s="1435">
        <f t="shared" si="23"/>
        <v>29880478.087649401</v>
      </c>
      <c r="L39" s="1501"/>
      <c r="M39" s="1306"/>
      <c r="N39" s="1306"/>
      <c r="O39" s="1306">
        <f t="shared" si="17"/>
        <v>0</v>
      </c>
      <c r="P39" s="1306"/>
      <c r="Q39" s="1502"/>
      <c r="R39" s="1502"/>
      <c r="S39" s="1308">
        <f t="shared" si="18"/>
        <v>0</v>
      </c>
      <c r="T39" s="1502"/>
      <c r="U39" s="1309">
        <f t="shared" si="19"/>
        <v>0</v>
      </c>
      <c r="V39" s="1085"/>
      <c r="W39" s="1085"/>
      <c r="X39" s="1085"/>
      <c r="Y39" s="1085">
        <f t="shared" si="5"/>
        <v>0</v>
      </c>
      <c r="Z39" s="1503"/>
      <c r="AA39" s="1503"/>
      <c r="AB39" s="1503"/>
      <c r="AC39" s="1503"/>
      <c r="AD39" s="1503"/>
      <c r="AE39" s="1503"/>
      <c r="AF39" s="1504" t="s">
        <v>8</v>
      </c>
      <c r="AG39" s="1505" t="s">
        <v>1294</v>
      </c>
      <c r="AH39" s="1506"/>
      <c r="AI39" s="1506"/>
      <c r="AJ39" s="1506"/>
      <c r="AK39" s="1506"/>
      <c r="AL39" s="1506"/>
      <c r="AM39" s="1506"/>
      <c r="AN39" s="1506"/>
      <c r="AO39" s="1506"/>
      <c r="AP39" s="1507"/>
      <c r="AQ39" s="1507"/>
      <c r="AR39" s="1507"/>
      <c r="AS39" s="1507"/>
      <c r="AT39" s="1507"/>
      <c r="AU39" s="1507"/>
    </row>
    <row r="40" spans="1:47" s="1084" customFormat="1" ht="21.75" customHeight="1">
      <c r="A40" s="1055"/>
      <c r="B40" s="1055"/>
      <c r="C40" s="1500" t="s">
        <v>1379</v>
      </c>
      <c r="D40" s="1090"/>
      <c r="E40" s="1090"/>
      <c r="F40" s="1303"/>
      <c r="G40" s="1090"/>
      <c r="H40" s="1089"/>
      <c r="I40" s="1089"/>
      <c r="J40" s="1435"/>
      <c r="K40" s="1435"/>
      <c r="L40" s="1501"/>
      <c r="M40" s="1306">
        <f>14685024+39342842.1142251+36537122-30649200</f>
        <v>59915788.11422509</v>
      </c>
      <c r="N40" s="1306"/>
      <c r="O40" s="1306">
        <f t="shared" si="17"/>
        <v>59915788.11422509</v>
      </c>
      <c r="P40" s="1306"/>
      <c r="Q40" s="1502"/>
      <c r="R40" s="1502"/>
      <c r="S40" s="1308">
        <f t="shared" si="18"/>
        <v>0</v>
      </c>
      <c r="T40" s="1502"/>
      <c r="U40" s="1309">
        <f t="shared" si="19"/>
        <v>59915788.11422509</v>
      </c>
      <c r="V40" s="1085"/>
      <c r="W40" s="1085"/>
      <c r="X40" s="1085"/>
      <c r="Y40" s="1085"/>
      <c r="Z40" s="1503"/>
      <c r="AA40" s="1503"/>
      <c r="AB40" s="1503"/>
      <c r="AC40" s="1503"/>
      <c r="AD40" s="1503"/>
      <c r="AE40" s="1503"/>
      <c r="AF40" s="1504"/>
      <c r="AG40" s="1505"/>
      <c r="AH40" s="1506"/>
      <c r="AI40" s="1506"/>
      <c r="AJ40" s="1506"/>
      <c r="AK40" s="1506"/>
      <c r="AL40" s="1506"/>
      <c r="AM40" s="1506"/>
      <c r="AN40" s="1506"/>
      <c r="AO40" s="1506"/>
      <c r="AP40" s="1507"/>
      <c r="AQ40" s="1507"/>
      <c r="AR40" s="1507"/>
      <c r="AS40" s="1507"/>
      <c r="AT40" s="1507"/>
      <c r="AU40" s="1507"/>
    </row>
    <row r="41" spans="1:47" s="1080" customFormat="1" ht="21.75" customHeight="1">
      <c r="A41" s="1055"/>
      <c r="B41" s="1055"/>
      <c r="C41" s="1094" t="s">
        <v>204</v>
      </c>
      <c r="D41" s="1096" t="s">
        <v>865</v>
      </c>
      <c r="E41" s="1096"/>
      <c r="F41" s="1310"/>
      <c r="G41" s="1311"/>
      <c r="H41" s="1095"/>
      <c r="I41" s="1095"/>
      <c r="J41" s="1312"/>
      <c r="K41" s="1312"/>
      <c r="L41" s="1312"/>
      <c r="M41" s="1183">
        <f>29196228+9500292</f>
        <v>38696520</v>
      </c>
      <c r="N41" s="1183"/>
      <c r="O41" s="1313">
        <f t="shared" si="17"/>
        <v>38696520</v>
      </c>
      <c r="P41" s="1313"/>
      <c r="Q41" s="1183"/>
      <c r="R41" s="1183"/>
      <c r="S41" s="1314">
        <f t="shared" ref="S41" si="24">SUM(P41:R41)</f>
        <v>0</v>
      </c>
      <c r="T41" s="1183"/>
      <c r="U41" s="1315">
        <f>+O41+S41+T41</f>
        <v>38696520</v>
      </c>
      <c r="V41" s="1083">
        <f>245779.2+365119449</f>
        <v>365365228.19999999</v>
      </c>
      <c r="W41" s="1083">
        <f>245779+94169692</f>
        <v>94415471</v>
      </c>
      <c r="X41" s="1083">
        <f>40963+94169692</f>
        <v>94210655</v>
      </c>
      <c r="Y41" s="1083">
        <f t="shared" ref="Y41" si="25">+V41-X41</f>
        <v>271154573.19999999</v>
      </c>
      <c r="Z41" s="1083">
        <v>204816.2</v>
      </c>
      <c r="AA41" s="1083"/>
      <c r="AB41" s="1083"/>
      <c r="AC41" s="1083"/>
      <c r="AD41" s="1083"/>
      <c r="AE41" s="1083"/>
    </row>
    <row r="42" spans="1:47" s="1084" customFormat="1" ht="21.75" customHeight="1">
      <c r="A42" s="1055"/>
      <c r="B42" s="1055"/>
      <c r="C42" s="1088" t="s">
        <v>204</v>
      </c>
      <c r="D42" s="1090" t="s">
        <v>865</v>
      </c>
      <c r="E42" s="1090"/>
      <c r="F42" s="1303"/>
      <c r="G42" s="1304"/>
      <c r="H42" s="1089"/>
      <c r="I42" s="1089"/>
      <c r="J42" s="1305"/>
      <c r="K42" s="1305"/>
      <c r="L42" s="1305"/>
      <c r="M42" s="1306">
        <f>111713718.945134-M41</f>
        <v>73017198.945133999</v>
      </c>
      <c r="N42" s="1306"/>
      <c r="O42" s="1307">
        <f t="shared" ref="O42:O43" si="26">+M42+N42</f>
        <v>73017198.945133999</v>
      </c>
      <c r="P42" s="1307"/>
      <c r="Q42" s="1306"/>
      <c r="R42" s="1306"/>
      <c r="S42" s="1308">
        <f t="shared" ref="S42" si="27">SUM(P42:R42)</f>
        <v>0</v>
      </c>
      <c r="T42" s="1306"/>
      <c r="U42" s="1309">
        <f>+O42+S42+T42</f>
        <v>73017198.945133999</v>
      </c>
      <c r="V42" s="1085">
        <f>245779.2+365119449</f>
        <v>365365228.19999999</v>
      </c>
      <c r="W42" s="1085">
        <f>245779+94169692</f>
        <v>94415471</v>
      </c>
      <c r="X42" s="1085">
        <f>40963+94169692</f>
        <v>94210655</v>
      </c>
      <c r="Y42" s="1085">
        <f t="shared" si="5"/>
        <v>271154573.19999999</v>
      </c>
      <c r="Z42" s="1085">
        <v>204816.2</v>
      </c>
      <c r="AA42" s="1085"/>
      <c r="AB42" s="1085"/>
      <c r="AC42" s="1085"/>
      <c r="AD42" s="1085"/>
      <c r="AE42" s="1085"/>
    </row>
    <row r="43" spans="1:47" s="1080" customFormat="1" ht="21.75" customHeight="1" thickBot="1">
      <c r="A43" s="1055"/>
      <c r="B43" s="1055"/>
      <c r="C43" s="1099" t="s">
        <v>1372</v>
      </c>
      <c r="D43" s="1316" t="s">
        <v>865</v>
      </c>
      <c r="E43" s="1316"/>
      <c r="F43" s="1317"/>
      <c r="G43" s="1318"/>
      <c r="H43" s="1100"/>
      <c r="I43" s="1100"/>
      <c r="J43" s="1319"/>
      <c r="K43" s="1319"/>
      <c r="L43" s="1319"/>
      <c r="M43" s="1320">
        <v>40963</v>
      </c>
      <c r="N43" s="1320"/>
      <c r="O43" s="1321">
        <f t="shared" si="26"/>
        <v>40963</v>
      </c>
      <c r="P43" s="1321"/>
      <c r="Q43" s="1320"/>
      <c r="R43" s="1320"/>
      <c r="S43" s="1322">
        <f t="shared" ref="S43" si="28">SUM(P43:R43)</f>
        <v>0</v>
      </c>
      <c r="T43" s="1320"/>
      <c r="U43" s="1323">
        <f>+O43+S43+T43</f>
        <v>40963</v>
      </c>
      <c r="V43" s="1083">
        <f>245779.2+365119449</f>
        <v>365365228.19999999</v>
      </c>
      <c r="W43" s="1083">
        <f>245779+94169692</f>
        <v>94415471</v>
      </c>
      <c r="X43" s="1083">
        <f>40963+94169692</f>
        <v>94210655</v>
      </c>
      <c r="Y43" s="1083">
        <f t="shared" si="5"/>
        <v>271154573.19999999</v>
      </c>
      <c r="Z43" s="1083">
        <v>204816.2</v>
      </c>
      <c r="AA43" s="1083"/>
      <c r="AB43" s="1083"/>
      <c r="AC43" s="1083"/>
      <c r="AD43" s="1083"/>
      <c r="AE43" s="1083"/>
    </row>
    <row r="44" spans="1:47" s="1084" customFormat="1" ht="21.75" customHeight="1" thickBot="1">
      <c r="A44" s="1055"/>
      <c r="B44" s="1055"/>
      <c r="C44" s="1101" t="s">
        <v>1372</v>
      </c>
      <c r="D44" s="1103" t="s">
        <v>865</v>
      </c>
      <c r="E44" s="1103"/>
      <c r="F44" s="1296"/>
      <c r="G44" s="1297"/>
      <c r="H44" s="1102"/>
      <c r="I44" s="1102"/>
      <c r="J44" s="1298"/>
      <c r="K44" s="1298"/>
      <c r="L44" s="1298"/>
      <c r="M44" s="1299">
        <f>245779.2-M43</f>
        <v>204816.2</v>
      </c>
      <c r="N44" s="1299"/>
      <c r="O44" s="1300">
        <f t="shared" si="17"/>
        <v>204816.2</v>
      </c>
      <c r="P44" s="1300"/>
      <c r="Q44" s="1299"/>
      <c r="R44" s="1299"/>
      <c r="S44" s="1301">
        <f t="shared" ref="S44" si="29">SUM(P44:R44)</f>
        <v>0</v>
      </c>
      <c r="T44" s="1299"/>
      <c r="U44" s="1302">
        <f>+O44+S44+T44</f>
        <v>204816.2</v>
      </c>
      <c r="V44" s="1085">
        <f>245779.2+365119449</f>
        <v>365365228.19999999</v>
      </c>
      <c r="W44" s="1085">
        <f>245779+94169692</f>
        <v>94415471</v>
      </c>
      <c r="X44" s="1085">
        <f>40963+94169692</f>
        <v>94210655</v>
      </c>
      <c r="Y44" s="1085">
        <f t="shared" ref="Y44" si="30">+V44-X44</f>
        <v>271154573.19999999</v>
      </c>
      <c r="Z44" s="1085">
        <v>204816.2</v>
      </c>
      <c r="AA44" s="1085"/>
      <c r="AB44" s="1085"/>
      <c r="AC44" s="1085"/>
      <c r="AD44" s="1085"/>
      <c r="AE44" s="1085"/>
    </row>
    <row r="45" spans="1:47" ht="21.75" customHeight="1" thickBot="1">
      <c r="A45" s="1866">
        <v>230</v>
      </c>
      <c r="B45" s="1866"/>
      <c r="C45" s="1911" t="s">
        <v>959</v>
      </c>
      <c r="D45" s="1712"/>
      <c r="E45" s="1715"/>
      <c r="F45" s="1714"/>
      <c r="G45" s="1713"/>
      <c r="H45" s="1713" t="s">
        <v>1098</v>
      </c>
      <c r="I45" s="1713">
        <v>100</v>
      </c>
      <c r="J45" s="1070"/>
      <c r="K45" s="1070"/>
      <c r="L45" s="1071"/>
      <c r="M45" s="1072">
        <f>+M46+M80</f>
        <v>1211534881.1772351</v>
      </c>
      <c r="N45" s="1072">
        <f t="shared" ref="N45" si="31">+N46+N80</f>
        <v>0</v>
      </c>
      <c r="O45" s="1072">
        <f t="shared" ref="O45:U45" si="32">+O46+O80</f>
        <v>1211534881.1772351</v>
      </c>
      <c r="P45" s="1072">
        <f t="shared" si="32"/>
        <v>5000000</v>
      </c>
      <c r="Q45" s="1072">
        <f t="shared" si="32"/>
        <v>46736591</v>
      </c>
      <c r="R45" s="1072"/>
      <c r="S45" s="1072">
        <f t="shared" si="32"/>
        <v>51736591</v>
      </c>
      <c r="T45" s="1072">
        <f t="shared" si="32"/>
        <v>0</v>
      </c>
      <c r="U45" s="1073">
        <f t="shared" si="32"/>
        <v>1263271472.1772351</v>
      </c>
      <c r="V45" s="1025"/>
      <c r="W45" s="1025"/>
      <c r="X45" s="1025"/>
      <c r="Y45" s="1025"/>
      <c r="Z45" s="1025"/>
      <c r="AA45" s="1025"/>
      <c r="AB45" s="1025"/>
      <c r="AC45" s="1025"/>
      <c r="AD45" s="1025"/>
      <c r="AE45" s="1025"/>
      <c r="AF45" s="746"/>
      <c r="AG45" s="746"/>
    </row>
    <row r="46" spans="1:47" ht="21.75" customHeight="1">
      <c r="A46" s="1866"/>
      <c r="B46" s="1866">
        <v>352</v>
      </c>
      <c r="C46" s="1912" t="s">
        <v>960</v>
      </c>
      <c r="D46" s="503"/>
      <c r="E46" s="1074"/>
      <c r="F46" s="1068"/>
      <c r="G46" s="500"/>
      <c r="H46" s="500" t="s">
        <v>1098</v>
      </c>
      <c r="I46" s="500">
        <v>100</v>
      </c>
      <c r="J46" s="1075"/>
      <c r="K46" s="1075"/>
      <c r="L46" s="1069"/>
      <c r="M46" s="762">
        <f>+SUM(M47:M79)</f>
        <v>1064106649.274848</v>
      </c>
      <c r="N46" s="762">
        <f t="shared" ref="N46:U46" si="33">+SUM(N47:N79)</f>
        <v>0</v>
      </c>
      <c r="O46" s="762">
        <f t="shared" si="33"/>
        <v>1064106649.274848</v>
      </c>
      <c r="P46" s="762">
        <f t="shared" si="33"/>
        <v>5000000</v>
      </c>
      <c r="Q46" s="762">
        <f t="shared" si="33"/>
        <v>15000000</v>
      </c>
      <c r="R46" s="762">
        <f t="shared" si="33"/>
        <v>0</v>
      </c>
      <c r="S46" s="762">
        <f t="shared" si="33"/>
        <v>20000000</v>
      </c>
      <c r="T46" s="762">
        <f t="shared" si="33"/>
        <v>0</v>
      </c>
      <c r="U46" s="763">
        <f t="shared" si="33"/>
        <v>1084106649.274848</v>
      </c>
      <c r="V46" s="1025"/>
      <c r="W46" s="1025"/>
      <c r="X46" s="1025"/>
      <c r="Y46" s="1025"/>
      <c r="Z46" s="1025"/>
      <c r="AA46" s="1025"/>
      <c r="AB46" s="1025"/>
      <c r="AC46" s="1025"/>
      <c r="AD46" s="1025"/>
      <c r="AE46" s="1025"/>
      <c r="AF46" s="746"/>
      <c r="AG46" s="746"/>
    </row>
    <row r="47" spans="1:47" s="1080" customFormat="1" ht="21.75" customHeight="1">
      <c r="A47" s="1055"/>
      <c r="B47" s="1055"/>
      <c r="C47" s="1509" t="s">
        <v>585</v>
      </c>
      <c r="D47" s="1096" t="s">
        <v>211</v>
      </c>
      <c r="E47" s="1096">
        <v>83990</v>
      </c>
      <c r="F47" s="1095" t="s">
        <v>586</v>
      </c>
      <c r="G47" s="1096" t="s">
        <v>593</v>
      </c>
      <c r="H47" s="1095" t="s">
        <v>197</v>
      </c>
      <c r="I47" s="1095">
        <v>11</v>
      </c>
      <c r="J47" s="1312">
        <v>4800000</v>
      </c>
      <c r="K47" s="1429">
        <f t="shared" ref="K47:K55" si="34">+(J47*I47)</f>
        <v>52800000</v>
      </c>
      <c r="L47" s="1430">
        <f t="shared" ref="L47:L70" si="35">+K47*1.004</f>
        <v>53011200</v>
      </c>
      <c r="M47" s="1183">
        <f>+L47</f>
        <v>53011200</v>
      </c>
      <c r="N47" s="1183"/>
      <c r="O47" s="1183">
        <f t="shared" ref="O47:O79" si="36">+M47+N47</f>
        <v>53011200</v>
      </c>
      <c r="P47" s="1183"/>
      <c r="Q47" s="1314"/>
      <c r="R47" s="1314"/>
      <c r="S47" s="1314">
        <f t="shared" ref="S47:S75" si="37">SUM(P47:R47)</f>
        <v>0</v>
      </c>
      <c r="T47" s="1314"/>
      <c r="U47" s="1315">
        <f t="shared" ref="U47:U75" si="38">+O47+S47+T47</f>
        <v>53011200</v>
      </c>
      <c r="V47" s="1083">
        <v>53011200</v>
      </c>
      <c r="W47" s="1083">
        <v>53011200</v>
      </c>
      <c r="X47" s="1083">
        <v>53011200</v>
      </c>
      <c r="Y47" s="1083">
        <f t="shared" si="5"/>
        <v>0</v>
      </c>
      <c r="Z47" s="1083"/>
      <c r="AA47" s="1083"/>
      <c r="AB47" s="1083"/>
      <c r="AC47" s="1083"/>
      <c r="AD47" s="1083"/>
      <c r="AE47" s="1083"/>
      <c r="AF47" s="1432" t="s">
        <v>6</v>
      </c>
      <c r="AG47" s="1432" t="s">
        <v>1290</v>
      </c>
    </row>
    <row r="48" spans="1:47" s="1428" customFormat="1" ht="21.75" customHeight="1">
      <c r="A48" s="1055"/>
      <c r="B48" s="1055"/>
      <c r="C48" s="1509" t="s">
        <v>587</v>
      </c>
      <c r="D48" s="1096" t="s">
        <v>211</v>
      </c>
      <c r="E48" s="1096">
        <v>83990</v>
      </c>
      <c r="F48" s="1095" t="s">
        <v>588</v>
      </c>
      <c r="G48" s="1096" t="s">
        <v>593</v>
      </c>
      <c r="H48" s="1095" t="s">
        <v>197</v>
      </c>
      <c r="I48" s="1095">
        <v>1</v>
      </c>
      <c r="J48" s="1312">
        <f>13989615.936255*1.1088</f>
        <v>15511686.150119545</v>
      </c>
      <c r="K48" s="1429">
        <f t="shared" ref="K48" si="39">+(J48*I48)</f>
        <v>15511686.150119545</v>
      </c>
      <c r="L48" s="1430">
        <f t="shared" ref="L48" si="40">+K48*1.004</f>
        <v>15573732.894720023</v>
      </c>
      <c r="M48" s="1183">
        <v>14044956</v>
      </c>
      <c r="N48" s="1183"/>
      <c r="O48" s="1183">
        <f t="shared" ref="O48" si="41">+M48+N48</f>
        <v>14044956</v>
      </c>
      <c r="P48" s="1183"/>
      <c r="Q48" s="1313"/>
      <c r="R48" s="1313"/>
      <c r="S48" s="1314">
        <f t="shared" ref="S48" si="42">SUM(P48:R48)</f>
        <v>0</v>
      </c>
      <c r="T48" s="1313"/>
      <c r="U48" s="1315">
        <f t="shared" ref="U48" si="43">+O48+S48+T48</f>
        <v>14044956</v>
      </c>
      <c r="V48" s="1431">
        <v>14045574.4</v>
      </c>
      <c r="W48" s="1431">
        <v>14044956</v>
      </c>
      <c r="X48" s="1431">
        <v>14044956</v>
      </c>
      <c r="Y48" s="1083">
        <f t="shared" ref="Y48" si="44">+V48-X48</f>
        <v>618.40000000037253</v>
      </c>
      <c r="Z48" s="1083">
        <v>618.40000000037253</v>
      </c>
      <c r="AA48" s="1431"/>
      <c r="AB48" s="1431"/>
      <c r="AC48" s="1431"/>
      <c r="AD48" s="1431"/>
      <c r="AE48" s="1431"/>
      <c r="AF48" s="1432" t="s">
        <v>6</v>
      </c>
      <c r="AG48" s="1432" t="s">
        <v>1290</v>
      </c>
    </row>
    <row r="49" spans="1:33" s="1433" customFormat="1" ht="21.75" customHeight="1">
      <c r="A49" s="1055"/>
      <c r="B49" s="1055"/>
      <c r="C49" s="1716" t="s">
        <v>587</v>
      </c>
      <c r="D49" s="1090" t="s">
        <v>211</v>
      </c>
      <c r="E49" s="1090">
        <v>83990</v>
      </c>
      <c r="F49" s="1089" t="s">
        <v>588</v>
      </c>
      <c r="G49" s="1090" t="s">
        <v>593</v>
      </c>
      <c r="H49" s="1089" t="s">
        <v>197</v>
      </c>
      <c r="I49" s="1089">
        <v>1</v>
      </c>
      <c r="J49" s="1305">
        <f>13989615.936255*1.1088</f>
        <v>15511686.150119545</v>
      </c>
      <c r="K49" s="1434">
        <f t="shared" si="34"/>
        <v>15511686.150119545</v>
      </c>
      <c r="L49" s="1435">
        <f t="shared" si="35"/>
        <v>15573732.894720023</v>
      </c>
      <c r="M49" s="1306">
        <f>14045574.4-M48</f>
        <v>618.40000000037253</v>
      </c>
      <c r="N49" s="1306"/>
      <c r="O49" s="1306">
        <f t="shared" si="36"/>
        <v>618.40000000037253</v>
      </c>
      <c r="P49" s="1306"/>
      <c r="Q49" s="1307"/>
      <c r="R49" s="1307"/>
      <c r="S49" s="1308">
        <f t="shared" si="37"/>
        <v>0</v>
      </c>
      <c r="T49" s="1307"/>
      <c r="U49" s="1309">
        <f t="shared" si="38"/>
        <v>618.40000000037253</v>
      </c>
      <c r="V49" s="1436">
        <v>14045574.4</v>
      </c>
      <c r="W49" s="1436">
        <v>14044956</v>
      </c>
      <c r="X49" s="1436">
        <v>14044956</v>
      </c>
      <c r="Y49" s="1085">
        <f t="shared" si="5"/>
        <v>618.40000000037253</v>
      </c>
      <c r="Z49" s="1085">
        <v>618.40000000037253</v>
      </c>
      <c r="AA49" s="1436"/>
      <c r="AB49" s="1436"/>
      <c r="AC49" s="1436"/>
      <c r="AD49" s="1436"/>
      <c r="AE49" s="1436"/>
      <c r="AF49" s="1427" t="s">
        <v>6</v>
      </c>
      <c r="AG49" s="1427" t="s">
        <v>1290</v>
      </c>
    </row>
    <row r="50" spans="1:33" s="1080" customFormat="1" ht="21.75" customHeight="1">
      <c r="A50" s="1055"/>
      <c r="B50" s="1055"/>
      <c r="C50" s="1510" t="s">
        <v>589</v>
      </c>
      <c r="D50" s="1096" t="s">
        <v>211</v>
      </c>
      <c r="E50" s="1096">
        <v>83990</v>
      </c>
      <c r="F50" s="1095" t="s">
        <v>590</v>
      </c>
      <c r="G50" s="1096" t="s">
        <v>738</v>
      </c>
      <c r="H50" s="1095" t="s">
        <v>197</v>
      </c>
      <c r="I50" s="1095">
        <v>11</v>
      </c>
      <c r="J50" s="1441">
        <f>4825740*1.1088</f>
        <v>5350780.5120000001</v>
      </c>
      <c r="K50" s="1429">
        <f t="shared" si="34"/>
        <v>58858585.631999999</v>
      </c>
      <c r="L50" s="1430">
        <f t="shared" si="35"/>
        <v>59094019.974528</v>
      </c>
      <c r="M50" s="1183">
        <v>59094014</v>
      </c>
      <c r="N50" s="1183"/>
      <c r="O50" s="1183">
        <f t="shared" si="36"/>
        <v>59094014</v>
      </c>
      <c r="P50" s="1183"/>
      <c r="Q50" s="1314"/>
      <c r="R50" s="1314"/>
      <c r="S50" s="1314">
        <f t="shared" si="37"/>
        <v>0</v>
      </c>
      <c r="T50" s="1314"/>
      <c r="U50" s="1315">
        <f t="shared" si="38"/>
        <v>59094014</v>
      </c>
      <c r="V50" s="1083">
        <v>59094019.974528</v>
      </c>
      <c r="W50" s="1083">
        <v>59094014</v>
      </c>
      <c r="X50" s="1083">
        <v>59094014</v>
      </c>
      <c r="Y50" s="1083">
        <f t="shared" si="5"/>
        <v>5.9745279997587204</v>
      </c>
      <c r="Z50" s="1083">
        <v>5.9745279997587204</v>
      </c>
      <c r="AA50" s="1083"/>
      <c r="AB50" s="1083"/>
      <c r="AC50" s="1083"/>
      <c r="AD50" s="1083"/>
      <c r="AE50" s="1083"/>
      <c r="AF50" s="1432" t="s">
        <v>6</v>
      </c>
      <c r="AG50" s="1432" t="s">
        <v>1290</v>
      </c>
    </row>
    <row r="51" spans="1:33" s="1084" customFormat="1" ht="21.75" customHeight="1">
      <c r="A51" s="1055"/>
      <c r="B51" s="1055"/>
      <c r="C51" s="1717" t="s">
        <v>589</v>
      </c>
      <c r="D51" s="1090" t="s">
        <v>211</v>
      </c>
      <c r="E51" s="1090">
        <v>83990</v>
      </c>
      <c r="F51" s="1089" t="s">
        <v>590</v>
      </c>
      <c r="G51" s="1090" t="s">
        <v>738</v>
      </c>
      <c r="H51" s="1089" t="s">
        <v>197</v>
      </c>
      <c r="I51" s="1089">
        <v>11</v>
      </c>
      <c r="J51" s="1442">
        <f>4825740*1.1088</f>
        <v>5350780.5120000001</v>
      </c>
      <c r="K51" s="1434">
        <f t="shared" ref="K51" si="45">+(J51*I51)</f>
        <v>58858585.631999999</v>
      </c>
      <c r="L51" s="1435">
        <f t="shared" ref="L51" si="46">+K51*1.004</f>
        <v>59094019.974528</v>
      </c>
      <c r="M51" s="1306">
        <f>+L51-M50</f>
        <v>5.9745279997587204</v>
      </c>
      <c r="N51" s="1306"/>
      <c r="O51" s="1306">
        <f t="shared" ref="O51" si="47">+M51+N51</f>
        <v>5.9745279997587204</v>
      </c>
      <c r="P51" s="1306"/>
      <c r="Q51" s="1308"/>
      <c r="R51" s="1308"/>
      <c r="S51" s="1308">
        <f t="shared" ref="S51" si="48">SUM(P51:R51)</f>
        <v>0</v>
      </c>
      <c r="T51" s="1308"/>
      <c r="U51" s="1309">
        <f t="shared" ref="U51" si="49">+O51+S51+T51</f>
        <v>5.9745279997587204</v>
      </c>
      <c r="V51" s="1085">
        <v>59094019.974528</v>
      </c>
      <c r="W51" s="1085">
        <v>59094014</v>
      </c>
      <c r="X51" s="1085">
        <v>59094014</v>
      </c>
      <c r="Y51" s="1085">
        <f t="shared" ref="Y51" si="50">+V51-X51</f>
        <v>5.9745279997587204</v>
      </c>
      <c r="Z51" s="1085">
        <v>5.9745279997587204</v>
      </c>
      <c r="AA51" s="1085"/>
      <c r="AB51" s="1085"/>
      <c r="AC51" s="1085"/>
      <c r="AD51" s="1085"/>
      <c r="AE51" s="1085"/>
      <c r="AF51" s="1427" t="s">
        <v>6</v>
      </c>
      <c r="AG51" s="1427" t="s">
        <v>1290</v>
      </c>
    </row>
    <row r="52" spans="1:33" s="1080" customFormat="1" ht="21.75" customHeight="1">
      <c r="A52" s="1055"/>
      <c r="B52" s="1055"/>
      <c r="C52" s="1510" t="s">
        <v>591</v>
      </c>
      <c r="D52" s="1096" t="s">
        <v>211</v>
      </c>
      <c r="E52" s="1096">
        <v>83990</v>
      </c>
      <c r="F52" s="1095" t="s">
        <v>592</v>
      </c>
      <c r="G52" s="1096" t="s">
        <v>738</v>
      </c>
      <c r="H52" s="1095" t="s">
        <v>197</v>
      </c>
      <c r="I52" s="1095">
        <v>10.5</v>
      </c>
      <c r="J52" s="1448">
        <f>3677950*1.1088</f>
        <v>4078110.96</v>
      </c>
      <c r="K52" s="1448">
        <f t="shared" si="34"/>
        <v>42820165.079999998</v>
      </c>
      <c r="L52" s="1449">
        <f t="shared" si="35"/>
        <v>42991445.740319997</v>
      </c>
      <c r="M52" s="1183">
        <f>+L52</f>
        <v>42991445.740319997</v>
      </c>
      <c r="N52" s="1183"/>
      <c r="O52" s="1183">
        <f t="shared" si="36"/>
        <v>42991445.740319997</v>
      </c>
      <c r="P52" s="1183"/>
      <c r="Q52" s="1314"/>
      <c r="R52" s="1314"/>
      <c r="S52" s="1314">
        <f t="shared" si="37"/>
        <v>0</v>
      </c>
      <c r="T52" s="1314"/>
      <c r="U52" s="1315">
        <f t="shared" si="38"/>
        <v>42991445.740319997</v>
      </c>
      <c r="V52" s="1083">
        <v>42991445.740319997</v>
      </c>
      <c r="W52" s="1083">
        <v>42991446</v>
      </c>
      <c r="X52" s="1083">
        <v>42991446</v>
      </c>
      <c r="Y52" s="1083">
        <f t="shared" si="5"/>
        <v>-0.25968000292778015</v>
      </c>
      <c r="Z52" s="1083"/>
      <c r="AA52" s="1083"/>
      <c r="AB52" s="1083"/>
      <c r="AC52" s="1083"/>
      <c r="AD52" s="1083"/>
      <c r="AE52" s="1083"/>
      <c r="AF52" s="1432" t="s">
        <v>6</v>
      </c>
      <c r="AG52" s="1432" t="s">
        <v>1290</v>
      </c>
    </row>
    <row r="53" spans="1:33" s="1080" customFormat="1" ht="21.75" customHeight="1">
      <c r="A53" s="1055"/>
      <c r="B53" s="1055"/>
      <c r="C53" s="1510" t="s">
        <v>786</v>
      </c>
      <c r="D53" s="1096" t="s">
        <v>211</v>
      </c>
      <c r="E53" s="1096">
        <v>83990</v>
      </c>
      <c r="F53" s="1095" t="s">
        <v>809</v>
      </c>
      <c r="G53" s="1095" t="s">
        <v>593</v>
      </c>
      <c r="H53" s="1095" t="s">
        <v>197</v>
      </c>
      <c r="I53" s="1095">
        <v>8</v>
      </c>
      <c r="J53" s="1441">
        <v>6600000</v>
      </c>
      <c r="K53" s="1429">
        <f t="shared" si="34"/>
        <v>52800000</v>
      </c>
      <c r="L53" s="1430">
        <f t="shared" si="35"/>
        <v>53011200</v>
      </c>
      <c r="M53" s="1183">
        <f>+L53-25803058</f>
        <v>27208142</v>
      </c>
      <c r="N53" s="1183"/>
      <c r="O53" s="1183">
        <f t="shared" si="36"/>
        <v>27208142</v>
      </c>
      <c r="P53" s="1183"/>
      <c r="Q53" s="1314"/>
      <c r="R53" s="1314"/>
      <c r="S53" s="1314">
        <f t="shared" si="37"/>
        <v>0</v>
      </c>
      <c r="T53" s="1314"/>
      <c r="U53" s="1315">
        <f t="shared" si="38"/>
        <v>27208142</v>
      </c>
      <c r="V53" s="1083">
        <v>27208142</v>
      </c>
      <c r="W53" s="1083">
        <v>27208142</v>
      </c>
      <c r="X53" s="1083">
        <v>27208142</v>
      </c>
      <c r="Y53" s="1083">
        <f t="shared" si="5"/>
        <v>0</v>
      </c>
      <c r="Z53" s="1083"/>
      <c r="AA53" s="1083"/>
      <c r="AB53" s="1083"/>
      <c r="AC53" s="1083"/>
      <c r="AD53" s="1083"/>
      <c r="AE53" s="1083"/>
      <c r="AF53" s="1432" t="s">
        <v>6</v>
      </c>
      <c r="AG53" s="1432" t="s">
        <v>1290</v>
      </c>
    </row>
    <row r="54" spans="1:33" s="1080" customFormat="1" ht="21.75" customHeight="1">
      <c r="A54" s="1055"/>
      <c r="B54" s="1055"/>
      <c r="C54" s="1510" t="s">
        <v>787</v>
      </c>
      <c r="D54" s="1096" t="s">
        <v>211</v>
      </c>
      <c r="E54" s="1096">
        <v>83990</v>
      </c>
      <c r="F54" s="1095" t="s">
        <v>785</v>
      </c>
      <c r="G54" s="1095" t="s">
        <v>738</v>
      </c>
      <c r="H54" s="1095" t="s">
        <v>197</v>
      </c>
      <c r="I54" s="1095">
        <v>8</v>
      </c>
      <c r="J54" s="1441">
        <v>6600000</v>
      </c>
      <c r="K54" s="1429">
        <f t="shared" si="34"/>
        <v>52800000</v>
      </c>
      <c r="L54" s="1430">
        <f t="shared" si="35"/>
        <v>53011200</v>
      </c>
      <c r="M54" s="1183">
        <f>+L54</f>
        <v>53011200</v>
      </c>
      <c r="N54" s="1183"/>
      <c r="O54" s="1183">
        <f t="shared" si="36"/>
        <v>53011200</v>
      </c>
      <c r="P54" s="1183"/>
      <c r="Q54" s="1314"/>
      <c r="R54" s="1314"/>
      <c r="S54" s="1314">
        <f t="shared" si="37"/>
        <v>0</v>
      </c>
      <c r="T54" s="1314"/>
      <c r="U54" s="1315">
        <f t="shared" si="38"/>
        <v>53011200</v>
      </c>
      <c r="V54" s="1083">
        <v>53011200</v>
      </c>
      <c r="W54" s="1083">
        <v>53011200</v>
      </c>
      <c r="X54" s="1083"/>
      <c r="Y54" s="1083">
        <f>+V54-W54</f>
        <v>0</v>
      </c>
      <c r="Z54" s="1083"/>
      <c r="AA54" s="1083"/>
      <c r="AB54" s="1083"/>
      <c r="AC54" s="1083"/>
      <c r="AD54" s="1083"/>
      <c r="AE54" s="1083"/>
      <c r="AF54" s="1432" t="s">
        <v>6</v>
      </c>
      <c r="AG54" s="1432" t="s">
        <v>1290</v>
      </c>
    </row>
    <row r="55" spans="1:33" s="1080" customFormat="1" ht="21.75" customHeight="1">
      <c r="A55" s="1055"/>
      <c r="B55" s="1055"/>
      <c r="C55" s="1510" t="s">
        <v>725</v>
      </c>
      <c r="D55" s="1096" t="s">
        <v>211</v>
      </c>
      <c r="E55" s="1096">
        <v>83990</v>
      </c>
      <c r="F55" s="1095" t="s">
        <v>849</v>
      </c>
      <c r="G55" s="1095" t="s">
        <v>738</v>
      </c>
      <c r="H55" s="1095" t="s">
        <v>197</v>
      </c>
      <c r="I55" s="1095">
        <v>8</v>
      </c>
      <c r="J55" s="1441">
        <v>5000000</v>
      </c>
      <c r="K55" s="1429">
        <f t="shared" si="34"/>
        <v>40000000</v>
      </c>
      <c r="L55" s="1430">
        <f t="shared" si="35"/>
        <v>40160000</v>
      </c>
      <c r="M55" s="1183">
        <f>+L55</f>
        <v>40160000</v>
      </c>
      <c r="N55" s="1183"/>
      <c r="O55" s="1183">
        <f t="shared" si="36"/>
        <v>40160000</v>
      </c>
      <c r="P55" s="1183"/>
      <c r="Q55" s="1314"/>
      <c r="R55" s="1314"/>
      <c r="S55" s="1314">
        <f t="shared" si="37"/>
        <v>0</v>
      </c>
      <c r="T55" s="1314"/>
      <c r="U55" s="1315">
        <f t="shared" si="38"/>
        <v>40160000</v>
      </c>
      <c r="V55" s="1083">
        <v>40160000</v>
      </c>
      <c r="W55" s="1083">
        <v>40160000</v>
      </c>
      <c r="X55" s="1083"/>
      <c r="Y55" s="1083">
        <f t="shared" ref="Y55:Y61" si="51">+V55-W55</f>
        <v>0</v>
      </c>
      <c r="Z55" s="1083"/>
      <c r="AA55" s="1083"/>
      <c r="AB55" s="1083"/>
      <c r="AC55" s="1083"/>
      <c r="AD55" s="1083"/>
      <c r="AE55" s="1083"/>
      <c r="AF55" s="1432" t="s">
        <v>6</v>
      </c>
      <c r="AG55" s="1432" t="s">
        <v>1290</v>
      </c>
    </row>
    <row r="56" spans="1:33" s="1080" customFormat="1" ht="21.75" customHeight="1">
      <c r="A56" s="1055"/>
      <c r="B56" s="1055"/>
      <c r="C56" s="1510" t="s">
        <v>726</v>
      </c>
      <c r="D56" s="1096" t="s">
        <v>211</v>
      </c>
      <c r="E56" s="1096">
        <v>83990</v>
      </c>
      <c r="F56" s="1115" t="s">
        <v>438</v>
      </c>
      <c r="G56" s="1095" t="s">
        <v>593</v>
      </c>
      <c r="H56" s="1095" t="s">
        <v>197</v>
      </c>
      <c r="I56" s="1095">
        <v>11.5</v>
      </c>
      <c r="J56" s="1437">
        <f>5270832*1.1088</f>
        <v>5844298.5215999996</v>
      </c>
      <c r="K56" s="1312">
        <f>J56*I56</f>
        <v>67209432.998400003</v>
      </c>
      <c r="L56" s="1430">
        <f t="shared" ref="L56" si="52">+K56*1.004</f>
        <v>67478270.730393603</v>
      </c>
      <c r="M56" s="1183">
        <v>67478265</v>
      </c>
      <c r="N56" s="1183"/>
      <c r="O56" s="1183">
        <f t="shared" ref="O56" si="53">+M56+N56</f>
        <v>67478265</v>
      </c>
      <c r="P56" s="1183"/>
      <c r="Q56" s="1314"/>
      <c r="R56" s="1314"/>
      <c r="S56" s="1314">
        <f t="shared" ref="S56" si="54">SUM(P56:R56)</f>
        <v>0</v>
      </c>
      <c r="T56" s="1314"/>
      <c r="U56" s="1315">
        <f t="shared" ref="U56" si="55">+O56+S56+T56</f>
        <v>67478265</v>
      </c>
      <c r="V56" s="1083">
        <v>67478271</v>
      </c>
      <c r="W56" s="1083">
        <v>67478265</v>
      </c>
      <c r="X56" s="1083"/>
      <c r="Y56" s="1083">
        <f t="shared" ref="Y56" si="56">+V56-W56</f>
        <v>6</v>
      </c>
      <c r="Z56" s="1083">
        <v>6</v>
      </c>
      <c r="AA56" s="1083"/>
      <c r="AB56" s="1083"/>
      <c r="AC56" s="1083"/>
      <c r="AD56" s="1083"/>
      <c r="AE56" s="1083"/>
      <c r="AF56" s="1432" t="s">
        <v>6</v>
      </c>
      <c r="AG56" s="1432" t="s">
        <v>1290</v>
      </c>
    </row>
    <row r="57" spans="1:33" s="1084" customFormat="1" ht="21.75" customHeight="1">
      <c r="A57" s="1055"/>
      <c r="B57" s="1055"/>
      <c r="C57" s="1717" t="s">
        <v>726</v>
      </c>
      <c r="D57" s="1090" t="s">
        <v>211</v>
      </c>
      <c r="E57" s="1090">
        <v>83990</v>
      </c>
      <c r="F57" s="1107" t="s">
        <v>438</v>
      </c>
      <c r="G57" s="1089" t="s">
        <v>593</v>
      </c>
      <c r="H57" s="1089" t="s">
        <v>197</v>
      </c>
      <c r="I57" s="1089">
        <v>11.5</v>
      </c>
      <c r="J57" s="1438">
        <f>5270832*1.1088</f>
        <v>5844298.5215999996</v>
      </c>
      <c r="K57" s="1305">
        <f>J57*I57</f>
        <v>67209432.998400003</v>
      </c>
      <c r="L57" s="1435">
        <f t="shared" si="35"/>
        <v>67478270.730393603</v>
      </c>
      <c r="M57" s="1306">
        <f>66667863+810408-M56</f>
        <v>6</v>
      </c>
      <c r="N57" s="1306"/>
      <c r="O57" s="1306">
        <f t="shared" si="36"/>
        <v>6</v>
      </c>
      <c r="P57" s="1306"/>
      <c r="Q57" s="1308"/>
      <c r="R57" s="1308"/>
      <c r="S57" s="1308">
        <f t="shared" si="37"/>
        <v>0</v>
      </c>
      <c r="T57" s="1308"/>
      <c r="U57" s="1309">
        <f t="shared" si="38"/>
        <v>6</v>
      </c>
      <c r="V57" s="1085">
        <v>67478271</v>
      </c>
      <c r="W57" s="1085">
        <v>67478265</v>
      </c>
      <c r="X57" s="1085"/>
      <c r="Y57" s="1085">
        <f t="shared" si="51"/>
        <v>6</v>
      </c>
      <c r="Z57" s="1085">
        <v>6</v>
      </c>
      <c r="AA57" s="1085"/>
      <c r="AB57" s="1085"/>
      <c r="AC57" s="1085"/>
      <c r="AD57" s="1085"/>
      <c r="AE57" s="1085"/>
      <c r="AF57" s="1427" t="s">
        <v>6</v>
      </c>
      <c r="AG57" s="1427" t="s">
        <v>1290</v>
      </c>
    </row>
    <row r="58" spans="1:33" s="1080" customFormat="1" ht="21.75" customHeight="1">
      <c r="A58" s="1055"/>
      <c r="B58" s="1055"/>
      <c r="C58" s="1510" t="s">
        <v>439</v>
      </c>
      <c r="D58" s="1096" t="s">
        <v>211</v>
      </c>
      <c r="E58" s="1096">
        <v>83990</v>
      </c>
      <c r="F58" s="1115" t="s">
        <v>440</v>
      </c>
      <c r="G58" s="1095" t="s">
        <v>593</v>
      </c>
      <c r="H58" s="1095" t="s">
        <v>197</v>
      </c>
      <c r="I58" s="1095">
        <v>11.5</v>
      </c>
      <c r="J58" s="1441">
        <v>5774109</v>
      </c>
      <c r="K58" s="1312">
        <f>J58*I58</f>
        <v>66402253.5</v>
      </c>
      <c r="L58" s="1430">
        <f t="shared" si="35"/>
        <v>66667862.513999999</v>
      </c>
      <c r="M58" s="1183">
        <v>66667862</v>
      </c>
      <c r="N58" s="1183"/>
      <c r="O58" s="1183">
        <f t="shared" si="36"/>
        <v>66667862</v>
      </c>
      <c r="P58" s="1183"/>
      <c r="Q58" s="1314"/>
      <c r="R58" s="1314"/>
      <c r="S58" s="1314">
        <f t="shared" si="37"/>
        <v>0</v>
      </c>
      <c r="T58" s="1314"/>
      <c r="U58" s="1315">
        <f t="shared" si="38"/>
        <v>66667862</v>
      </c>
      <c r="V58" s="1083">
        <v>66667862.513999999</v>
      </c>
      <c r="W58" s="1083">
        <v>66667862</v>
      </c>
      <c r="X58" s="1083"/>
      <c r="Y58" s="1083">
        <f t="shared" si="51"/>
        <v>0.51399999856948853</v>
      </c>
      <c r="Z58" s="1083">
        <v>0.51399999856948853</v>
      </c>
      <c r="AA58" s="1083"/>
      <c r="AB58" s="1083"/>
      <c r="AC58" s="1083"/>
      <c r="AD58" s="1083"/>
      <c r="AE58" s="1083"/>
      <c r="AF58" s="1432" t="s">
        <v>6</v>
      </c>
      <c r="AG58" s="1432" t="s">
        <v>1290</v>
      </c>
    </row>
    <row r="59" spans="1:33" s="1084" customFormat="1" ht="21.75" customHeight="1">
      <c r="A59" s="1055"/>
      <c r="B59" s="1055"/>
      <c r="C59" s="1717" t="s">
        <v>439</v>
      </c>
      <c r="D59" s="1090" t="s">
        <v>211</v>
      </c>
      <c r="E59" s="1090">
        <v>83990</v>
      </c>
      <c r="F59" s="1107" t="s">
        <v>440</v>
      </c>
      <c r="G59" s="1089" t="s">
        <v>593</v>
      </c>
      <c r="H59" s="1089" t="s">
        <v>197</v>
      </c>
      <c r="I59" s="1089">
        <v>11.5</v>
      </c>
      <c r="J59" s="1442">
        <v>5774109</v>
      </c>
      <c r="K59" s="1305">
        <f>J59*I59</f>
        <v>66402253.5</v>
      </c>
      <c r="L59" s="1435">
        <f t="shared" ref="L59" si="57">+K59*1.004</f>
        <v>66667862.513999999</v>
      </c>
      <c r="M59" s="1306">
        <f>+L59-M58</f>
        <v>0.51399999856948853</v>
      </c>
      <c r="N59" s="1306"/>
      <c r="O59" s="1306">
        <f t="shared" ref="O59" si="58">+M59+N59</f>
        <v>0.51399999856948853</v>
      </c>
      <c r="P59" s="1306"/>
      <c r="Q59" s="1308"/>
      <c r="R59" s="1308"/>
      <c r="S59" s="1308">
        <f t="shared" ref="S59" si="59">SUM(P59:R59)</f>
        <v>0</v>
      </c>
      <c r="T59" s="1308"/>
      <c r="U59" s="1309">
        <f t="shared" ref="U59" si="60">+O59+S59+T59</f>
        <v>0.51399999856948853</v>
      </c>
      <c r="V59" s="1085">
        <v>66667862.513999999</v>
      </c>
      <c r="W59" s="1085">
        <v>66667862</v>
      </c>
      <c r="X59" s="1085"/>
      <c r="Y59" s="1085">
        <f t="shared" ref="Y59" si="61">+V59-W59</f>
        <v>0.51399999856948853</v>
      </c>
      <c r="Z59" s="1085">
        <v>0.51399999856948853</v>
      </c>
      <c r="AA59" s="1085"/>
      <c r="AB59" s="1085"/>
      <c r="AC59" s="1085"/>
      <c r="AD59" s="1085"/>
      <c r="AE59" s="1085"/>
      <c r="AF59" s="1427" t="s">
        <v>6</v>
      </c>
      <c r="AG59" s="1427" t="s">
        <v>1290</v>
      </c>
    </row>
    <row r="60" spans="1:33" s="1080" customFormat="1" ht="21.75" customHeight="1">
      <c r="A60" s="1055"/>
      <c r="B60" s="1055"/>
      <c r="C60" s="1510" t="s">
        <v>441</v>
      </c>
      <c r="D60" s="1096" t="s">
        <v>211</v>
      </c>
      <c r="E60" s="1096">
        <v>83990</v>
      </c>
      <c r="F60" s="1115" t="s">
        <v>563</v>
      </c>
      <c r="G60" s="1095" t="s">
        <v>593</v>
      </c>
      <c r="H60" s="1095" t="s">
        <v>197</v>
      </c>
      <c r="I60" s="1095">
        <v>5.75</v>
      </c>
      <c r="J60" s="1439">
        <f>7000000*1.1088</f>
        <v>7761600</v>
      </c>
      <c r="K60" s="1440">
        <f t="shared" ref="K60:K70" si="62">+J60*I60</f>
        <v>44629200</v>
      </c>
      <c r="L60" s="1430">
        <f t="shared" si="35"/>
        <v>44807716.799999997</v>
      </c>
      <c r="M60" s="1183">
        <f>+L60</f>
        <v>44807716.799999997</v>
      </c>
      <c r="N60" s="1183"/>
      <c r="O60" s="1183">
        <f t="shared" si="36"/>
        <v>44807716.799999997</v>
      </c>
      <c r="P60" s="1183"/>
      <c r="Q60" s="1314"/>
      <c r="R60" s="1314"/>
      <c r="S60" s="1314">
        <f t="shared" si="37"/>
        <v>0</v>
      </c>
      <c r="T60" s="1314"/>
      <c r="U60" s="1315">
        <f t="shared" si="38"/>
        <v>44807716.799999997</v>
      </c>
      <c r="V60" s="1083">
        <v>44807716.799999997</v>
      </c>
      <c r="W60" s="1083">
        <v>44807717</v>
      </c>
      <c r="X60" s="1083"/>
      <c r="Y60" s="1083">
        <f t="shared" si="51"/>
        <v>-0.20000000298023224</v>
      </c>
      <c r="Z60" s="1083"/>
      <c r="AA60" s="1083"/>
      <c r="AB60" s="1083"/>
      <c r="AC60" s="1083"/>
      <c r="AD60" s="1083"/>
      <c r="AE60" s="1083"/>
      <c r="AF60" s="1432" t="s">
        <v>6</v>
      </c>
      <c r="AG60" s="1432" t="s">
        <v>1290</v>
      </c>
    </row>
    <row r="61" spans="1:33" s="1444" customFormat="1" ht="21.75" customHeight="1">
      <c r="A61" s="1055"/>
      <c r="B61" s="1055"/>
      <c r="C61" s="1511" t="s">
        <v>436</v>
      </c>
      <c r="D61" s="1096" t="s">
        <v>211</v>
      </c>
      <c r="E61" s="1096">
        <v>83990</v>
      </c>
      <c r="F61" s="1115" t="s">
        <v>437</v>
      </c>
      <c r="G61" s="1095" t="s">
        <v>593</v>
      </c>
      <c r="H61" s="1095" t="s">
        <v>197</v>
      </c>
      <c r="I61" s="1095">
        <v>11.5</v>
      </c>
      <c r="J61" s="1441">
        <v>5774109</v>
      </c>
      <c r="K61" s="1312">
        <f t="shared" si="62"/>
        <v>66402253.5</v>
      </c>
      <c r="L61" s="1430">
        <f t="shared" si="35"/>
        <v>66667862.513999999</v>
      </c>
      <c r="M61" s="1183">
        <v>66667863</v>
      </c>
      <c r="N61" s="1183"/>
      <c r="O61" s="1183">
        <f t="shared" si="36"/>
        <v>66667863</v>
      </c>
      <c r="P61" s="1183"/>
      <c r="Q61" s="1314"/>
      <c r="R61" s="1314"/>
      <c r="S61" s="1314">
        <f t="shared" si="37"/>
        <v>0</v>
      </c>
      <c r="T61" s="1314"/>
      <c r="U61" s="1315">
        <f t="shared" si="38"/>
        <v>66667863</v>
      </c>
      <c r="V61" s="1443">
        <v>66667863</v>
      </c>
      <c r="W61" s="1443">
        <v>66667863</v>
      </c>
      <c r="X61" s="1443"/>
      <c r="Y61" s="1083">
        <f t="shared" si="51"/>
        <v>0</v>
      </c>
      <c r="Z61" s="1443"/>
      <c r="AA61" s="1443"/>
      <c r="AB61" s="1443"/>
      <c r="AC61" s="1443"/>
      <c r="AD61" s="1443"/>
      <c r="AE61" s="1443"/>
      <c r="AF61" s="1432" t="s">
        <v>6</v>
      </c>
      <c r="AG61" s="1432" t="s">
        <v>1290</v>
      </c>
    </row>
    <row r="62" spans="1:33" s="1444" customFormat="1" ht="21.75" customHeight="1">
      <c r="A62" s="1055"/>
      <c r="B62" s="1055"/>
      <c r="C62" s="1511" t="s">
        <v>927</v>
      </c>
      <c r="D62" s="1096" t="s">
        <v>211</v>
      </c>
      <c r="E62" s="1096">
        <v>83990</v>
      </c>
      <c r="F62" s="1115" t="s">
        <v>949</v>
      </c>
      <c r="G62" s="1095" t="s">
        <v>907</v>
      </c>
      <c r="H62" s="1095" t="s">
        <v>197</v>
      </c>
      <c r="I62" s="1095">
        <v>8</v>
      </c>
      <c r="J62" s="1312">
        <f>4300000</f>
        <v>4300000</v>
      </c>
      <c r="K62" s="1312">
        <f t="shared" si="62"/>
        <v>34400000</v>
      </c>
      <c r="L62" s="1430">
        <f t="shared" si="35"/>
        <v>34537600</v>
      </c>
      <c r="M62" s="1183">
        <f>38854800-4317200</f>
        <v>34537600</v>
      </c>
      <c r="N62" s="1183"/>
      <c r="O62" s="1183">
        <f t="shared" si="36"/>
        <v>34537600</v>
      </c>
      <c r="P62" s="1183"/>
      <c r="Q62" s="1314"/>
      <c r="R62" s="1314"/>
      <c r="S62" s="1314">
        <f t="shared" si="37"/>
        <v>0</v>
      </c>
      <c r="T62" s="1314"/>
      <c r="U62" s="1315">
        <f t="shared" si="38"/>
        <v>34537600</v>
      </c>
      <c r="V62" s="1083">
        <v>34537600</v>
      </c>
      <c r="W62" s="1443">
        <v>34537600</v>
      </c>
      <c r="X62" s="1443">
        <v>34537600</v>
      </c>
      <c r="Y62" s="1083">
        <f t="shared" si="5"/>
        <v>0</v>
      </c>
      <c r="Z62" s="1443"/>
      <c r="AA62" s="1443"/>
      <c r="AB62" s="1443"/>
      <c r="AC62" s="1443"/>
      <c r="AD62" s="1443"/>
      <c r="AE62" s="1443"/>
      <c r="AF62" s="1432" t="s">
        <v>6</v>
      </c>
      <c r="AG62" s="1432" t="s">
        <v>1290</v>
      </c>
    </row>
    <row r="63" spans="1:33" s="1444" customFormat="1" ht="21.75" customHeight="1">
      <c r="A63" s="1055"/>
      <c r="B63" s="1055"/>
      <c r="C63" s="1511" t="s">
        <v>442</v>
      </c>
      <c r="D63" s="1096" t="s">
        <v>211</v>
      </c>
      <c r="E63" s="1096">
        <v>83990</v>
      </c>
      <c r="F63" s="1115" t="s">
        <v>735</v>
      </c>
      <c r="G63" s="1095" t="s">
        <v>738</v>
      </c>
      <c r="H63" s="1095" t="s">
        <v>197</v>
      </c>
      <c r="I63" s="1095">
        <v>5.5</v>
      </c>
      <c r="J63" s="1450">
        <v>2443636.3908004346</v>
      </c>
      <c r="K63" s="1312">
        <f t="shared" si="62"/>
        <v>13440000.149402391</v>
      </c>
      <c r="L63" s="1430">
        <f t="shared" si="35"/>
        <v>13493760.15</v>
      </c>
      <c r="M63" s="1183">
        <f>13493760+0.15</f>
        <v>13493760.15</v>
      </c>
      <c r="N63" s="1183"/>
      <c r="O63" s="1183">
        <f t="shared" si="36"/>
        <v>13493760.15</v>
      </c>
      <c r="P63" s="1183"/>
      <c r="Q63" s="1314"/>
      <c r="R63" s="1314"/>
      <c r="S63" s="1314">
        <f t="shared" si="37"/>
        <v>0</v>
      </c>
      <c r="T63" s="1314"/>
      <c r="U63" s="1315">
        <f t="shared" si="38"/>
        <v>13493760.15</v>
      </c>
      <c r="V63" s="1083">
        <v>13493760.15</v>
      </c>
      <c r="W63" s="1443">
        <v>13493760</v>
      </c>
      <c r="X63" s="1443">
        <v>13493760</v>
      </c>
      <c r="Y63" s="1083">
        <f t="shared" si="5"/>
        <v>0.15000000037252903</v>
      </c>
      <c r="Z63" s="1443"/>
      <c r="AA63" s="1443"/>
      <c r="AB63" s="1443"/>
      <c r="AC63" s="1443"/>
      <c r="AD63" s="1443"/>
      <c r="AE63" s="1443"/>
      <c r="AF63" s="1432" t="s">
        <v>6</v>
      </c>
      <c r="AG63" s="1432" t="s">
        <v>1290</v>
      </c>
    </row>
    <row r="64" spans="1:33" s="1444" customFormat="1" ht="21.75" customHeight="1">
      <c r="A64" s="1055"/>
      <c r="B64" s="1055"/>
      <c r="C64" s="1511" t="s">
        <v>727</v>
      </c>
      <c r="D64" s="1096" t="s">
        <v>211</v>
      </c>
      <c r="E64" s="1096">
        <v>83990</v>
      </c>
      <c r="F64" s="1115" t="s">
        <v>736</v>
      </c>
      <c r="G64" s="1095" t="s">
        <v>738</v>
      </c>
      <c r="H64" s="1095" t="s">
        <v>197</v>
      </c>
      <c r="I64" s="1095">
        <v>11</v>
      </c>
      <c r="J64" s="1429">
        <v>3600000</v>
      </c>
      <c r="K64" s="1312">
        <f t="shared" si="62"/>
        <v>39600000</v>
      </c>
      <c r="L64" s="1430">
        <f t="shared" si="35"/>
        <v>39758400</v>
      </c>
      <c r="M64" s="1183">
        <f>+L64</f>
        <v>39758400</v>
      </c>
      <c r="N64" s="1183"/>
      <c r="O64" s="1183">
        <f t="shared" si="36"/>
        <v>39758400</v>
      </c>
      <c r="P64" s="1183"/>
      <c r="Q64" s="1314"/>
      <c r="R64" s="1314"/>
      <c r="S64" s="1314">
        <f t="shared" si="37"/>
        <v>0</v>
      </c>
      <c r="T64" s="1314"/>
      <c r="U64" s="1315">
        <f t="shared" si="38"/>
        <v>39758400</v>
      </c>
      <c r="V64" s="1083">
        <v>39758400</v>
      </c>
      <c r="W64" s="1443">
        <v>39758400</v>
      </c>
      <c r="X64" s="1443">
        <v>39758400</v>
      </c>
      <c r="Y64" s="1083">
        <f t="shared" si="5"/>
        <v>0</v>
      </c>
      <c r="Z64" s="1443"/>
      <c r="AA64" s="1443"/>
      <c r="AB64" s="1443"/>
      <c r="AC64" s="1443"/>
      <c r="AD64" s="1443"/>
      <c r="AE64" s="1443"/>
      <c r="AF64" s="1432" t="s">
        <v>6</v>
      </c>
      <c r="AG64" s="1432" t="s">
        <v>1290</v>
      </c>
    </row>
    <row r="65" spans="1:47" s="1444" customFormat="1" ht="21.75" customHeight="1">
      <c r="A65" s="1055"/>
      <c r="B65" s="1055"/>
      <c r="C65" s="1511" t="s">
        <v>840</v>
      </c>
      <c r="D65" s="1096" t="s">
        <v>211</v>
      </c>
      <c r="E65" s="1096">
        <v>83990</v>
      </c>
      <c r="F65" s="1115" t="s">
        <v>839</v>
      </c>
      <c r="G65" s="1095" t="s">
        <v>738</v>
      </c>
      <c r="H65" s="1095" t="s">
        <v>197</v>
      </c>
      <c r="I65" s="1095">
        <v>4</v>
      </c>
      <c r="J65" s="1429">
        <v>9491328</v>
      </c>
      <c r="K65" s="1312">
        <f t="shared" si="62"/>
        <v>37965312</v>
      </c>
      <c r="L65" s="1430">
        <f t="shared" si="35"/>
        <v>38117173.248000003</v>
      </c>
      <c r="M65" s="1183">
        <f>+L65</f>
        <v>38117173.248000003</v>
      </c>
      <c r="N65" s="1183"/>
      <c r="O65" s="1183">
        <f t="shared" si="36"/>
        <v>38117173.248000003</v>
      </c>
      <c r="P65" s="1183"/>
      <c r="Q65" s="1314"/>
      <c r="R65" s="1314"/>
      <c r="S65" s="1314">
        <f t="shared" si="37"/>
        <v>0</v>
      </c>
      <c r="T65" s="1314"/>
      <c r="U65" s="1315">
        <f t="shared" si="38"/>
        <v>38117173.248000003</v>
      </c>
      <c r="V65" s="1083">
        <v>38117173.248000003</v>
      </c>
      <c r="W65" s="1443">
        <v>38117173</v>
      </c>
      <c r="X65" s="1443">
        <v>38117173</v>
      </c>
      <c r="Y65" s="1083">
        <f t="shared" si="5"/>
        <v>0.24800000339746475</v>
      </c>
      <c r="Z65" s="1443"/>
      <c r="AA65" s="1443"/>
      <c r="AB65" s="1443"/>
      <c r="AC65" s="1443"/>
      <c r="AD65" s="1443"/>
      <c r="AE65" s="1443"/>
      <c r="AF65" s="1432" t="s">
        <v>6</v>
      </c>
      <c r="AG65" s="1432" t="s">
        <v>1290</v>
      </c>
    </row>
    <row r="66" spans="1:47" s="1444" customFormat="1" ht="21.75" customHeight="1">
      <c r="A66" s="1055"/>
      <c r="B66" s="1055"/>
      <c r="C66" s="1511" t="s">
        <v>842</v>
      </c>
      <c r="D66" s="1096" t="s">
        <v>211</v>
      </c>
      <c r="E66" s="1096">
        <v>83990</v>
      </c>
      <c r="F66" s="1115" t="s">
        <v>841</v>
      </c>
      <c r="G66" s="1095" t="s">
        <v>738</v>
      </c>
      <c r="H66" s="1095" t="s">
        <v>197</v>
      </c>
      <c r="I66" s="1095">
        <v>4</v>
      </c>
      <c r="J66" s="1429">
        <v>6064820</v>
      </c>
      <c r="K66" s="1312">
        <f t="shared" ref="K66" si="63">+J66*I66</f>
        <v>24259280</v>
      </c>
      <c r="L66" s="1430">
        <f t="shared" ref="L66" si="64">+K66*1.004</f>
        <v>24356317.120000001</v>
      </c>
      <c r="M66" s="1183">
        <v>24356316</v>
      </c>
      <c r="N66" s="1183"/>
      <c r="O66" s="1183">
        <f t="shared" ref="O66" si="65">+M66+N66</f>
        <v>24356316</v>
      </c>
      <c r="P66" s="1183"/>
      <c r="Q66" s="1314"/>
      <c r="R66" s="1314"/>
      <c r="S66" s="1314">
        <f t="shared" ref="S66" si="66">SUM(P66:R66)</f>
        <v>0</v>
      </c>
      <c r="T66" s="1314"/>
      <c r="U66" s="1315">
        <f t="shared" ref="U66" si="67">+O66+S66+T66</f>
        <v>24356316</v>
      </c>
      <c r="V66" s="1083">
        <v>24356317.120000001</v>
      </c>
      <c r="W66" s="1199">
        <v>24356316</v>
      </c>
      <c r="X66" s="1443">
        <v>24356316</v>
      </c>
      <c r="Y66" s="1083">
        <f t="shared" ref="Y66" si="68">+V66-X66</f>
        <v>1.1200000010430813</v>
      </c>
      <c r="Z66" s="1083">
        <v>1.1200000010430813</v>
      </c>
      <c r="AA66" s="1443"/>
      <c r="AB66" s="1443"/>
      <c r="AC66" s="1443"/>
      <c r="AD66" s="1443"/>
      <c r="AE66" s="1443"/>
      <c r="AF66" s="1432" t="s">
        <v>6</v>
      </c>
      <c r="AG66" s="1432" t="s">
        <v>1290</v>
      </c>
    </row>
    <row r="67" spans="1:47" s="1447" customFormat="1" ht="21.75" customHeight="1">
      <c r="A67" s="1055"/>
      <c r="B67" s="1055"/>
      <c r="C67" s="1718" t="s">
        <v>842</v>
      </c>
      <c r="D67" s="1090" t="s">
        <v>211</v>
      </c>
      <c r="E67" s="1090">
        <v>83990</v>
      </c>
      <c r="F67" s="1107" t="s">
        <v>841</v>
      </c>
      <c r="G67" s="1089" t="s">
        <v>738</v>
      </c>
      <c r="H67" s="1089" t="s">
        <v>197</v>
      </c>
      <c r="I67" s="1089">
        <v>4</v>
      </c>
      <c r="J67" s="1434">
        <v>6064820</v>
      </c>
      <c r="K67" s="1305">
        <f t="shared" si="62"/>
        <v>24259280</v>
      </c>
      <c r="L67" s="1435">
        <f t="shared" si="35"/>
        <v>24356317.120000001</v>
      </c>
      <c r="M67" s="1306">
        <f>+L67-M66</f>
        <v>1.1200000010430813</v>
      </c>
      <c r="N67" s="1306"/>
      <c r="O67" s="1306">
        <f t="shared" si="36"/>
        <v>1.1200000010430813</v>
      </c>
      <c r="P67" s="1306"/>
      <c r="Q67" s="1308"/>
      <c r="R67" s="1308"/>
      <c r="S67" s="1308">
        <f t="shared" si="37"/>
        <v>0</v>
      </c>
      <c r="T67" s="1308"/>
      <c r="U67" s="1309">
        <f t="shared" si="38"/>
        <v>1.1200000010430813</v>
      </c>
      <c r="V67" s="1085">
        <v>24356317.120000001</v>
      </c>
      <c r="W67" s="1445">
        <v>24356316</v>
      </c>
      <c r="X67" s="1446">
        <v>24356316</v>
      </c>
      <c r="Y67" s="1085">
        <f t="shared" si="5"/>
        <v>1.1200000010430813</v>
      </c>
      <c r="Z67" s="1085">
        <v>1.1200000010430813</v>
      </c>
      <c r="AA67" s="1446"/>
      <c r="AB67" s="1446"/>
      <c r="AC67" s="1446"/>
      <c r="AD67" s="1446"/>
      <c r="AE67" s="1446"/>
      <c r="AF67" s="1427" t="s">
        <v>6</v>
      </c>
      <c r="AG67" s="1427" t="s">
        <v>1290</v>
      </c>
    </row>
    <row r="68" spans="1:47" s="1080" customFormat="1" ht="21.75" customHeight="1">
      <c r="A68" s="1055"/>
      <c r="B68" s="1055"/>
      <c r="C68" s="1094" t="s">
        <v>788</v>
      </c>
      <c r="D68" s="1096" t="s">
        <v>211</v>
      </c>
      <c r="E68" s="1096">
        <v>83990</v>
      </c>
      <c r="F68" s="1310" t="s">
        <v>851</v>
      </c>
      <c r="G68" s="1311" t="s">
        <v>593</v>
      </c>
      <c r="H68" s="1095">
        <v>1</v>
      </c>
      <c r="I68" s="1095">
        <v>11</v>
      </c>
      <c r="J68" s="1312">
        <v>3600000</v>
      </c>
      <c r="K68" s="1441">
        <f t="shared" si="62"/>
        <v>39600000</v>
      </c>
      <c r="L68" s="1441">
        <f t="shared" si="35"/>
        <v>39758400</v>
      </c>
      <c r="M68" s="1313">
        <f>+L68</f>
        <v>39758400</v>
      </c>
      <c r="N68" s="1313"/>
      <c r="O68" s="1313">
        <f t="shared" si="36"/>
        <v>39758400</v>
      </c>
      <c r="P68" s="1313"/>
      <c r="Q68" s="1313"/>
      <c r="R68" s="1313"/>
      <c r="S68" s="1314">
        <f t="shared" si="37"/>
        <v>0</v>
      </c>
      <c r="T68" s="1313"/>
      <c r="U68" s="1315">
        <f t="shared" si="38"/>
        <v>39758400</v>
      </c>
      <c r="V68" s="1451">
        <v>39758400</v>
      </c>
      <c r="W68" s="1452">
        <v>39758400</v>
      </c>
      <c r="X68" s="1452">
        <v>39758400</v>
      </c>
      <c r="Y68" s="1083">
        <f t="shared" si="5"/>
        <v>0</v>
      </c>
      <c r="Z68" s="1083"/>
      <c r="AA68" s="1452"/>
      <c r="AB68" s="1452"/>
      <c r="AC68" s="1452"/>
      <c r="AD68" s="1452"/>
      <c r="AE68" s="1452"/>
      <c r="AF68" s="1453" t="s">
        <v>7</v>
      </c>
      <c r="AG68" s="1453" t="s">
        <v>1292</v>
      </c>
      <c r="AH68" s="1454"/>
      <c r="AI68" s="1454"/>
      <c r="AJ68" s="1454"/>
      <c r="AK68" s="1454"/>
      <c r="AL68" s="1454"/>
      <c r="AM68" s="1454"/>
      <c r="AN68" s="1454"/>
      <c r="AO68" s="1454"/>
    </row>
    <row r="69" spans="1:47" s="1084" customFormat="1" ht="21.75" customHeight="1">
      <c r="A69" s="1055"/>
      <c r="B69" s="1055"/>
      <c r="C69" s="1717" t="s">
        <v>728</v>
      </c>
      <c r="D69" s="1090" t="s">
        <v>211</v>
      </c>
      <c r="E69" s="1090">
        <v>83990</v>
      </c>
      <c r="F69" s="1304" t="s">
        <v>950</v>
      </c>
      <c r="G69" s="1304" t="s">
        <v>593</v>
      </c>
      <c r="H69" s="1089">
        <v>1</v>
      </c>
      <c r="I69" s="1089">
        <v>11</v>
      </c>
      <c r="J69" s="1442">
        <f>2240000*1.1088</f>
        <v>2483712</v>
      </c>
      <c r="K69" s="1442">
        <f t="shared" si="62"/>
        <v>27320832</v>
      </c>
      <c r="L69" s="1442">
        <f t="shared" si="35"/>
        <v>27430115.328000002</v>
      </c>
      <c r="M69" s="1307">
        <f>27707187-277071.671999998</f>
        <v>27430115.328000002</v>
      </c>
      <c r="N69" s="1307"/>
      <c r="O69" s="1307">
        <f t="shared" si="36"/>
        <v>27430115.328000002</v>
      </c>
      <c r="P69" s="1307"/>
      <c r="Q69" s="1307"/>
      <c r="R69" s="1307"/>
      <c r="S69" s="1308">
        <f t="shared" si="37"/>
        <v>0</v>
      </c>
      <c r="T69" s="1307"/>
      <c r="U69" s="1309">
        <f t="shared" si="38"/>
        <v>27430115.328000002</v>
      </c>
      <c r="V69" s="1521">
        <v>27430115.328000002</v>
      </c>
      <c r="W69" s="1085"/>
      <c r="X69" s="1085"/>
      <c r="Y69" s="1085">
        <f t="shared" si="5"/>
        <v>27430115.328000002</v>
      </c>
      <c r="Z69" s="1085">
        <v>27430115.328000002</v>
      </c>
      <c r="AA69" s="1085"/>
      <c r="AB69" s="1085"/>
      <c r="AC69" s="1085"/>
      <c r="AD69" s="1085"/>
      <c r="AE69" s="1085"/>
      <c r="AF69" s="1522" t="s">
        <v>7</v>
      </c>
      <c r="AG69" s="1522" t="s">
        <v>1292</v>
      </c>
    </row>
    <row r="70" spans="1:47" s="1080" customFormat="1" ht="21.75" customHeight="1">
      <c r="A70" s="1055"/>
      <c r="B70" s="1055"/>
      <c r="C70" s="1094" t="s">
        <v>789</v>
      </c>
      <c r="D70" s="1096" t="s">
        <v>211</v>
      </c>
      <c r="E70" s="1096">
        <v>83990</v>
      </c>
      <c r="F70" s="1310" t="s">
        <v>812</v>
      </c>
      <c r="G70" s="1311" t="s">
        <v>593</v>
      </c>
      <c r="H70" s="1095" t="s">
        <v>595</v>
      </c>
      <c r="I70" s="1095">
        <v>11</v>
      </c>
      <c r="J70" s="1312">
        <v>3600000</v>
      </c>
      <c r="K70" s="1441">
        <f t="shared" si="62"/>
        <v>39600000</v>
      </c>
      <c r="L70" s="1441">
        <f t="shared" si="35"/>
        <v>39758400</v>
      </c>
      <c r="M70" s="1313">
        <f>39758400-1204800</f>
        <v>38553600</v>
      </c>
      <c r="N70" s="1313"/>
      <c r="O70" s="1313">
        <f t="shared" si="36"/>
        <v>38553600</v>
      </c>
      <c r="P70" s="1313"/>
      <c r="Q70" s="1313"/>
      <c r="R70" s="1313"/>
      <c r="S70" s="1314">
        <f t="shared" si="37"/>
        <v>0</v>
      </c>
      <c r="T70" s="1313"/>
      <c r="U70" s="1315">
        <f t="shared" si="38"/>
        <v>38553600</v>
      </c>
      <c r="V70" s="1083">
        <v>38553600</v>
      </c>
      <c r="W70" s="1083">
        <v>38553600</v>
      </c>
      <c r="X70" s="1083">
        <v>38553600</v>
      </c>
      <c r="Y70" s="1083">
        <f t="shared" si="5"/>
        <v>0</v>
      </c>
      <c r="Z70" s="1083"/>
      <c r="AA70" s="1452"/>
      <c r="AB70" s="1452"/>
      <c r="AC70" s="1452"/>
      <c r="AD70" s="1452"/>
      <c r="AE70" s="1452"/>
      <c r="AF70" s="1463" t="s">
        <v>241</v>
      </c>
      <c r="AG70" s="1463" t="s">
        <v>1295</v>
      </c>
      <c r="AH70" s="1464"/>
      <c r="AI70" s="1464"/>
      <c r="AJ70" s="1464"/>
      <c r="AK70" s="1464"/>
      <c r="AL70" s="1464"/>
      <c r="AM70" s="1464"/>
      <c r="AN70" s="1464"/>
      <c r="AO70" s="1464"/>
      <c r="AP70" s="1465"/>
      <c r="AQ70" s="1465"/>
      <c r="AR70" s="1465"/>
      <c r="AS70" s="1465"/>
      <c r="AT70" s="1465"/>
      <c r="AU70" s="1351"/>
    </row>
    <row r="71" spans="1:47" s="1080" customFormat="1" ht="21.75" customHeight="1">
      <c r="A71" s="1055"/>
      <c r="B71" s="1055"/>
      <c r="C71" s="1094" t="s">
        <v>908</v>
      </c>
      <c r="D71" s="1096" t="s">
        <v>211</v>
      </c>
      <c r="E71" s="1096">
        <v>83990</v>
      </c>
      <c r="F71" s="1310" t="s">
        <v>952</v>
      </c>
      <c r="G71" s="1311" t="s">
        <v>907</v>
      </c>
      <c r="H71" s="1095" t="s">
        <v>595</v>
      </c>
      <c r="I71" s="1095">
        <v>9</v>
      </c>
      <c r="J71" s="1312">
        <f>2145594</f>
        <v>2145594</v>
      </c>
      <c r="K71" s="1312">
        <f>+J71/1.004</f>
        <v>2137045.8167330679</v>
      </c>
      <c r="L71" s="1471">
        <f>+K71*I71*1.004</f>
        <v>19310346.000000004</v>
      </c>
      <c r="M71" s="1313">
        <v>15018836</v>
      </c>
      <c r="N71" s="1313"/>
      <c r="O71" s="1313">
        <f t="shared" ref="O71" si="69">+M71+N71</f>
        <v>15018836</v>
      </c>
      <c r="P71" s="1313"/>
      <c r="Q71" s="1313"/>
      <c r="R71" s="1313"/>
      <c r="S71" s="1314">
        <f t="shared" ref="S71" si="70">SUM(P71:R71)</f>
        <v>0</v>
      </c>
      <c r="T71" s="1313"/>
      <c r="U71" s="1315">
        <f t="shared" ref="U71" si="71">+O71+S71+T71</f>
        <v>15018836</v>
      </c>
      <c r="V71" s="1083">
        <v>19310348.000000004</v>
      </c>
      <c r="W71" s="1083">
        <v>17164384</v>
      </c>
      <c r="X71" s="1083"/>
      <c r="Y71" s="1083">
        <f>+V71-W71</f>
        <v>2145964.0000000037</v>
      </c>
      <c r="Z71" s="1083">
        <v>2145964.0000000037</v>
      </c>
      <c r="AA71" s="1452"/>
      <c r="AB71" s="1452"/>
      <c r="AC71" s="1452"/>
      <c r="AD71" s="1452"/>
      <c r="AE71" s="1452"/>
      <c r="AF71" s="1463" t="s">
        <v>241</v>
      </c>
      <c r="AG71" s="1463" t="s">
        <v>1295</v>
      </c>
      <c r="AH71" s="1464"/>
      <c r="AI71" s="1464"/>
      <c r="AJ71" s="1464"/>
      <c r="AK71" s="1464"/>
      <c r="AL71" s="1464"/>
      <c r="AM71" s="1464"/>
      <c r="AN71" s="1464"/>
      <c r="AO71" s="1464"/>
      <c r="AP71" s="1465"/>
      <c r="AQ71" s="1465"/>
      <c r="AR71" s="1465"/>
      <c r="AS71" s="1465"/>
      <c r="AT71" s="1465"/>
      <c r="AU71" s="1351"/>
    </row>
    <row r="72" spans="1:47" s="1084" customFormat="1" ht="21.75" customHeight="1">
      <c r="A72" s="1055"/>
      <c r="B72" s="1055"/>
      <c r="C72" s="1088" t="s">
        <v>908</v>
      </c>
      <c r="D72" s="1090" t="s">
        <v>211</v>
      </c>
      <c r="E72" s="1090">
        <v>83990</v>
      </c>
      <c r="F72" s="1303" t="s">
        <v>952</v>
      </c>
      <c r="G72" s="1304" t="s">
        <v>907</v>
      </c>
      <c r="H72" s="1089" t="s">
        <v>595</v>
      </c>
      <c r="I72" s="1089">
        <v>9</v>
      </c>
      <c r="J72" s="1305">
        <f>2145594</f>
        <v>2145594</v>
      </c>
      <c r="K72" s="1305">
        <f>+J72/1.004</f>
        <v>2137045.8167330679</v>
      </c>
      <c r="L72" s="1472">
        <f>+K72*I72*1.004</f>
        <v>19310346.000000004</v>
      </c>
      <c r="M72" s="1307">
        <f>19310348-M71</f>
        <v>4291512</v>
      </c>
      <c r="N72" s="1307"/>
      <c r="O72" s="1307">
        <f t="shared" si="36"/>
        <v>4291512</v>
      </c>
      <c r="P72" s="1307"/>
      <c r="Q72" s="1307"/>
      <c r="R72" s="1307"/>
      <c r="S72" s="1308">
        <f t="shared" si="37"/>
        <v>0</v>
      </c>
      <c r="T72" s="1307"/>
      <c r="U72" s="1309">
        <f t="shared" si="38"/>
        <v>4291512</v>
      </c>
      <c r="V72" s="1085">
        <v>19310348.000000004</v>
      </c>
      <c r="W72" s="1085">
        <v>17164384</v>
      </c>
      <c r="X72" s="1085"/>
      <c r="Y72" s="1085">
        <f>+V72-W72</f>
        <v>2145964.0000000037</v>
      </c>
      <c r="Z72" s="1085">
        <v>2145964.0000000037</v>
      </c>
      <c r="AA72" s="1473"/>
      <c r="AB72" s="1473"/>
      <c r="AC72" s="1473"/>
      <c r="AD72" s="1473"/>
      <c r="AE72" s="1473"/>
      <c r="AF72" s="1474" t="s">
        <v>241</v>
      </c>
      <c r="AG72" s="1474" t="s">
        <v>1295</v>
      </c>
      <c r="AH72" s="1475"/>
      <c r="AI72" s="1475"/>
      <c r="AJ72" s="1475"/>
      <c r="AK72" s="1475"/>
      <c r="AL72" s="1475"/>
      <c r="AM72" s="1475"/>
      <c r="AN72" s="1475"/>
      <c r="AO72" s="1475"/>
      <c r="AP72" s="1476"/>
      <c r="AQ72" s="1476"/>
      <c r="AR72" s="1476"/>
      <c r="AS72" s="1476"/>
      <c r="AT72" s="1476"/>
      <c r="AU72" s="1354"/>
    </row>
    <row r="73" spans="1:47" s="1080" customFormat="1" ht="21.75" customHeight="1">
      <c r="A73" s="1055"/>
      <c r="B73" s="1055"/>
      <c r="C73" s="1094" t="s">
        <v>718</v>
      </c>
      <c r="D73" s="1096" t="s">
        <v>211</v>
      </c>
      <c r="E73" s="1096">
        <v>83990</v>
      </c>
      <c r="F73" s="1310" t="s">
        <v>813</v>
      </c>
      <c r="G73" s="1311" t="s">
        <v>738</v>
      </c>
      <c r="H73" s="1095"/>
      <c r="I73" s="1095"/>
      <c r="J73" s="1312"/>
      <c r="K73" s="1312"/>
      <c r="L73" s="1471"/>
      <c r="M73" s="1313">
        <f>65000000-17691520</f>
        <v>47308480</v>
      </c>
      <c r="N73" s="1313"/>
      <c r="O73" s="1313">
        <f t="shared" si="36"/>
        <v>47308480</v>
      </c>
      <c r="P73" s="1313"/>
      <c r="Q73" s="1313"/>
      <c r="R73" s="1313"/>
      <c r="S73" s="1314">
        <f t="shared" si="37"/>
        <v>0</v>
      </c>
      <c r="T73" s="1313"/>
      <c r="U73" s="1315">
        <f t="shared" si="38"/>
        <v>47308480</v>
      </c>
      <c r="V73" s="1083">
        <v>47308480</v>
      </c>
      <c r="W73" s="1083">
        <v>47308480</v>
      </c>
      <c r="X73" s="1083">
        <v>47308480</v>
      </c>
      <c r="Y73" s="1083">
        <f t="shared" si="5"/>
        <v>0</v>
      </c>
      <c r="Z73" s="1452"/>
      <c r="AA73" s="1452"/>
      <c r="AB73" s="1452"/>
      <c r="AC73" s="1452"/>
      <c r="AD73" s="1452"/>
      <c r="AE73" s="1452"/>
      <c r="AF73" s="1463" t="s">
        <v>241</v>
      </c>
      <c r="AG73" s="1463" t="s">
        <v>1295</v>
      </c>
      <c r="AH73" s="1464"/>
      <c r="AI73" s="1464"/>
      <c r="AJ73" s="1464"/>
      <c r="AK73" s="1464"/>
      <c r="AL73" s="1464"/>
      <c r="AM73" s="1464"/>
      <c r="AN73" s="1464"/>
      <c r="AO73" s="1464"/>
      <c r="AP73" s="1465"/>
      <c r="AQ73" s="1465"/>
      <c r="AR73" s="1465"/>
      <c r="AS73" s="1465"/>
      <c r="AT73" s="1465"/>
      <c r="AU73" s="1351"/>
    </row>
    <row r="74" spans="1:47" s="1080" customFormat="1" ht="21.75" customHeight="1">
      <c r="A74" s="1055"/>
      <c r="B74" s="1055"/>
      <c r="C74" s="1094" t="s">
        <v>814</v>
      </c>
      <c r="D74" s="1096" t="s">
        <v>211</v>
      </c>
      <c r="E74" s="1096">
        <v>83990</v>
      </c>
      <c r="F74" s="1310" t="s">
        <v>951</v>
      </c>
      <c r="G74" s="1311"/>
      <c r="H74" s="1095"/>
      <c r="I74" s="1095"/>
      <c r="J74" s="1312"/>
      <c r="K74" s="1312"/>
      <c r="L74" s="1471"/>
      <c r="M74" s="1313">
        <f>4850615+5020000+5020000+5020000</f>
        <v>19910615</v>
      </c>
      <c r="N74" s="1313"/>
      <c r="O74" s="1313">
        <f t="shared" ref="O74" si="72">+M74+N74</f>
        <v>19910615</v>
      </c>
      <c r="P74" s="1313">
        <v>5000000</v>
      </c>
      <c r="Q74" s="1313">
        <v>15000000</v>
      </c>
      <c r="R74" s="1313"/>
      <c r="S74" s="1314">
        <f t="shared" ref="S74" si="73">SUM(P74:R74)</f>
        <v>20000000</v>
      </c>
      <c r="T74" s="1313"/>
      <c r="U74" s="1315">
        <f t="shared" ref="U74" si="74">+O74+S74+T74</f>
        <v>39910615</v>
      </c>
      <c r="V74" s="1083">
        <v>40080000</v>
      </c>
      <c r="W74" s="1083">
        <v>19910615</v>
      </c>
      <c r="X74" s="1083">
        <v>19910615</v>
      </c>
      <c r="Y74" s="1083">
        <f t="shared" ref="Y74" si="75">+V74-X74</f>
        <v>20169385</v>
      </c>
      <c r="Z74" s="1452">
        <v>169385</v>
      </c>
      <c r="AA74" s="1452"/>
      <c r="AB74" s="1452">
        <v>5000000</v>
      </c>
      <c r="AC74" s="1452">
        <v>15000000</v>
      </c>
      <c r="AD74" s="1452"/>
      <c r="AE74" s="1452"/>
      <c r="AF74" s="1463" t="s">
        <v>241</v>
      </c>
      <c r="AG74" s="1463" t="s">
        <v>1295</v>
      </c>
      <c r="AH74" s="1464"/>
      <c r="AI74" s="1464"/>
      <c r="AJ74" s="1464"/>
      <c r="AK74" s="1464"/>
      <c r="AL74" s="1464"/>
      <c r="AM74" s="1464"/>
      <c r="AN74" s="1464"/>
      <c r="AO74" s="1464"/>
      <c r="AP74" s="1465"/>
      <c r="AQ74" s="1465"/>
      <c r="AR74" s="1465"/>
      <c r="AS74" s="1465"/>
      <c r="AT74" s="1465"/>
      <c r="AU74" s="1351"/>
    </row>
    <row r="75" spans="1:47" s="1084" customFormat="1" ht="21.75" customHeight="1">
      <c r="A75" s="1055"/>
      <c r="B75" s="1055"/>
      <c r="C75" s="1088" t="s">
        <v>814</v>
      </c>
      <c r="D75" s="1090" t="s">
        <v>211</v>
      </c>
      <c r="E75" s="1090">
        <v>83990</v>
      </c>
      <c r="F75" s="1303" t="s">
        <v>951</v>
      </c>
      <c r="G75" s="1304"/>
      <c r="H75" s="1089"/>
      <c r="I75" s="1089"/>
      <c r="J75" s="1305"/>
      <c r="K75" s="1305"/>
      <c r="L75" s="1472"/>
      <c r="M75" s="1307">
        <f>20000000*1.004-M74</f>
        <v>169385</v>
      </c>
      <c r="N75" s="1307"/>
      <c r="O75" s="1307">
        <f t="shared" si="36"/>
        <v>169385</v>
      </c>
      <c r="P75" s="1307">
        <f>5000000-P74</f>
        <v>0</v>
      </c>
      <c r="Q75" s="1307">
        <f>15000000-Q74</f>
        <v>0</v>
      </c>
      <c r="R75" s="1307"/>
      <c r="S75" s="1308">
        <f t="shared" si="37"/>
        <v>0</v>
      </c>
      <c r="T75" s="1307"/>
      <c r="U75" s="1309">
        <f t="shared" si="38"/>
        <v>169385</v>
      </c>
      <c r="V75" s="1085">
        <v>40080000</v>
      </c>
      <c r="W75" s="1085">
        <v>19910615</v>
      </c>
      <c r="X75" s="1085">
        <v>19910615</v>
      </c>
      <c r="Y75" s="1085">
        <f t="shared" si="5"/>
        <v>20169385</v>
      </c>
      <c r="Z75" s="1473">
        <v>169385</v>
      </c>
      <c r="AA75" s="1473"/>
      <c r="AB75" s="1473">
        <v>5000000</v>
      </c>
      <c r="AC75" s="1473">
        <v>15000000</v>
      </c>
      <c r="AD75" s="1473"/>
      <c r="AE75" s="1473"/>
      <c r="AF75" s="1474" t="s">
        <v>241</v>
      </c>
      <c r="AG75" s="1474" t="s">
        <v>1295</v>
      </c>
      <c r="AH75" s="1475"/>
      <c r="AI75" s="1475"/>
      <c r="AJ75" s="1475"/>
      <c r="AK75" s="1475"/>
      <c r="AL75" s="1475"/>
      <c r="AM75" s="1475"/>
      <c r="AN75" s="1475"/>
      <c r="AO75" s="1475"/>
      <c r="AP75" s="1476"/>
      <c r="AQ75" s="1476"/>
      <c r="AR75" s="1476"/>
      <c r="AS75" s="1476"/>
      <c r="AT75" s="1476"/>
      <c r="AU75" s="1354"/>
    </row>
    <row r="76" spans="1:47" s="1080" customFormat="1" ht="21.75" customHeight="1">
      <c r="A76" s="1055"/>
      <c r="B76" s="1055"/>
      <c r="C76" s="1094" t="s">
        <v>1369</v>
      </c>
      <c r="D76" s="1096" t="s">
        <v>381</v>
      </c>
      <c r="E76" s="1455">
        <v>65119</v>
      </c>
      <c r="F76" s="1310"/>
      <c r="G76" s="1311"/>
      <c r="H76" s="1095"/>
      <c r="I76" s="1095"/>
      <c r="J76" s="1312"/>
      <c r="K76" s="1312"/>
      <c r="L76" s="1312"/>
      <c r="M76" s="1183">
        <v>12000000</v>
      </c>
      <c r="N76" s="1183"/>
      <c r="O76" s="1313">
        <f t="shared" si="36"/>
        <v>12000000</v>
      </c>
      <c r="P76" s="1313"/>
      <c r="Q76" s="1183"/>
      <c r="R76" s="1183"/>
      <c r="S76" s="1314">
        <f t="shared" ref="S76:S79" si="76">SUM(P76:R76)</f>
        <v>0</v>
      </c>
      <c r="T76" s="1183"/>
      <c r="U76" s="1315">
        <f>+O76+S76+T76</f>
        <v>12000000</v>
      </c>
      <c r="V76" s="1083">
        <v>12000000</v>
      </c>
      <c r="W76" s="1083">
        <v>12000000</v>
      </c>
      <c r="X76" s="1083"/>
      <c r="Y76" s="1083">
        <f>+V76-W76</f>
        <v>0</v>
      </c>
      <c r="Z76" s="1083"/>
      <c r="AA76" s="1083"/>
      <c r="AB76" s="1083"/>
      <c r="AC76" s="1083"/>
      <c r="AD76" s="1083"/>
      <c r="AE76" s="1083"/>
    </row>
    <row r="77" spans="1:47" s="1080" customFormat="1" ht="21.75" customHeight="1">
      <c r="A77" s="1055"/>
      <c r="B77" s="1055"/>
      <c r="C77" s="1094" t="s">
        <v>1370</v>
      </c>
      <c r="D77" s="1096" t="s">
        <v>381</v>
      </c>
      <c r="E77" s="1096">
        <v>63399</v>
      </c>
      <c r="F77" s="1310"/>
      <c r="G77" s="1311"/>
      <c r="H77" s="1095"/>
      <c r="I77" s="1095"/>
      <c r="J77" s="1312"/>
      <c r="K77" s="1312"/>
      <c r="L77" s="1312"/>
      <c r="M77" s="1183">
        <v>8000000</v>
      </c>
      <c r="N77" s="1183"/>
      <c r="O77" s="1313">
        <f t="shared" si="36"/>
        <v>8000000</v>
      </c>
      <c r="P77" s="1313"/>
      <c r="Q77" s="1183"/>
      <c r="R77" s="1183"/>
      <c r="S77" s="1314">
        <f t="shared" si="76"/>
        <v>0</v>
      </c>
      <c r="T77" s="1183"/>
      <c r="U77" s="1315">
        <f>+O77+S77+T77</f>
        <v>8000000</v>
      </c>
      <c r="V77" s="1083">
        <v>8000000</v>
      </c>
      <c r="W77" s="1083">
        <v>8000000</v>
      </c>
      <c r="X77" s="1083"/>
      <c r="Y77" s="1083">
        <f>+V77-W77</f>
        <v>0</v>
      </c>
      <c r="Z77" s="1083"/>
      <c r="AA77" s="1083"/>
      <c r="AB77" s="1083"/>
      <c r="AC77" s="1083"/>
      <c r="AD77" s="1083"/>
      <c r="AE77" s="1083"/>
    </row>
    <row r="78" spans="1:47" s="1080" customFormat="1" ht="21.75" customHeight="1" thickBot="1">
      <c r="A78" s="1055"/>
      <c r="B78" s="1055"/>
      <c r="C78" s="1099" t="s">
        <v>204</v>
      </c>
      <c r="D78" s="1316" t="s">
        <v>865</v>
      </c>
      <c r="E78" s="1316"/>
      <c r="F78" s="1317"/>
      <c r="G78" s="1318"/>
      <c r="H78" s="1100"/>
      <c r="I78" s="1100"/>
      <c r="J78" s="1319"/>
      <c r="K78" s="1319"/>
      <c r="L78" s="1319"/>
      <c r="M78" s="1320">
        <f>28427179+12531950+9250048+4077828</f>
        <v>54287005</v>
      </c>
      <c r="N78" s="1320"/>
      <c r="O78" s="1321">
        <f t="shared" ref="O78" si="77">+M78+N78</f>
        <v>54287005</v>
      </c>
      <c r="P78" s="1321"/>
      <c r="Q78" s="1320"/>
      <c r="R78" s="1320"/>
      <c r="S78" s="1322">
        <f t="shared" ref="S78" si="78">SUM(P78:R78)</f>
        <v>0</v>
      </c>
      <c r="T78" s="1320"/>
      <c r="U78" s="1323">
        <f>+O78+S78+T78</f>
        <v>54287005</v>
      </c>
      <c r="V78" s="1083">
        <f>245779.2+365119449</f>
        <v>365365228.19999999</v>
      </c>
      <c r="W78" s="1083">
        <f>245779+94169692</f>
        <v>94415471</v>
      </c>
      <c r="X78" s="1083">
        <f>40963+94169692</f>
        <v>94210655</v>
      </c>
      <c r="Y78" s="1083">
        <f t="shared" ref="Y78" si="79">+V78-X78</f>
        <v>271154573.19999999</v>
      </c>
      <c r="Z78" s="1083">
        <v>204816.2</v>
      </c>
      <c r="AA78" s="1083"/>
      <c r="AB78" s="1083"/>
      <c r="AC78" s="1083"/>
      <c r="AD78" s="1083"/>
      <c r="AE78" s="1083"/>
    </row>
    <row r="79" spans="1:47" s="1084" customFormat="1" ht="21.75" customHeight="1" thickBot="1">
      <c r="A79" s="1055"/>
      <c r="B79" s="1055"/>
      <c r="C79" s="1101" t="s">
        <v>204</v>
      </c>
      <c r="D79" s="1103" t="s">
        <v>865</v>
      </c>
      <c r="E79" s="1103"/>
      <c r="F79" s="1296"/>
      <c r="G79" s="1297"/>
      <c r="H79" s="1102"/>
      <c r="I79" s="1102"/>
      <c r="J79" s="1298"/>
      <c r="K79" s="1298"/>
      <c r="L79" s="1298"/>
      <c r="M79" s="1299">
        <f>111359535+54899625-M78</f>
        <v>111972155</v>
      </c>
      <c r="N79" s="1299"/>
      <c r="O79" s="1300">
        <f t="shared" si="36"/>
        <v>111972155</v>
      </c>
      <c r="P79" s="1300"/>
      <c r="Q79" s="1299"/>
      <c r="R79" s="1299"/>
      <c r="S79" s="1301">
        <f t="shared" si="76"/>
        <v>0</v>
      </c>
      <c r="T79" s="1299"/>
      <c r="U79" s="1302">
        <f>+O79+S79+T79</f>
        <v>111972155</v>
      </c>
      <c r="V79" s="1085">
        <f>245779.2+365119449</f>
        <v>365365228.19999999</v>
      </c>
      <c r="W79" s="1085">
        <f>245779+94169692</f>
        <v>94415471</v>
      </c>
      <c r="X79" s="1085">
        <f>40963+94169692</f>
        <v>94210655</v>
      </c>
      <c r="Y79" s="1085">
        <f t="shared" ref="Y79" si="80">+V79-X79</f>
        <v>271154573.19999999</v>
      </c>
      <c r="Z79" s="1085">
        <v>204816.2</v>
      </c>
      <c r="AA79" s="1085"/>
      <c r="AB79" s="1085"/>
      <c r="AC79" s="1085"/>
      <c r="AD79" s="1085"/>
      <c r="AE79" s="1085"/>
    </row>
    <row r="80" spans="1:47" ht="21.75" customHeight="1">
      <c r="A80" s="1866"/>
      <c r="B80" s="1866">
        <v>353</v>
      </c>
      <c r="C80" s="1850" t="s">
        <v>961</v>
      </c>
      <c r="D80" s="194"/>
      <c r="E80" s="197"/>
      <c r="F80" s="848"/>
      <c r="G80" s="197"/>
      <c r="H80" s="197" t="s">
        <v>1098</v>
      </c>
      <c r="I80" s="197">
        <v>100</v>
      </c>
      <c r="J80" s="849"/>
      <c r="K80" s="849"/>
      <c r="L80" s="850"/>
      <c r="M80" s="837">
        <f t="shared" ref="M80:U80" si="81">SUM(M81:M87)</f>
        <v>147428231.90238708</v>
      </c>
      <c r="N80" s="837">
        <f t="shared" si="81"/>
        <v>0</v>
      </c>
      <c r="O80" s="837">
        <f t="shared" si="81"/>
        <v>147428231.90238708</v>
      </c>
      <c r="P80" s="837">
        <f t="shared" si="81"/>
        <v>0</v>
      </c>
      <c r="Q80" s="837">
        <f t="shared" si="81"/>
        <v>31736591</v>
      </c>
      <c r="R80" s="837">
        <f t="shared" si="81"/>
        <v>0</v>
      </c>
      <c r="S80" s="837">
        <f t="shared" si="81"/>
        <v>31736591</v>
      </c>
      <c r="T80" s="837">
        <f t="shared" si="81"/>
        <v>0</v>
      </c>
      <c r="U80" s="838">
        <f t="shared" si="81"/>
        <v>179164822.90238708</v>
      </c>
      <c r="V80" s="1025"/>
      <c r="W80" s="1025"/>
      <c r="X80" s="1025"/>
      <c r="Y80" s="1025"/>
      <c r="Z80" s="1025"/>
      <c r="AA80" s="1025"/>
      <c r="AB80" s="1025"/>
      <c r="AC80" s="1025"/>
      <c r="AD80" s="1025"/>
      <c r="AE80" s="1025"/>
    </row>
    <row r="81" spans="1:48" s="1084" customFormat="1" ht="21.75" customHeight="1">
      <c r="A81" s="1055"/>
      <c r="B81" s="1055"/>
      <c r="C81" s="1719" t="s">
        <v>594</v>
      </c>
      <c r="D81" s="1244" t="s">
        <v>211</v>
      </c>
      <c r="E81" s="1523">
        <v>83990</v>
      </c>
      <c r="F81" s="1243"/>
      <c r="G81" s="1244" t="s">
        <v>739</v>
      </c>
      <c r="H81" s="1244" t="s">
        <v>595</v>
      </c>
      <c r="I81" s="1244">
        <v>1</v>
      </c>
      <c r="J81" s="1524">
        <v>16250000</v>
      </c>
      <c r="K81" s="1524">
        <f>+J81*I81</f>
        <v>16250000</v>
      </c>
      <c r="L81" s="1525">
        <f>+K81*1.004</f>
        <v>16315000</v>
      </c>
      <c r="M81" s="1526">
        <v>16315000</v>
      </c>
      <c r="N81" s="1527"/>
      <c r="O81" s="1528">
        <f t="shared" ref="O81:O87" si="82">+M81+N81</f>
        <v>16315000</v>
      </c>
      <c r="P81" s="1529"/>
      <c r="Q81" s="1307"/>
      <c r="R81" s="1307"/>
      <c r="S81" s="1530">
        <f t="shared" ref="S81:S87" si="83">SUM(P81:R81)</f>
        <v>0</v>
      </c>
      <c r="T81" s="1527"/>
      <c r="U81" s="1531">
        <f t="shared" ref="U81:U87" si="84">+O81+S81+T81</f>
        <v>16315000</v>
      </c>
      <c r="V81" s="1085">
        <v>16315000</v>
      </c>
      <c r="W81" s="1085"/>
      <c r="X81" s="1085"/>
      <c r="Y81" s="1085">
        <f t="shared" si="5"/>
        <v>16315000</v>
      </c>
      <c r="Z81" s="1085">
        <v>16315000</v>
      </c>
      <c r="AA81" s="1085"/>
      <c r="AB81" s="1085"/>
      <c r="AC81" s="1085"/>
      <c r="AD81" s="1085"/>
      <c r="AE81" s="1085"/>
      <c r="AF81" s="1427" t="s">
        <v>6</v>
      </c>
      <c r="AG81" s="1427" t="s">
        <v>1291</v>
      </c>
    </row>
    <row r="82" spans="1:48" s="1084" customFormat="1" ht="21.75" customHeight="1">
      <c r="A82" s="1055"/>
      <c r="B82" s="1055"/>
      <c r="C82" s="1717" t="s">
        <v>906</v>
      </c>
      <c r="D82" s="1090" t="s">
        <v>211</v>
      </c>
      <c r="E82" s="1090">
        <v>83990</v>
      </c>
      <c r="F82" s="1304" t="s">
        <v>598</v>
      </c>
      <c r="G82" s="1486" t="s">
        <v>599</v>
      </c>
      <c r="H82" s="1089" t="s">
        <v>595</v>
      </c>
      <c r="I82" s="1089">
        <v>1</v>
      </c>
      <c r="J82" s="1442">
        <v>8000000</v>
      </c>
      <c r="K82" s="1442">
        <f>+J82*I82</f>
        <v>8000000</v>
      </c>
      <c r="L82" s="1487"/>
      <c r="M82" s="1488">
        <f>+K82*1.004</f>
        <v>8032000</v>
      </c>
      <c r="N82" s="1489"/>
      <c r="O82" s="1490">
        <f t="shared" si="82"/>
        <v>8032000</v>
      </c>
      <c r="P82" s="1491"/>
      <c r="Q82" s="1307"/>
      <c r="R82" s="1307"/>
      <c r="S82" s="1492">
        <f t="shared" si="83"/>
        <v>0</v>
      </c>
      <c r="T82" s="1489"/>
      <c r="U82" s="1493">
        <f t="shared" si="84"/>
        <v>8032000</v>
      </c>
      <c r="V82" s="1085">
        <v>8032000</v>
      </c>
      <c r="W82" s="1085"/>
      <c r="X82" s="1085"/>
      <c r="Y82" s="1085">
        <f t="shared" si="5"/>
        <v>8032000</v>
      </c>
      <c r="Z82" s="1085">
        <v>8032000</v>
      </c>
      <c r="AA82" s="1085"/>
      <c r="AB82" s="1085"/>
      <c r="AC82" s="1085"/>
      <c r="AD82" s="1085"/>
      <c r="AE82" s="1085"/>
      <c r="AF82" s="1427" t="s">
        <v>6</v>
      </c>
      <c r="AG82" s="1427" t="s">
        <v>1291</v>
      </c>
    </row>
    <row r="83" spans="1:48" s="1084" customFormat="1" ht="21.75" customHeight="1">
      <c r="A83" s="1055"/>
      <c r="B83" s="1055"/>
      <c r="C83" s="1717" t="s">
        <v>596</v>
      </c>
      <c r="D83" s="1090" t="s">
        <v>211</v>
      </c>
      <c r="E83" s="1090">
        <v>83990</v>
      </c>
      <c r="F83" s="1304" t="s">
        <v>598</v>
      </c>
      <c r="G83" s="1486" t="s">
        <v>600</v>
      </c>
      <c r="H83" s="1089" t="s">
        <v>595</v>
      </c>
      <c r="I83" s="1089">
        <v>1</v>
      </c>
      <c r="J83" s="1442">
        <f>14994000*1.004</f>
        <v>15053976</v>
      </c>
      <c r="K83" s="1442">
        <f>+J83/1.004</f>
        <v>14994000</v>
      </c>
      <c r="L83" s="1487"/>
      <c r="M83" s="1488">
        <f>+K83*1.004</f>
        <v>15053976</v>
      </c>
      <c r="N83" s="1489"/>
      <c r="O83" s="1490">
        <f t="shared" si="82"/>
        <v>15053976</v>
      </c>
      <c r="P83" s="1491"/>
      <c r="Q83" s="1307"/>
      <c r="R83" s="1307"/>
      <c r="S83" s="1492">
        <f t="shared" si="83"/>
        <v>0</v>
      </c>
      <c r="T83" s="1489"/>
      <c r="U83" s="1493">
        <f t="shared" si="84"/>
        <v>15053976</v>
      </c>
      <c r="V83" s="1085">
        <v>15053976</v>
      </c>
      <c r="W83" s="1085"/>
      <c r="X83" s="1085"/>
      <c r="Y83" s="1085">
        <f t="shared" si="5"/>
        <v>15053976</v>
      </c>
      <c r="Z83" s="1085">
        <v>15053976</v>
      </c>
      <c r="AA83" s="1085"/>
      <c r="AB83" s="1085"/>
      <c r="AC83" s="1085"/>
      <c r="AD83" s="1085"/>
      <c r="AE83" s="1085"/>
      <c r="AF83" s="1427" t="s">
        <v>6</v>
      </c>
      <c r="AG83" s="1427" t="s">
        <v>1291</v>
      </c>
    </row>
    <row r="84" spans="1:48" s="1080" customFormat="1" ht="21.75" customHeight="1">
      <c r="A84" s="1055"/>
      <c r="B84" s="1055"/>
      <c r="C84" s="1510" t="s">
        <v>597</v>
      </c>
      <c r="D84" s="1096" t="s">
        <v>211</v>
      </c>
      <c r="E84" s="1096">
        <v>83990</v>
      </c>
      <c r="F84" s="1311" t="s">
        <v>598</v>
      </c>
      <c r="G84" s="1455" t="s">
        <v>566</v>
      </c>
      <c r="H84" s="1095" t="s">
        <v>408</v>
      </c>
      <c r="I84" s="1095">
        <v>1</v>
      </c>
      <c r="J84" s="1441">
        <v>45000000</v>
      </c>
      <c r="K84" s="1441">
        <f>+J84*I84</f>
        <v>45000000</v>
      </c>
      <c r="L84" s="1479"/>
      <c r="M84" s="1480">
        <v>44815548</v>
      </c>
      <c r="N84" s="1481"/>
      <c r="O84" s="1482">
        <f t="shared" ref="O84" si="85">+M84+N84</f>
        <v>44815548</v>
      </c>
      <c r="P84" s="1483"/>
      <c r="Q84" s="1313"/>
      <c r="R84" s="1313"/>
      <c r="S84" s="1484">
        <f t="shared" ref="S84" si="86">SUM(P84:R84)</f>
        <v>0</v>
      </c>
      <c r="T84" s="1481"/>
      <c r="U84" s="1485">
        <f t="shared" ref="U84" si="87">+O84+S84+T84</f>
        <v>44815548</v>
      </c>
      <c r="V84" s="1083">
        <v>45180000</v>
      </c>
      <c r="W84" s="1083"/>
      <c r="X84" s="1083"/>
      <c r="Y84" s="1083">
        <f t="shared" ref="Y84" si="88">+V84-X84</f>
        <v>45180000</v>
      </c>
      <c r="Z84" s="1083">
        <v>45180000</v>
      </c>
      <c r="AA84" s="1083"/>
      <c r="AB84" s="1083"/>
      <c r="AC84" s="1083"/>
      <c r="AD84" s="1083"/>
      <c r="AE84" s="1083"/>
      <c r="AF84" s="1432" t="s">
        <v>6</v>
      </c>
      <c r="AG84" s="1432" t="s">
        <v>1291</v>
      </c>
    </row>
    <row r="85" spans="1:48" s="1084" customFormat="1" ht="21.75" customHeight="1">
      <c r="A85" s="1055"/>
      <c r="B85" s="1055"/>
      <c r="C85" s="1717" t="s">
        <v>597</v>
      </c>
      <c r="D85" s="1090" t="s">
        <v>211</v>
      </c>
      <c r="E85" s="1090">
        <v>83990</v>
      </c>
      <c r="F85" s="1304" t="s">
        <v>598</v>
      </c>
      <c r="G85" s="1486" t="s">
        <v>566</v>
      </c>
      <c r="H85" s="1089" t="s">
        <v>408</v>
      </c>
      <c r="I85" s="1089">
        <v>1</v>
      </c>
      <c r="J85" s="1442">
        <v>45000000</v>
      </c>
      <c r="K85" s="1442">
        <f>+J85*I85</f>
        <v>45000000</v>
      </c>
      <c r="L85" s="1487"/>
      <c r="M85" s="1488">
        <f>45180000-M84</f>
        <v>364452</v>
      </c>
      <c r="N85" s="1489"/>
      <c r="O85" s="1490">
        <f t="shared" si="82"/>
        <v>364452</v>
      </c>
      <c r="P85" s="1491"/>
      <c r="Q85" s="1307"/>
      <c r="R85" s="1307"/>
      <c r="S85" s="1492">
        <f t="shared" si="83"/>
        <v>0</v>
      </c>
      <c r="T85" s="1489"/>
      <c r="U85" s="1493">
        <f t="shared" si="84"/>
        <v>364452</v>
      </c>
      <c r="V85" s="1085">
        <v>45180000</v>
      </c>
      <c r="W85" s="1085"/>
      <c r="X85" s="1085"/>
      <c r="Y85" s="1085">
        <f t="shared" si="5"/>
        <v>45180000</v>
      </c>
      <c r="Z85" s="1085">
        <v>45180000</v>
      </c>
      <c r="AA85" s="1085"/>
      <c r="AB85" s="1085"/>
      <c r="AC85" s="1085"/>
      <c r="AD85" s="1085"/>
      <c r="AE85" s="1085"/>
      <c r="AF85" s="1427" t="s">
        <v>6</v>
      </c>
      <c r="AG85" s="1427" t="s">
        <v>1291</v>
      </c>
    </row>
    <row r="86" spans="1:48" s="1084" customFormat="1" ht="21.75" customHeight="1">
      <c r="A86" s="1055"/>
      <c r="B86" s="1055"/>
      <c r="C86" s="1088" t="s">
        <v>715</v>
      </c>
      <c r="D86" s="1523" t="s">
        <v>211</v>
      </c>
      <c r="E86" s="1532">
        <v>83990</v>
      </c>
      <c r="F86" s="1303"/>
      <c r="G86" s="1304" t="s">
        <v>566</v>
      </c>
      <c r="H86" s="1089" t="s">
        <v>595</v>
      </c>
      <c r="I86" s="1089">
        <v>1</v>
      </c>
      <c r="J86" s="1533">
        <v>51135728</v>
      </c>
      <c r="K86" s="1534">
        <f>+J86</f>
        <v>51135728</v>
      </c>
      <c r="L86" s="1535">
        <f>+J86</f>
        <v>51135728</v>
      </c>
      <c r="M86" s="1488">
        <v>20319377.902387101</v>
      </c>
      <c r="N86" s="1489"/>
      <c r="O86" s="1493">
        <f t="shared" si="82"/>
        <v>20319377.902387101</v>
      </c>
      <c r="P86" s="1536"/>
      <c r="Q86" s="1307">
        <v>31736591</v>
      </c>
      <c r="R86" s="1307"/>
      <c r="S86" s="1537">
        <f t="shared" si="83"/>
        <v>31736591</v>
      </c>
      <c r="T86" s="1489"/>
      <c r="U86" s="1538">
        <f t="shared" si="84"/>
        <v>52055968.902387097</v>
      </c>
      <c r="V86" s="1085">
        <v>52055968.902387097</v>
      </c>
      <c r="W86" s="1085"/>
      <c r="X86" s="1085"/>
      <c r="Y86" s="1085">
        <f t="shared" si="5"/>
        <v>52055968.902387097</v>
      </c>
      <c r="Z86" s="1473">
        <v>52055968.902387097</v>
      </c>
      <c r="AA86" s="1473"/>
      <c r="AB86" s="1473"/>
      <c r="AC86" s="1473"/>
      <c r="AD86" s="1473"/>
      <c r="AE86" s="1473"/>
      <c r="AF86" s="1474" t="s">
        <v>241</v>
      </c>
      <c r="AG86" s="1474" t="s">
        <v>1295</v>
      </c>
      <c r="AH86" s="1475"/>
      <c r="AI86" s="1475"/>
      <c r="AJ86" s="1475"/>
      <c r="AK86" s="1475"/>
      <c r="AL86" s="1475"/>
      <c r="AM86" s="1475"/>
      <c r="AN86" s="1475"/>
      <c r="AO86" s="1475"/>
      <c r="AP86" s="1476"/>
      <c r="AQ86" s="1476"/>
      <c r="AR86" s="1476"/>
      <c r="AS86" s="1476"/>
      <c r="AT86" s="1476"/>
      <c r="AU86" s="1354"/>
    </row>
    <row r="87" spans="1:48" s="1084" customFormat="1" ht="21.75" customHeight="1" thickBot="1">
      <c r="A87" s="1055"/>
      <c r="B87" s="1055"/>
      <c r="C87" s="1088" t="s">
        <v>731</v>
      </c>
      <c r="D87" s="1090" t="s">
        <v>716</v>
      </c>
      <c r="E87" s="1486" t="s">
        <v>443</v>
      </c>
      <c r="F87" s="1303"/>
      <c r="G87" s="1304" t="s">
        <v>738</v>
      </c>
      <c r="H87" s="1089" t="s">
        <v>595</v>
      </c>
      <c r="I87" s="1089">
        <v>1</v>
      </c>
      <c r="J87" s="1534">
        <v>79065000</v>
      </c>
      <c r="K87" s="1534">
        <f>+J87/1.004</f>
        <v>78750000</v>
      </c>
      <c r="L87" s="1535">
        <f>+K87*1.004</f>
        <v>79065000</v>
      </c>
      <c r="M87" s="1488">
        <f>79065000-36537122</f>
        <v>42527878</v>
      </c>
      <c r="N87" s="1489"/>
      <c r="O87" s="1493">
        <f t="shared" si="82"/>
        <v>42527878</v>
      </c>
      <c r="P87" s="1536"/>
      <c r="Q87" s="1307"/>
      <c r="R87" s="1307"/>
      <c r="S87" s="1537">
        <f t="shared" si="83"/>
        <v>0</v>
      </c>
      <c r="T87" s="1489"/>
      <c r="U87" s="1538">
        <f t="shared" si="84"/>
        <v>42527878</v>
      </c>
      <c r="V87" s="1085">
        <v>79065000</v>
      </c>
      <c r="W87" s="1085"/>
      <c r="X87" s="1085"/>
      <c r="Y87" s="1085">
        <f t="shared" si="5"/>
        <v>79065000</v>
      </c>
      <c r="Z87" s="1473">
        <v>79065000</v>
      </c>
      <c r="AA87" s="1473"/>
      <c r="AB87" s="1473"/>
      <c r="AC87" s="1473"/>
      <c r="AD87" s="1473"/>
      <c r="AE87" s="1473"/>
      <c r="AF87" s="1474" t="s">
        <v>241</v>
      </c>
      <c r="AG87" s="1474" t="s">
        <v>1295</v>
      </c>
      <c r="AH87" s="1475"/>
      <c r="AI87" s="1475"/>
      <c r="AJ87" s="1475"/>
      <c r="AK87" s="1475"/>
      <c r="AL87" s="1475"/>
      <c r="AM87" s="1475"/>
      <c r="AN87" s="1475"/>
      <c r="AO87" s="1475"/>
      <c r="AP87" s="1476"/>
      <c r="AQ87" s="1476"/>
      <c r="AR87" s="1476"/>
      <c r="AS87" s="1476"/>
      <c r="AT87" s="1476"/>
      <c r="AU87" s="1354"/>
    </row>
    <row r="88" spans="1:48" s="1" customFormat="1" ht="21.75" customHeight="1" thickBot="1">
      <c r="A88" s="1842"/>
      <c r="B88" s="1842"/>
      <c r="C88" s="2278" t="s">
        <v>10</v>
      </c>
      <c r="D88" s="2279"/>
      <c r="E88" s="2279"/>
      <c r="F88" s="2279"/>
      <c r="G88" s="2279"/>
      <c r="H88" s="2279"/>
      <c r="I88" s="2279"/>
      <c r="J88" s="2279"/>
      <c r="K88" s="1653"/>
      <c r="L88" s="442"/>
      <c r="M88" s="443">
        <f>+M10+M23+M45</f>
        <v>2277933538.5904336</v>
      </c>
      <c r="N88" s="443">
        <f t="shared" ref="N88:U88" si="89">+N10+N23+N45</f>
        <v>76849600</v>
      </c>
      <c r="O88" s="443">
        <f t="shared" si="89"/>
        <v>2354783138.5904336</v>
      </c>
      <c r="P88" s="443">
        <f t="shared" si="89"/>
        <v>5000000</v>
      </c>
      <c r="Q88" s="443">
        <f t="shared" si="89"/>
        <v>273023831</v>
      </c>
      <c r="R88" s="443">
        <f t="shared" si="89"/>
        <v>8150400</v>
      </c>
      <c r="S88" s="443">
        <f t="shared" si="89"/>
        <v>286174231</v>
      </c>
      <c r="T88" s="443">
        <f t="shared" si="89"/>
        <v>2137500000</v>
      </c>
      <c r="U88" s="443">
        <f t="shared" si="89"/>
        <v>4778457369.5904331</v>
      </c>
      <c r="V88" s="1025"/>
      <c r="W88" s="292"/>
      <c r="X88" s="292"/>
      <c r="Y88" s="1025"/>
      <c r="Z88" s="292"/>
      <c r="AA88" s="292"/>
      <c r="AB88" s="292"/>
      <c r="AC88" s="292"/>
      <c r="AD88" s="292"/>
      <c r="AE88" s="292"/>
    </row>
    <row r="89" spans="1:48" s="1" customFormat="1" ht="13.5" thickBot="1">
      <c r="A89" s="1842"/>
      <c r="B89" s="1842"/>
      <c r="F89" s="317"/>
      <c r="G89" s="96"/>
      <c r="H89" s="98"/>
      <c r="M89" s="336"/>
      <c r="N89" s="336"/>
      <c r="O89" s="336"/>
      <c r="P89" s="336"/>
      <c r="Q89" s="336"/>
      <c r="R89" s="336"/>
      <c r="S89" s="336"/>
      <c r="T89" s="336"/>
      <c r="U89" s="336"/>
      <c r="V89" s="150"/>
      <c r="Y89" s="1004">
        <f t="shared" ref="Y89:AE89" si="90">SUM(Y12:Y88)</f>
        <v>5386302303.3377609</v>
      </c>
      <c r="Z89" s="1004">
        <f t="shared" si="90"/>
        <v>732985749.151443</v>
      </c>
      <c r="AA89" s="1004">
        <f t="shared" si="90"/>
        <v>76849600</v>
      </c>
      <c r="AB89" s="1004">
        <f t="shared" si="90"/>
        <v>10000000</v>
      </c>
      <c r="AC89" s="1004">
        <f t="shared" si="90"/>
        <v>253218499</v>
      </c>
      <c r="AD89" s="1004">
        <f t="shared" si="90"/>
        <v>8150400</v>
      </c>
      <c r="AE89" s="1004">
        <f t="shared" si="90"/>
        <v>2137500000</v>
      </c>
      <c r="AV89" s="212"/>
    </row>
    <row r="90" spans="1:48" s="1" customFormat="1" ht="13.5" thickBot="1">
      <c r="A90" s="1842"/>
      <c r="B90" s="1842"/>
      <c r="F90" s="317"/>
      <c r="G90" s="96"/>
      <c r="H90" s="98"/>
      <c r="M90" s="444">
        <v>2277933538.5904331</v>
      </c>
      <c r="N90" s="997">
        <v>76849600</v>
      </c>
      <c r="O90" s="446">
        <v>2354783138.5904331</v>
      </c>
      <c r="P90" s="447">
        <v>5000000</v>
      </c>
      <c r="Q90" s="445">
        <v>273023831</v>
      </c>
      <c r="R90" s="445">
        <v>8150400</v>
      </c>
      <c r="S90" s="445">
        <v>286174231</v>
      </c>
      <c r="T90" s="445">
        <v>2137500000</v>
      </c>
      <c r="U90" s="445">
        <v>4778457369.5904331</v>
      </c>
      <c r="V90" s="150"/>
      <c r="Y90" s="150"/>
      <c r="AV90" s="212"/>
    </row>
    <row r="91" spans="1:48">
      <c r="M91" s="393"/>
      <c r="N91" s="393"/>
      <c r="O91" s="393"/>
      <c r="P91" s="393"/>
      <c r="Q91" s="393"/>
      <c r="R91" s="393"/>
      <c r="S91" s="393"/>
      <c r="T91" s="212"/>
      <c r="U91" s="393"/>
      <c r="AV91" s="393"/>
    </row>
    <row r="92" spans="1:48">
      <c r="H92" s="448"/>
      <c r="M92" s="393">
        <f t="shared" ref="M92:U92" si="91">+M88-M90</f>
        <v>0</v>
      </c>
      <c r="N92" s="393">
        <f t="shared" si="91"/>
        <v>0</v>
      </c>
      <c r="O92" s="393">
        <f t="shared" si="91"/>
        <v>0</v>
      </c>
      <c r="P92" s="393">
        <f t="shared" si="91"/>
        <v>0</v>
      </c>
      <c r="Q92" s="393">
        <f t="shared" si="91"/>
        <v>0</v>
      </c>
      <c r="R92" s="393"/>
      <c r="S92" s="393">
        <f t="shared" si="91"/>
        <v>0</v>
      </c>
      <c r="T92" s="212">
        <f t="shared" si="91"/>
        <v>0</v>
      </c>
      <c r="U92" s="393">
        <f t="shared" si="91"/>
        <v>0</v>
      </c>
      <c r="AQ92" s="393"/>
    </row>
    <row r="93" spans="1:48" ht="15.75" customHeight="1">
      <c r="D93" s="449"/>
      <c r="F93" s="450"/>
      <c r="G93" s="451"/>
      <c r="H93" s="451"/>
      <c r="M93" s="393"/>
      <c r="N93" s="393"/>
      <c r="Q93" s="393"/>
      <c r="R93" s="393"/>
      <c r="T93" s="212"/>
    </row>
    <row r="94" spans="1:48">
      <c r="D94" s="451"/>
      <c r="G94" s="1"/>
      <c r="H94" s="1"/>
      <c r="Q94" s="393"/>
      <c r="R94" s="393"/>
      <c r="T94" s="212"/>
      <c r="Y94" s="1025">
        <f>+Y89-Y12</f>
        <v>3248802303.3377609</v>
      </c>
    </row>
    <row r="95" spans="1:48">
      <c r="D95" s="451"/>
      <c r="G95" s="1"/>
      <c r="H95" s="315"/>
      <c r="M95" s="393"/>
      <c r="N95" s="393"/>
    </row>
    <row r="96" spans="1:48">
      <c r="G96" s="1"/>
      <c r="H96" s="1"/>
      <c r="O96" s="1512"/>
      <c r="P96" s="1512"/>
    </row>
    <row r="103" spans="3:16">
      <c r="O103" s="1513"/>
      <c r="P103" s="1513"/>
    </row>
    <row r="104" spans="3:16">
      <c r="L104" s="313"/>
    </row>
    <row r="105" spans="3:16">
      <c r="J105" s="296"/>
      <c r="K105" s="296"/>
    </row>
    <row r="106" spans="3:16">
      <c r="C106" s="2415"/>
      <c r="L106" s="372"/>
    </row>
    <row r="107" spans="3:16">
      <c r="C107" s="2415"/>
    </row>
    <row r="108" spans="3:16">
      <c r="C108" s="2415"/>
    </row>
  </sheetData>
  <mergeCells count="42">
    <mergeCell ref="C106:C108"/>
    <mergeCell ref="S7:S9"/>
    <mergeCell ref="M8:M9"/>
    <mergeCell ref="C88:J88"/>
    <mergeCell ref="Q8:Q9"/>
    <mergeCell ref="J7:J9"/>
    <mergeCell ref="L7:L9"/>
    <mergeCell ref="O7:O9"/>
    <mergeCell ref="K7:K9"/>
    <mergeCell ref="P8:P9"/>
    <mergeCell ref="E7:E9"/>
    <mergeCell ref="F7:F9"/>
    <mergeCell ref="G7:G9"/>
    <mergeCell ref="H7:H9"/>
    <mergeCell ref="I7:I9"/>
    <mergeCell ref="A7:A9"/>
    <mergeCell ref="B7:B9"/>
    <mergeCell ref="C1:C3"/>
    <mergeCell ref="C7:C9"/>
    <mergeCell ref="D7:D9"/>
    <mergeCell ref="D1:P3"/>
    <mergeCell ref="M7:N7"/>
    <mergeCell ref="N8:N9"/>
    <mergeCell ref="T7:T9"/>
    <mergeCell ref="U7:U9"/>
    <mergeCell ref="Q3:S3"/>
    <mergeCell ref="Q2:S2"/>
    <mergeCell ref="Q1:S1"/>
    <mergeCell ref="C6:U6"/>
    <mergeCell ref="C5:U5"/>
    <mergeCell ref="T1:U1"/>
    <mergeCell ref="T2:U2"/>
    <mergeCell ref="T3:U3"/>
    <mergeCell ref="P7:R7"/>
    <mergeCell ref="R8:R9"/>
    <mergeCell ref="AF6:AG6"/>
    <mergeCell ref="AF7:AF9"/>
    <mergeCell ref="AG7:AG9"/>
    <mergeCell ref="AE7:AE8"/>
    <mergeCell ref="Y7:Y8"/>
    <mergeCell ref="Z7:AA7"/>
    <mergeCell ref="AB7:AD7"/>
  </mergeCells>
  <pageMargins left="0.7" right="0.7" top="0.75" bottom="0.75" header="0.3" footer="0.3"/>
  <pageSetup orientation="portrait" verticalDpi="597"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P51"/>
  <sheetViews>
    <sheetView workbookViewId="0">
      <pane xSplit="3" ySplit="9" topLeftCell="D22" activePane="bottomRight" state="frozen"/>
      <selection activeCell="F55" sqref="F55"/>
      <selection pane="topRight" activeCell="F55" sqref="F55"/>
      <selection pane="bottomLeft" activeCell="F55" sqref="F55"/>
      <selection pane="bottomRight" activeCell="B30" sqref="B30"/>
    </sheetView>
  </sheetViews>
  <sheetFormatPr baseColWidth="10" defaultColWidth="11.42578125" defaultRowHeight="12.75"/>
  <cols>
    <col min="1" max="1" width="8.140625" style="1" customWidth="1"/>
    <col min="2" max="2" width="39.5703125" style="1" customWidth="1"/>
    <col min="3" max="3" width="14.140625" style="1" customWidth="1"/>
    <col min="4" max="4" width="6.140625" style="1" customWidth="1"/>
    <col min="5" max="6" width="14.28515625" style="121" bestFit="1" customWidth="1"/>
    <col min="7" max="7" width="13.7109375" style="121" bestFit="1" customWidth="1"/>
    <col min="8" max="8" width="14.28515625" style="121" bestFit="1" customWidth="1"/>
    <col min="9" max="9" width="13.85546875" style="121" customWidth="1"/>
    <col min="10" max="10" width="15" style="336" customWidth="1"/>
    <col min="11" max="11" width="13.5703125" style="1" customWidth="1"/>
    <col min="12" max="12" width="13" style="1" customWidth="1"/>
    <col min="13" max="13" width="12.28515625" style="1" customWidth="1"/>
    <col min="14" max="14" width="14.140625" style="1" customWidth="1"/>
    <col min="15" max="15" width="13.5703125" style="1" customWidth="1"/>
    <col min="16" max="16" width="15.7109375" style="1" customWidth="1"/>
    <col min="17" max="17" width="18" style="1" bestFit="1" customWidth="1"/>
    <col min="18" max="18" width="18.140625" style="1" bestFit="1" customWidth="1"/>
    <col min="19" max="19" width="18.85546875" style="1" customWidth="1"/>
    <col min="20" max="20" width="23.140625" style="1" customWidth="1"/>
    <col min="21" max="21" width="18" style="1" customWidth="1"/>
    <col min="22" max="23" width="11.42578125" style="1"/>
    <col min="24" max="24" width="20.42578125" style="1" customWidth="1"/>
    <col min="25" max="25" width="18" style="1" customWidth="1"/>
    <col min="26" max="26" width="13.28515625" style="1" bestFit="1" customWidth="1"/>
    <col min="27" max="16384" width="11.42578125" style="1"/>
  </cols>
  <sheetData>
    <row r="1" spans="1:16" ht="11.25" customHeight="1" thickBot="1">
      <c r="B1" s="2151"/>
      <c r="C1" s="1649"/>
      <c r="D1" s="1649"/>
      <c r="E1" s="2330"/>
      <c r="F1" s="2330"/>
      <c r="G1" s="2330"/>
      <c r="H1" s="2330"/>
      <c r="I1" s="2330"/>
      <c r="J1" s="2330"/>
      <c r="K1" s="2330"/>
      <c r="L1" s="2330"/>
      <c r="M1" s="2330"/>
      <c r="N1" s="2330"/>
      <c r="O1" s="2248" t="s">
        <v>364</v>
      </c>
      <c r="P1" s="2249"/>
    </row>
    <row r="2" spans="1:16" ht="11.25" customHeight="1" thickBot="1">
      <c r="B2" s="2152"/>
      <c r="C2" s="1650"/>
      <c r="D2" s="1650"/>
      <c r="E2" s="2330"/>
      <c r="F2" s="2330"/>
      <c r="G2" s="2330"/>
      <c r="H2" s="2330"/>
      <c r="I2" s="2330"/>
      <c r="J2" s="2330"/>
      <c r="K2" s="2330"/>
      <c r="L2" s="2330"/>
      <c r="M2" s="2330"/>
      <c r="N2" s="2330"/>
      <c r="O2" s="2250" t="s">
        <v>365</v>
      </c>
      <c r="P2" s="2251"/>
    </row>
    <row r="3" spans="1:16" ht="11.25" customHeight="1" thickBot="1">
      <c r="B3" s="2153"/>
      <c r="C3" s="1651"/>
      <c r="D3" s="1651"/>
      <c r="E3" s="2330"/>
      <c r="F3" s="2330"/>
      <c r="G3" s="2330"/>
      <c r="H3" s="2330"/>
      <c r="I3" s="2330"/>
      <c r="J3" s="2330"/>
      <c r="K3" s="2330"/>
      <c r="L3" s="2330"/>
      <c r="M3" s="2330"/>
      <c r="N3" s="2330"/>
      <c r="O3" s="2252" t="s">
        <v>366</v>
      </c>
      <c r="P3" s="2253"/>
    </row>
    <row r="4" spans="1:16" ht="6" customHeight="1" thickBot="1">
      <c r="J4" s="121"/>
      <c r="K4" s="119"/>
      <c r="L4" s="119"/>
      <c r="M4" s="119"/>
      <c r="N4" s="119"/>
      <c r="O4" s="119"/>
      <c r="P4" s="119"/>
    </row>
    <row r="5" spans="1:16" ht="15" customHeight="1" thickBot="1">
      <c r="B5" s="2331" t="s">
        <v>187</v>
      </c>
      <c r="C5" s="2331"/>
      <c r="D5" s="2331"/>
      <c r="E5" s="2331"/>
      <c r="F5" s="2331"/>
      <c r="G5" s="2331"/>
      <c r="H5" s="2331"/>
      <c r="I5" s="2331"/>
      <c r="J5" s="2331"/>
      <c r="K5" s="2331"/>
      <c r="L5" s="2331"/>
      <c r="M5" s="2331"/>
      <c r="N5" s="2331"/>
      <c r="O5" s="2331"/>
      <c r="P5" s="2331"/>
    </row>
    <row r="6" spans="1:16" ht="13.5" thickBot="1">
      <c r="B6" s="2331" t="s">
        <v>1404</v>
      </c>
      <c r="C6" s="2331"/>
      <c r="D6" s="2331"/>
      <c r="E6" s="2331"/>
      <c r="F6" s="2331"/>
      <c r="G6" s="2331"/>
      <c r="H6" s="2331"/>
      <c r="I6" s="2331"/>
      <c r="J6" s="2331"/>
      <c r="K6" s="2331"/>
      <c r="L6" s="2331"/>
      <c r="M6" s="2331"/>
      <c r="N6" s="2331"/>
      <c r="O6" s="2331"/>
      <c r="P6" s="2331"/>
    </row>
    <row r="7" spans="1:16" ht="30" customHeight="1" thickBot="1">
      <c r="A7" s="2135" t="s">
        <v>278</v>
      </c>
      <c r="B7" s="2210" t="s">
        <v>311</v>
      </c>
      <c r="C7" s="1648"/>
      <c r="D7" s="1648"/>
      <c r="E7" s="2419" t="s">
        <v>189</v>
      </c>
      <c r="F7" s="2420"/>
      <c r="G7" s="2420"/>
      <c r="H7" s="2420"/>
      <c r="I7" s="2421"/>
      <c r="J7" s="2424" t="s">
        <v>965</v>
      </c>
      <c r="K7" s="2273" t="s">
        <v>527</v>
      </c>
      <c r="L7" s="2274"/>
      <c r="M7" s="2274"/>
      <c r="N7" s="2274"/>
      <c r="O7" s="2275"/>
      <c r="P7" s="2210" t="s">
        <v>1014</v>
      </c>
    </row>
    <row r="8" spans="1:16" ht="30" customHeight="1" thickBot="1">
      <c r="A8" s="2135"/>
      <c r="B8" s="2180"/>
      <c r="C8" s="2135" t="s">
        <v>190</v>
      </c>
      <c r="D8" s="2135" t="s">
        <v>191</v>
      </c>
      <c r="E8" s="2312" t="s">
        <v>192</v>
      </c>
      <c r="F8" s="2422" t="s">
        <v>194</v>
      </c>
      <c r="G8" s="2312" t="s">
        <v>193</v>
      </c>
      <c r="H8" s="2422" t="s">
        <v>209</v>
      </c>
      <c r="I8" s="2312" t="s">
        <v>216</v>
      </c>
      <c r="J8" s="2425"/>
      <c r="K8" s="2210" t="s">
        <v>194</v>
      </c>
      <c r="L8" s="2210" t="s">
        <v>192</v>
      </c>
      <c r="M8" s="2210" t="s">
        <v>216</v>
      </c>
      <c r="N8" s="2210" t="s">
        <v>209</v>
      </c>
      <c r="O8" s="2139" t="s">
        <v>995</v>
      </c>
      <c r="P8" s="2180"/>
    </row>
    <row r="9" spans="1:16" ht="30" customHeight="1" thickBot="1">
      <c r="A9" s="2135"/>
      <c r="B9" s="2180"/>
      <c r="C9" s="2135"/>
      <c r="D9" s="2135"/>
      <c r="E9" s="2326"/>
      <c r="F9" s="2423"/>
      <c r="G9" s="2326"/>
      <c r="H9" s="2423"/>
      <c r="I9" s="2326"/>
      <c r="J9" s="2425"/>
      <c r="K9" s="2180"/>
      <c r="L9" s="2180"/>
      <c r="M9" s="2180"/>
      <c r="N9" s="2180"/>
      <c r="O9" s="2142"/>
      <c r="P9" s="2180"/>
    </row>
    <row r="10" spans="1:16" s="150" customFormat="1" ht="39" thickBot="1">
      <c r="A10" s="406" t="s">
        <v>1456</v>
      </c>
      <c r="B10" s="19" t="s">
        <v>1441</v>
      </c>
      <c r="C10" s="20" t="s">
        <v>1098</v>
      </c>
      <c r="D10" s="21">
        <v>100</v>
      </c>
      <c r="E10" s="824">
        <f>SUM(E11)</f>
        <v>288201114.91600001</v>
      </c>
      <c r="F10" s="824">
        <f t="shared" ref="F10:P10" si="0">SUM(F11)</f>
        <v>246210016.648</v>
      </c>
      <c r="G10" s="824">
        <f t="shared" si="0"/>
        <v>0</v>
      </c>
      <c r="H10" s="824">
        <f t="shared" si="0"/>
        <v>0</v>
      </c>
      <c r="I10" s="824">
        <f t="shared" si="0"/>
        <v>60885380.664000005</v>
      </c>
      <c r="J10" s="824">
        <f t="shared" si="0"/>
        <v>595296512.22799993</v>
      </c>
      <c r="K10" s="824">
        <f t="shared" si="0"/>
        <v>0</v>
      </c>
      <c r="L10" s="824">
        <f t="shared" si="0"/>
        <v>23043345.888</v>
      </c>
      <c r="M10" s="824">
        <f t="shared" si="0"/>
        <v>14096400.960000001</v>
      </c>
      <c r="N10" s="824">
        <f t="shared" si="0"/>
        <v>84475989.320000023</v>
      </c>
      <c r="O10" s="824">
        <f t="shared" si="0"/>
        <v>121615736.16800001</v>
      </c>
      <c r="P10" s="825">
        <f t="shared" si="0"/>
        <v>716912248.39599979</v>
      </c>
    </row>
    <row r="11" spans="1:16" s="150" customFormat="1" ht="39" thickBot="1">
      <c r="A11" s="773"/>
      <c r="B11" s="13" t="s">
        <v>1020</v>
      </c>
      <c r="C11" s="379" t="s">
        <v>1110</v>
      </c>
      <c r="D11" s="379">
        <v>55</v>
      </c>
      <c r="E11" s="804">
        <f>+'ACCIONES 329902'!I11</f>
        <v>288201114.91600001</v>
      </c>
      <c r="F11" s="804">
        <f>+'ACCIONES 329902'!J11</f>
        <v>246210016.648</v>
      </c>
      <c r="G11" s="804">
        <f>+'ACCIONES 329902'!K11</f>
        <v>0</v>
      </c>
      <c r="H11" s="804">
        <f>+'ACCIONES 329902'!L11</f>
        <v>0</v>
      </c>
      <c r="I11" s="804">
        <f>+'ACCIONES 329902'!M11</f>
        <v>60885380.664000005</v>
      </c>
      <c r="J11" s="804">
        <f>+'ACCIONES 329902'!N11</f>
        <v>595296512.22799993</v>
      </c>
      <c r="K11" s="804">
        <f>+'ACCIONES 329902'!O11</f>
        <v>0</v>
      </c>
      <c r="L11" s="804">
        <f>+'ACCIONES 329902'!P11</f>
        <v>23043345.888</v>
      </c>
      <c r="M11" s="804">
        <f>+'ACCIONES 329902'!Q11</f>
        <v>14096400.960000001</v>
      </c>
      <c r="N11" s="804">
        <f>+'ACCIONES 329902'!R11</f>
        <v>84475989.320000023</v>
      </c>
      <c r="O11" s="804">
        <f>+'ACCIONES 329902'!S11</f>
        <v>121615736.16800001</v>
      </c>
      <c r="P11" s="805">
        <f>+'ACCIONES 329902'!T11</f>
        <v>716912248.39599979</v>
      </c>
    </row>
    <row r="12" spans="1:16" s="150" customFormat="1" ht="45.75" customHeight="1" thickBot="1">
      <c r="A12" s="406" t="s">
        <v>1457</v>
      </c>
      <c r="B12" s="19" t="s">
        <v>1442</v>
      </c>
      <c r="C12" s="20" t="s">
        <v>1098</v>
      </c>
      <c r="D12" s="21">
        <v>100</v>
      </c>
      <c r="E12" s="826">
        <f>SUM(E13)</f>
        <v>857089371.56799984</v>
      </c>
      <c r="F12" s="826">
        <f t="shared" ref="F12:P12" si="1">SUM(F13)</f>
        <v>1087110406.1999998</v>
      </c>
      <c r="G12" s="826">
        <f t="shared" si="1"/>
        <v>14685561.303599982</v>
      </c>
      <c r="H12" s="826">
        <f t="shared" si="1"/>
        <v>694753020</v>
      </c>
      <c r="I12" s="826">
        <f t="shared" si="1"/>
        <v>119912630.13599999</v>
      </c>
      <c r="J12" s="826">
        <f t="shared" si="1"/>
        <v>2773550989.2075996</v>
      </c>
      <c r="K12" s="826">
        <f t="shared" si="1"/>
        <v>100000000</v>
      </c>
      <c r="L12" s="826">
        <f t="shared" si="1"/>
        <v>254943496.0484001</v>
      </c>
      <c r="M12" s="826">
        <f t="shared" si="1"/>
        <v>42931079.040000007</v>
      </c>
      <c r="N12" s="826">
        <f t="shared" si="1"/>
        <v>0</v>
      </c>
      <c r="O12" s="826">
        <f t="shared" si="1"/>
        <v>397874575.08840013</v>
      </c>
      <c r="P12" s="827">
        <f t="shared" si="1"/>
        <v>3171425564.2959995</v>
      </c>
    </row>
    <row r="13" spans="1:16" s="150" customFormat="1" ht="39" thickBot="1">
      <c r="A13" s="773"/>
      <c r="B13" s="13" t="s">
        <v>1022</v>
      </c>
      <c r="C13" s="379" t="s">
        <v>1098</v>
      </c>
      <c r="D13" s="379">
        <v>100</v>
      </c>
      <c r="E13" s="804">
        <f>+'ACCIONES 329902'!I86</f>
        <v>857089371.56799984</v>
      </c>
      <c r="F13" s="804">
        <f>+'ACCIONES 329902'!J86</f>
        <v>1087110406.1999998</v>
      </c>
      <c r="G13" s="804">
        <f>+'ACCIONES 329902'!K86</f>
        <v>14685561.303599982</v>
      </c>
      <c r="H13" s="804">
        <f>+'ACCIONES 329902'!L86</f>
        <v>694753020</v>
      </c>
      <c r="I13" s="804">
        <f>+'ACCIONES 329902'!M86</f>
        <v>119912630.13599999</v>
      </c>
      <c r="J13" s="804">
        <f>+'ACCIONES 329902'!N86</f>
        <v>2773550989.2075996</v>
      </c>
      <c r="K13" s="804">
        <f>+'ACCIONES 329902'!O86</f>
        <v>100000000</v>
      </c>
      <c r="L13" s="804">
        <f>+'ACCIONES 329902'!P86</f>
        <v>254943496.0484001</v>
      </c>
      <c r="M13" s="804">
        <f>+'ACCIONES 329902'!Q86</f>
        <v>42931079.040000007</v>
      </c>
      <c r="N13" s="804">
        <f>+'ACCIONES 329902'!R86</f>
        <v>0</v>
      </c>
      <c r="O13" s="804">
        <f>+'ACCIONES 329902'!S86</f>
        <v>397874575.08840013</v>
      </c>
      <c r="P13" s="805">
        <f>+'ACCIONES 329902'!T86</f>
        <v>3171425564.2959995</v>
      </c>
    </row>
    <row r="14" spans="1:16" s="150" customFormat="1" ht="26.25" thickBot="1">
      <c r="A14" s="406" t="s">
        <v>1457</v>
      </c>
      <c r="B14" s="19" t="s">
        <v>1443</v>
      </c>
      <c r="C14" s="20" t="s">
        <v>1098</v>
      </c>
      <c r="D14" s="21">
        <v>100</v>
      </c>
      <c r="E14" s="826">
        <f>SUM(E15)</f>
        <v>0</v>
      </c>
      <c r="F14" s="826">
        <f t="shared" ref="F14:P14" si="2">SUM(F15)</f>
        <v>718131808.0079999</v>
      </c>
      <c r="G14" s="826">
        <f t="shared" si="2"/>
        <v>0</v>
      </c>
      <c r="H14" s="826">
        <f t="shared" si="2"/>
        <v>230655408</v>
      </c>
      <c r="I14" s="826">
        <f t="shared" si="2"/>
        <v>0</v>
      </c>
      <c r="J14" s="826">
        <f t="shared" si="2"/>
        <v>948787216.0079999</v>
      </c>
      <c r="K14" s="826">
        <f t="shared" si="2"/>
        <v>0</v>
      </c>
      <c r="L14" s="826">
        <f t="shared" si="2"/>
        <v>0</v>
      </c>
      <c r="M14" s="826">
        <f t="shared" si="2"/>
        <v>0</v>
      </c>
      <c r="N14" s="826">
        <f t="shared" si="2"/>
        <v>198524010.70000005</v>
      </c>
      <c r="O14" s="826">
        <f t="shared" si="2"/>
        <v>198524010.70000005</v>
      </c>
      <c r="P14" s="827">
        <f t="shared" si="2"/>
        <v>1147311226.7079997</v>
      </c>
    </row>
    <row r="15" spans="1:16" s="150" customFormat="1" ht="39" thickBot="1">
      <c r="A15" s="773"/>
      <c r="B15" s="590" t="s">
        <v>1087</v>
      </c>
      <c r="C15" s="1693" t="s">
        <v>1098</v>
      </c>
      <c r="D15" s="1691">
        <v>30</v>
      </c>
      <c r="E15" s="804">
        <f>+'ACCIONES 329902'!I167</f>
        <v>0</v>
      </c>
      <c r="F15" s="804">
        <f>+'ACCIONES 329902'!J167</f>
        <v>718131808.0079999</v>
      </c>
      <c r="G15" s="804">
        <f>+'ACCIONES 329902'!K167</f>
        <v>0</v>
      </c>
      <c r="H15" s="804">
        <f>+'ACCIONES 329902'!L167</f>
        <v>230655408</v>
      </c>
      <c r="I15" s="804">
        <f>+'ACCIONES 329902'!M167</f>
        <v>0</v>
      </c>
      <c r="J15" s="804">
        <f>+'ACCIONES 329902'!N167</f>
        <v>948787216.0079999</v>
      </c>
      <c r="K15" s="804">
        <f>+'ACCIONES 329902'!O167</f>
        <v>0</v>
      </c>
      <c r="L15" s="804">
        <f>+'ACCIONES 329902'!P167</f>
        <v>0</v>
      </c>
      <c r="M15" s="804">
        <f>+'ACCIONES 329902'!Q167</f>
        <v>0</v>
      </c>
      <c r="N15" s="804">
        <f>+'ACCIONES 329902'!R167</f>
        <v>198524010.70000005</v>
      </c>
      <c r="O15" s="804">
        <f>+'ACCIONES 329902'!S167</f>
        <v>198524010.70000005</v>
      </c>
      <c r="P15" s="805">
        <f>+'ACCIONES 329902'!T167</f>
        <v>1147311226.7079997</v>
      </c>
    </row>
    <row r="16" spans="1:16" s="490" customFormat="1" ht="39" thickBot="1">
      <c r="A16" s="291" t="s">
        <v>1457</v>
      </c>
      <c r="B16" s="499" t="s">
        <v>1420</v>
      </c>
      <c r="C16" s="1692" t="s">
        <v>1098</v>
      </c>
      <c r="D16" s="1692">
        <v>100</v>
      </c>
      <c r="E16" s="822">
        <f t="shared" ref="E16:P16" si="3">SUM(E17:E19)</f>
        <v>907173206.19999957</v>
      </c>
      <c r="F16" s="822">
        <f t="shared" si="3"/>
        <v>1000606905.8</v>
      </c>
      <c r="G16" s="822">
        <f t="shared" si="3"/>
        <v>0</v>
      </c>
      <c r="H16" s="822">
        <f t="shared" si="3"/>
        <v>167224532</v>
      </c>
      <c r="I16" s="822">
        <f t="shared" si="3"/>
        <v>76073009.528999999</v>
      </c>
      <c r="J16" s="822">
        <f t="shared" si="3"/>
        <v>2151077653.5289998</v>
      </c>
      <c r="K16" s="822">
        <f t="shared" si="3"/>
        <v>0</v>
      </c>
      <c r="L16" s="822">
        <f t="shared" si="3"/>
        <v>90000000</v>
      </c>
      <c r="M16" s="822">
        <f t="shared" si="3"/>
        <v>40000000</v>
      </c>
      <c r="N16" s="822">
        <f t="shared" si="3"/>
        <v>16487383</v>
      </c>
      <c r="O16" s="822">
        <f t="shared" si="3"/>
        <v>146487383</v>
      </c>
      <c r="P16" s="823">
        <f t="shared" si="3"/>
        <v>2297565036.5289998</v>
      </c>
    </row>
    <row r="17" spans="1:16" s="490" customFormat="1" ht="51">
      <c r="A17" s="774"/>
      <c r="B17" s="26" t="s">
        <v>1184</v>
      </c>
      <c r="C17" s="383" t="s">
        <v>408</v>
      </c>
      <c r="D17" s="383">
        <v>1</v>
      </c>
      <c r="E17" s="420">
        <f>+'ACCIONES 329902'!I215</f>
        <v>623826253.55999959</v>
      </c>
      <c r="F17" s="420">
        <f>+'ACCIONES 329902'!J215</f>
        <v>577653727.20000005</v>
      </c>
      <c r="G17" s="420">
        <f>+'ACCIONES 329902'!K215</f>
        <v>0</v>
      </c>
      <c r="H17" s="420">
        <f>+'ACCIONES 329902'!L215</f>
        <v>167224532</v>
      </c>
      <c r="I17" s="420">
        <f>+'ACCIONES 329902'!M215</f>
        <v>15223841.711999997</v>
      </c>
      <c r="J17" s="420">
        <f>+'ACCIONES 329902'!N215</f>
        <v>1383928354.4719996</v>
      </c>
      <c r="K17" s="420">
        <f>+'ACCIONES 329902'!O215</f>
        <v>0</v>
      </c>
      <c r="L17" s="420">
        <f>+'ACCIONES 329902'!P215</f>
        <v>90000000</v>
      </c>
      <c r="M17" s="420">
        <f>+'ACCIONES 329902'!Q215</f>
        <v>0</v>
      </c>
      <c r="N17" s="420">
        <f>+'ACCIONES 329902'!R215</f>
        <v>0</v>
      </c>
      <c r="O17" s="420">
        <f>+'ACCIONES 329902'!S215</f>
        <v>90000000</v>
      </c>
      <c r="P17" s="819">
        <f>+'ACCIONES 329902'!T215</f>
        <v>1473928354.4719996</v>
      </c>
    </row>
    <row r="18" spans="1:16" s="490" customFormat="1" ht="38.25">
      <c r="A18" s="774"/>
      <c r="B18" s="5" t="s">
        <v>1017</v>
      </c>
      <c r="C18" s="379" t="s">
        <v>408</v>
      </c>
      <c r="D18" s="379">
        <v>1</v>
      </c>
      <c r="E18" s="213">
        <f>+'ACCIONES 329902'!I249</f>
        <v>283346952.63999999</v>
      </c>
      <c r="F18" s="213">
        <f>+'ACCIONES 329902'!J249</f>
        <v>0</v>
      </c>
      <c r="G18" s="213">
        <f>+'ACCIONES 329902'!K249</f>
        <v>0</v>
      </c>
      <c r="H18" s="213">
        <f>+'ACCIONES 329902'!L249</f>
        <v>0</v>
      </c>
      <c r="I18" s="213">
        <f>+'ACCIONES 329902'!M249</f>
        <v>60849167.817000002</v>
      </c>
      <c r="J18" s="213">
        <f>+'ACCIONES 329902'!N249</f>
        <v>344196120.45699996</v>
      </c>
      <c r="K18" s="213">
        <f>+'ACCIONES 329902'!O249</f>
        <v>0</v>
      </c>
      <c r="L18" s="213">
        <f>+'ACCIONES 329902'!P249</f>
        <v>0</v>
      </c>
      <c r="M18" s="213">
        <f>+'ACCIONES 329902'!Q249</f>
        <v>40000000</v>
      </c>
      <c r="N18" s="213">
        <f>+'ACCIONES 329902'!R249</f>
        <v>0</v>
      </c>
      <c r="O18" s="213">
        <f>+'ACCIONES 329902'!S249</f>
        <v>40000000</v>
      </c>
      <c r="P18" s="489">
        <f>+'ACCIONES 329902'!T249</f>
        <v>384196120.45699996</v>
      </c>
    </row>
    <row r="19" spans="1:16" s="490" customFormat="1" ht="60.75" customHeight="1">
      <c r="A19" s="774"/>
      <c r="B19" s="5" t="s">
        <v>1016</v>
      </c>
      <c r="C19" s="379" t="s">
        <v>408</v>
      </c>
      <c r="D19" s="379">
        <v>1</v>
      </c>
      <c r="E19" s="213">
        <f>+'ACCIONES 329902'!I268</f>
        <v>0</v>
      </c>
      <c r="F19" s="213">
        <f>+'ACCIONES 329902'!J268</f>
        <v>422953178.59999996</v>
      </c>
      <c r="G19" s="213">
        <f>+'ACCIONES 329902'!K268</f>
        <v>0</v>
      </c>
      <c r="H19" s="213">
        <f>+'ACCIONES 329902'!L268</f>
        <v>0</v>
      </c>
      <c r="I19" s="213">
        <f>+'ACCIONES 329902'!M268</f>
        <v>0</v>
      </c>
      <c r="J19" s="213">
        <f>+'ACCIONES 329902'!N268</f>
        <v>422953178.59999996</v>
      </c>
      <c r="K19" s="213">
        <f>+'ACCIONES 329902'!O268</f>
        <v>0</v>
      </c>
      <c r="L19" s="213">
        <f>+'ACCIONES 329902'!P268</f>
        <v>0</v>
      </c>
      <c r="M19" s="213">
        <f>+'ACCIONES 329902'!Q268</f>
        <v>0</v>
      </c>
      <c r="N19" s="213">
        <f>+'ACCIONES 329902'!R268</f>
        <v>16487383</v>
      </c>
      <c r="O19" s="213">
        <f>+'ACCIONES 329902'!S268</f>
        <v>16487383</v>
      </c>
      <c r="P19" s="489">
        <f>+'ACCIONES 329902'!T268</f>
        <v>439440561.59999996</v>
      </c>
    </row>
    <row r="20" spans="1:16" s="150" customFormat="1" ht="26.25" thickBot="1">
      <c r="A20" s="406" t="s">
        <v>1457</v>
      </c>
      <c r="B20" s="816" t="s">
        <v>1444</v>
      </c>
      <c r="C20" s="1708" t="s">
        <v>1098</v>
      </c>
      <c r="D20" s="1708">
        <v>100</v>
      </c>
      <c r="E20" s="809">
        <f t="shared" ref="E20:P20" si="4">SUM(E21:E25)</f>
        <v>91355443.635999992</v>
      </c>
      <c r="F20" s="809">
        <f t="shared" si="4"/>
        <v>112875466.94400001</v>
      </c>
      <c r="G20" s="809">
        <f t="shared" si="4"/>
        <v>0</v>
      </c>
      <c r="H20" s="809">
        <f t="shared" si="4"/>
        <v>0</v>
      </c>
      <c r="I20" s="809">
        <f t="shared" si="4"/>
        <v>0</v>
      </c>
      <c r="J20" s="809">
        <f t="shared" si="4"/>
        <v>204230910.57999998</v>
      </c>
      <c r="K20" s="809">
        <f t="shared" si="4"/>
        <v>0</v>
      </c>
      <c r="L20" s="809">
        <f t="shared" si="4"/>
        <v>10000000</v>
      </c>
      <c r="M20" s="809">
        <f t="shared" si="4"/>
        <v>0</v>
      </c>
      <c r="N20" s="809">
        <f t="shared" si="4"/>
        <v>0</v>
      </c>
      <c r="O20" s="809">
        <f t="shared" si="4"/>
        <v>10000000</v>
      </c>
      <c r="P20" s="810">
        <f t="shared" si="4"/>
        <v>214230910.57999998</v>
      </c>
    </row>
    <row r="21" spans="1:16" s="150" customFormat="1" ht="25.5">
      <c r="A21" s="773"/>
      <c r="B21" s="26" t="s">
        <v>1421</v>
      </c>
      <c r="C21" s="1679" t="s">
        <v>1111</v>
      </c>
      <c r="D21" s="1679">
        <v>1</v>
      </c>
      <c r="E21" s="423">
        <f>+'ACCIONES 329902'!I284</f>
        <v>0</v>
      </c>
      <c r="F21" s="423">
        <f>+'ACCIONES 329902'!J284</f>
        <v>12000000</v>
      </c>
      <c r="G21" s="423">
        <f>+'ACCIONES 329902'!K284</f>
        <v>0</v>
      </c>
      <c r="H21" s="423">
        <f>+'ACCIONES 329902'!L284</f>
        <v>0</v>
      </c>
      <c r="I21" s="423">
        <f>+'ACCIONES 329902'!M284</f>
        <v>0</v>
      </c>
      <c r="J21" s="423">
        <f>+'ACCIONES 329902'!N284</f>
        <v>12000000</v>
      </c>
      <c r="K21" s="423">
        <f>+'ACCIONES 329902'!O284</f>
        <v>0</v>
      </c>
      <c r="L21" s="423">
        <f>+'ACCIONES 329902'!P284</f>
        <v>0</v>
      </c>
      <c r="M21" s="423">
        <f>+'ACCIONES 329902'!Q284</f>
        <v>0</v>
      </c>
      <c r="N21" s="423">
        <f>+'ACCIONES 329902'!R284</f>
        <v>0</v>
      </c>
      <c r="O21" s="423">
        <f>+'ACCIONES 329902'!S284</f>
        <v>0</v>
      </c>
      <c r="P21" s="818">
        <f>+'ACCIONES 329902'!T284</f>
        <v>12000000</v>
      </c>
    </row>
    <row r="22" spans="1:16" s="150" customFormat="1" ht="42.75" customHeight="1">
      <c r="A22" s="773"/>
      <c r="B22" s="5" t="s">
        <v>1012</v>
      </c>
      <c r="C22" s="6" t="s">
        <v>1104</v>
      </c>
      <c r="D22" s="6">
        <v>37</v>
      </c>
      <c r="E22" s="213">
        <f>+'ACCIONES 329902'!I286</f>
        <v>20000000</v>
      </c>
      <c r="F22" s="213">
        <f>+'ACCIONES 329902'!J286</f>
        <v>0</v>
      </c>
      <c r="G22" s="213">
        <f>+'ACCIONES 329902'!K286</f>
        <v>0</v>
      </c>
      <c r="H22" s="213">
        <f>+'ACCIONES 329902'!L286</f>
        <v>0</v>
      </c>
      <c r="I22" s="213">
        <f>+'ACCIONES 329902'!M286</f>
        <v>0</v>
      </c>
      <c r="J22" s="213">
        <f>+'ACCIONES 329902'!N286</f>
        <v>20000000</v>
      </c>
      <c r="K22" s="213">
        <f>+'ACCIONES 329902'!O286</f>
        <v>0</v>
      </c>
      <c r="L22" s="213">
        <f>+'ACCIONES 329902'!P286</f>
        <v>0</v>
      </c>
      <c r="M22" s="213">
        <f>+'ACCIONES 329902'!Q286</f>
        <v>0</v>
      </c>
      <c r="N22" s="213">
        <f>+'ACCIONES 329902'!R286</f>
        <v>0</v>
      </c>
      <c r="O22" s="213">
        <f>+'ACCIONES 329902'!S286</f>
        <v>0</v>
      </c>
      <c r="P22" s="489">
        <f>+'ACCIONES 329902'!T286</f>
        <v>20000000</v>
      </c>
    </row>
    <row r="23" spans="1:16" s="150" customFormat="1" ht="26.25" customHeight="1">
      <c r="A23" s="773"/>
      <c r="B23" s="5" t="s">
        <v>1011</v>
      </c>
      <c r="C23" s="6" t="s">
        <v>1112</v>
      </c>
      <c r="D23" s="6">
        <v>100</v>
      </c>
      <c r="E23" s="213">
        <f>+'ACCIONES 329902'!I288</f>
        <v>17810051.379999999</v>
      </c>
      <c r="F23" s="213">
        <f>+'ACCIONES 329902'!J288</f>
        <v>0</v>
      </c>
      <c r="G23" s="213">
        <f>+'ACCIONES 329902'!K288</f>
        <v>0</v>
      </c>
      <c r="H23" s="213">
        <f>+'ACCIONES 329902'!L288</f>
        <v>0</v>
      </c>
      <c r="I23" s="213">
        <f>+'ACCIONES 329902'!M288</f>
        <v>0</v>
      </c>
      <c r="J23" s="213">
        <f>+'ACCIONES 329902'!N288</f>
        <v>17810051.379999999</v>
      </c>
      <c r="K23" s="213">
        <f>+'ACCIONES 329902'!O288</f>
        <v>0</v>
      </c>
      <c r="L23" s="213">
        <f>+'ACCIONES 329902'!P288</f>
        <v>0</v>
      </c>
      <c r="M23" s="213">
        <f>+'ACCIONES 329902'!Q288</f>
        <v>0</v>
      </c>
      <c r="N23" s="213">
        <f>+'ACCIONES 329902'!R288</f>
        <v>0</v>
      </c>
      <c r="O23" s="213">
        <f>+'ACCIONES 329902'!S288</f>
        <v>0</v>
      </c>
      <c r="P23" s="489">
        <f>+'ACCIONES 329902'!T288</f>
        <v>17810051.379999999</v>
      </c>
    </row>
    <row r="24" spans="1:16" s="150" customFormat="1" ht="25.5">
      <c r="A24" s="773"/>
      <c r="B24" s="5" t="s">
        <v>220</v>
      </c>
      <c r="C24" s="6" t="s">
        <v>1113</v>
      </c>
      <c r="D24" s="6">
        <v>45</v>
      </c>
      <c r="E24" s="213">
        <f>+'ACCIONES 329902'!I290</f>
        <v>0</v>
      </c>
      <c r="F24" s="213">
        <f>+'ACCIONES 329902'!J290</f>
        <v>0</v>
      </c>
      <c r="G24" s="213">
        <f>+'ACCIONES 329902'!K290</f>
        <v>0</v>
      </c>
      <c r="H24" s="213">
        <f>+'ACCIONES 329902'!L290</f>
        <v>0</v>
      </c>
      <c r="I24" s="213">
        <f>+'ACCIONES 329902'!M290</f>
        <v>0</v>
      </c>
      <c r="J24" s="213">
        <f>+'ACCIONES 329902'!N290</f>
        <v>0</v>
      </c>
      <c r="K24" s="213">
        <f>+'ACCIONES 329902'!O290</f>
        <v>0</v>
      </c>
      <c r="L24" s="213">
        <f>+'ACCIONES 329902'!P290</f>
        <v>10000000</v>
      </c>
      <c r="M24" s="213">
        <f>+'ACCIONES 329902'!Q290</f>
        <v>0</v>
      </c>
      <c r="N24" s="213">
        <f>+'ACCIONES 329902'!R290</f>
        <v>0</v>
      </c>
      <c r="O24" s="213">
        <f>+'ACCIONES 329902'!S290</f>
        <v>10000000</v>
      </c>
      <c r="P24" s="489">
        <f>+'ACCIONES 329902'!T290</f>
        <v>10000000</v>
      </c>
    </row>
    <row r="25" spans="1:16" s="150" customFormat="1" ht="48.75" customHeight="1" thickBot="1">
      <c r="A25" s="773"/>
      <c r="B25" s="28" t="s">
        <v>218</v>
      </c>
      <c r="C25" s="396" t="s">
        <v>1098</v>
      </c>
      <c r="D25" s="396">
        <v>100</v>
      </c>
      <c r="E25" s="422">
        <f>+'ACCIONES 329902'!I292</f>
        <v>53545392.255999997</v>
      </c>
      <c r="F25" s="422">
        <f>+'ACCIONES 329902'!J292</f>
        <v>100875466.94400001</v>
      </c>
      <c r="G25" s="422">
        <f>+'ACCIONES 329902'!K292</f>
        <v>0</v>
      </c>
      <c r="H25" s="422">
        <f>+'ACCIONES 329902'!L292</f>
        <v>0</v>
      </c>
      <c r="I25" s="422">
        <f>+'ACCIONES 329902'!M292</f>
        <v>0</v>
      </c>
      <c r="J25" s="422">
        <f>+'ACCIONES 329902'!N292</f>
        <v>154420859.19999999</v>
      </c>
      <c r="K25" s="422">
        <f>+'ACCIONES 329902'!O292</f>
        <v>0</v>
      </c>
      <c r="L25" s="422">
        <f>+'ACCIONES 329902'!P292</f>
        <v>0</v>
      </c>
      <c r="M25" s="422">
        <f>+'ACCIONES 329902'!Q292</f>
        <v>0</v>
      </c>
      <c r="N25" s="422">
        <f>+'ACCIONES 329902'!R292</f>
        <v>0</v>
      </c>
      <c r="O25" s="422">
        <f>+'ACCIONES 329902'!S292</f>
        <v>0</v>
      </c>
      <c r="P25" s="817">
        <f>+'ACCIONES 329902'!T292</f>
        <v>154420859.19999999</v>
      </c>
    </row>
    <row r="26" spans="1:16" s="150" customFormat="1" ht="39" thickBot="1">
      <c r="A26" s="406" t="s">
        <v>1457</v>
      </c>
      <c r="B26" s="816" t="s">
        <v>1445</v>
      </c>
      <c r="C26" s="841" t="s">
        <v>1098</v>
      </c>
      <c r="D26" s="841">
        <v>100</v>
      </c>
      <c r="E26" s="809">
        <f>SUM(E27)</f>
        <v>9388303.5999999754</v>
      </c>
      <c r="F26" s="809">
        <f t="shared" ref="F26:O26" si="5">SUM(F27)</f>
        <v>4772815.1999998093</v>
      </c>
      <c r="G26" s="809">
        <f t="shared" si="5"/>
        <v>0</v>
      </c>
      <c r="H26" s="809">
        <f t="shared" si="5"/>
        <v>0</v>
      </c>
      <c r="I26" s="809">
        <f t="shared" si="5"/>
        <v>0</v>
      </c>
      <c r="J26" s="809">
        <f t="shared" si="5"/>
        <v>14161118.799999785</v>
      </c>
      <c r="K26" s="809">
        <f t="shared" si="5"/>
        <v>0</v>
      </c>
      <c r="L26" s="809">
        <f t="shared" si="5"/>
        <v>0</v>
      </c>
      <c r="M26" s="809">
        <f t="shared" si="5"/>
        <v>0</v>
      </c>
      <c r="N26" s="809">
        <f t="shared" si="5"/>
        <v>0</v>
      </c>
      <c r="O26" s="809">
        <f t="shared" si="5"/>
        <v>0</v>
      </c>
      <c r="P26" s="810">
        <f>SUM(P27)</f>
        <v>14161118.799999785</v>
      </c>
    </row>
    <row r="27" spans="1:16" s="150" customFormat="1" ht="39" thickBot="1">
      <c r="A27" s="773"/>
      <c r="B27" s="590" t="s">
        <v>1188</v>
      </c>
      <c r="C27" s="1678" t="s">
        <v>1104</v>
      </c>
      <c r="D27" s="1678">
        <v>37</v>
      </c>
      <c r="E27" s="804">
        <f>+'ACCIONES 329902'!I298</f>
        <v>9388303.5999999754</v>
      </c>
      <c r="F27" s="804">
        <f>+'ACCIONES 329902'!J298</f>
        <v>4772815.1999998093</v>
      </c>
      <c r="G27" s="804">
        <f>+'ACCIONES 329902'!K298</f>
        <v>0</v>
      </c>
      <c r="H27" s="804">
        <f>+'ACCIONES 329902'!L298</f>
        <v>0</v>
      </c>
      <c r="I27" s="804">
        <f>+'ACCIONES 329902'!M298</f>
        <v>0</v>
      </c>
      <c r="J27" s="804">
        <f>+'ACCIONES 329902'!N298</f>
        <v>14161118.799999785</v>
      </c>
      <c r="K27" s="804">
        <f>+'ACCIONES 329902'!O298</f>
        <v>0</v>
      </c>
      <c r="L27" s="804">
        <f>+'ACCIONES 329902'!P298</f>
        <v>0</v>
      </c>
      <c r="M27" s="804">
        <f>+'ACCIONES 329902'!Q298</f>
        <v>0</v>
      </c>
      <c r="N27" s="804">
        <f>+'ACCIONES 329902'!R298</f>
        <v>0</v>
      </c>
      <c r="O27" s="804">
        <f>+'ACCIONES 329902'!S298</f>
        <v>0</v>
      </c>
      <c r="P27" s="805">
        <f>+'ACCIONES 329902'!T298</f>
        <v>14161118.799999785</v>
      </c>
    </row>
    <row r="28" spans="1:16" s="150" customFormat="1" ht="45" customHeight="1" thickBot="1">
      <c r="A28" s="406" t="s">
        <v>1457</v>
      </c>
      <c r="B28" s="508" t="s">
        <v>288</v>
      </c>
      <c r="C28" s="1692" t="s">
        <v>1098</v>
      </c>
      <c r="D28" s="1692">
        <v>100</v>
      </c>
      <c r="E28" s="813">
        <f>SUM(E29)</f>
        <v>19698881.600000098</v>
      </c>
      <c r="F28" s="813">
        <f t="shared" ref="F28:P28" si="6">SUM(F29)</f>
        <v>1614306.4000000954</v>
      </c>
      <c r="G28" s="813">
        <f t="shared" si="6"/>
        <v>0</v>
      </c>
      <c r="H28" s="813">
        <f t="shared" si="6"/>
        <v>0</v>
      </c>
      <c r="I28" s="813">
        <f t="shared" si="6"/>
        <v>0</v>
      </c>
      <c r="J28" s="813">
        <f t="shared" si="6"/>
        <v>21313188.000000194</v>
      </c>
      <c r="K28" s="813">
        <f t="shared" si="6"/>
        <v>0</v>
      </c>
      <c r="L28" s="813">
        <f t="shared" si="6"/>
        <v>0</v>
      </c>
      <c r="M28" s="813">
        <f t="shared" si="6"/>
        <v>0</v>
      </c>
      <c r="N28" s="813">
        <f t="shared" si="6"/>
        <v>0</v>
      </c>
      <c r="O28" s="813">
        <f t="shared" si="6"/>
        <v>0</v>
      </c>
      <c r="P28" s="814">
        <f t="shared" si="6"/>
        <v>21313188.000000194</v>
      </c>
    </row>
    <row r="29" spans="1:16" s="150" customFormat="1" ht="42.75" customHeight="1" thickBot="1">
      <c r="A29" s="773"/>
      <c r="B29" s="590" t="s">
        <v>1422</v>
      </c>
      <c r="C29" s="1678" t="s">
        <v>1098</v>
      </c>
      <c r="D29" s="1678">
        <v>100</v>
      </c>
      <c r="E29" s="804">
        <f>+'ACCIONES 329902'!I302</f>
        <v>19698881.600000098</v>
      </c>
      <c r="F29" s="804">
        <f>+'ACCIONES 329902'!J302</f>
        <v>1614306.4000000954</v>
      </c>
      <c r="G29" s="804">
        <f>+'ACCIONES 329902'!K302</f>
        <v>0</v>
      </c>
      <c r="H29" s="804">
        <f>+'ACCIONES 329902'!L302</f>
        <v>0</v>
      </c>
      <c r="I29" s="804">
        <f>+'ACCIONES 329902'!M302</f>
        <v>0</v>
      </c>
      <c r="J29" s="804">
        <f>+'ACCIONES 329902'!N302</f>
        <v>21313188.000000194</v>
      </c>
      <c r="K29" s="804">
        <f>+'ACCIONES 329902'!O302</f>
        <v>0</v>
      </c>
      <c r="L29" s="804">
        <f>+'ACCIONES 329902'!P302</f>
        <v>0</v>
      </c>
      <c r="M29" s="804">
        <f>+'ACCIONES 329902'!Q302</f>
        <v>0</v>
      </c>
      <c r="N29" s="804">
        <f>+'ACCIONES 329902'!R302</f>
        <v>0</v>
      </c>
      <c r="O29" s="804">
        <f>+'ACCIONES 329902'!S302</f>
        <v>0</v>
      </c>
      <c r="P29" s="805">
        <f>+'ACCIONES 329902'!T302</f>
        <v>21313188.000000194</v>
      </c>
    </row>
    <row r="30" spans="1:16" s="150" customFormat="1" ht="39" thickBot="1">
      <c r="A30" s="406" t="s">
        <v>1457</v>
      </c>
      <c r="B30" s="508" t="s">
        <v>1008</v>
      </c>
      <c r="C30" s="1692" t="s">
        <v>1098</v>
      </c>
      <c r="D30" s="1692">
        <v>100</v>
      </c>
      <c r="E30" s="813">
        <f>SUM(E31)</f>
        <v>4302240.4000000004</v>
      </c>
      <c r="F30" s="813">
        <f t="shared" ref="F30:O30" si="7">SUM(F31)</f>
        <v>0</v>
      </c>
      <c r="G30" s="813">
        <f t="shared" si="7"/>
        <v>0</v>
      </c>
      <c r="H30" s="813">
        <f t="shared" si="7"/>
        <v>0</v>
      </c>
      <c r="I30" s="813">
        <f t="shared" si="7"/>
        <v>0</v>
      </c>
      <c r="J30" s="813">
        <f t="shared" si="7"/>
        <v>4302240.4000000004</v>
      </c>
      <c r="K30" s="813">
        <f t="shared" si="7"/>
        <v>0</v>
      </c>
      <c r="L30" s="813">
        <f t="shared" si="7"/>
        <v>0</v>
      </c>
      <c r="M30" s="813">
        <f t="shared" si="7"/>
        <v>0</v>
      </c>
      <c r="N30" s="813">
        <f t="shared" si="7"/>
        <v>0</v>
      </c>
      <c r="O30" s="813">
        <f t="shared" si="7"/>
        <v>0</v>
      </c>
      <c r="P30" s="814">
        <f>SUM(P31)</f>
        <v>4302240.4000000004</v>
      </c>
    </row>
    <row r="31" spans="1:16" s="150" customFormat="1" ht="26.25" thickBot="1">
      <c r="A31" s="773"/>
      <c r="B31" s="590" t="s">
        <v>1009</v>
      </c>
      <c r="C31" s="1678" t="s">
        <v>1098</v>
      </c>
      <c r="D31" s="1678">
        <v>100</v>
      </c>
      <c r="E31" s="804">
        <f>+'ACCIONES 329902'!I308</f>
        <v>4302240.4000000004</v>
      </c>
      <c r="F31" s="804">
        <f>+'ACCIONES 329902'!J308</f>
        <v>0</v>
      </c>
      <c r="G31" s="804">
        <f>+'ACCIONES 329902'!K308</f>
        <v>0</v>
      </c>
      <c r="H31" s="804">
        <f>+'ACCIONES 329902'!L308</f>
        <v>0</v>
      </c>
      <c r="I31" s="804">
        <f>+'ACCIONES 329902'!M308</f>
        <v>0</v>
      </c>
      <c r="J31" s="804">
        <f>+'ACCIONES 329902'!N308</f>
        <v>4302240.4000000004</v>
      </c>
      <c r="K31" s="804">
        <f>+'ACCIONES 329902'!O308</f>
        <v>0</v>
      </c>
      <c r="L31" s="804">
        <f>+'ACCIONES 329902'!P308</f>
        <v>0</v>
      </c>
      <c r="M31" s="804">
        <f>+'ACCIONES 329902'!Q308</f>
        <v>0</v>
      </c>
      <c r="N31" s="804">
        <f>+'ACCIONES 329902'!R308</f>
        <v>0</v>
      </c>
      <c r="O31" s="804">
        <f>+'ACCIONES 329902'!S308</f>
        <v>0</v>
      </c>
      <c r="P31" s="805">
        <f>+'ACCIONES 329902'!T308</f>
        <v>4302240.4000000004</v>
      </c>
    </row>
    <row r="32" spans="1:16" s="150" customFormat="1" ht="39" thickBot="1">
      <c r="A32" s="406" t="s">
        <v>1457</v>
      </c>
      <c r="B32" s="808" t="s">
        <v>1446</v>
      </c>
      <c r="C32" s="1708" t="s">
        <v>1098</v>
      </c>
      <c r="D32" s="1708">
        <v>100</v>
      </c>
      <c r="E32" s="809">
        <f>SUM(E33)</f>
        <v>4302943.2</v>
      </c>
      <c r="F32" s="809">
        <f t="shared" ref="F32:O32" si="8">SUM(F33)</f>
        <v>0</v>
      </c>
      <c r="G32" s="809">
        <f t="shared" si="8"/>
        <v>0</v>
      </c>
      <c r="H32" s="809">
        <f t="shared" si="8"/>
        <v>0</v>
      </c>
      <c r="I32" s="809">
        <f t="shared" si="8"/>
        <v>0</v>
      </c>
      <c r="J32" s="809">
        <f t="shared" si="8"/>
        <v>4302943.2</v>
      </c>
      <c r="K32" s="809">
        <f t="shared" si="8"/>
        <v>0</v>
      </c>
      <c r="L32" s="809">
        <f t="shared" si="8"/>
        <v>0</v>
      </c>
      <c r="M32" s="809">
        <f t="shared" si="8"/>
        <v>0</v>
      </c>
      <c r="N32" s="809">
        <f t="shared" si="8"/>
        <v>0</v>
      </c>
      <c r="O32" s="809">
        <f t="shared" si="8"/>
        <v>0</v>
      </c>
      <c r="P32" s="810">
        <f>SUM(P33)</f>
        <v>4302943.2</v>
      </c>
    </row>
    <row r="33" spans="1:16" s="150" customFormat="1" ht="39" thickBot="1">
      <c r="A33" s="773"/>
      <c r="B33" s="477" t="s">
        <v>1193</v>
      </c>
      <c r="C33" s="1693" t="s">
        <v>1098</v>
      </c>
      <c r="D33" s="1693">
        <v>100</v>
      </c>
      <c r="E33" s="804">
        <f>+'ACCIONES 329902'!I311</f>
        <v>4302943.2</v>
      </c>
      <c r="F33" s="804">
        <f>+'ACCIONES 329902'!J311</f>
        <v>0</v>
      </c>
      <c r="G33" s="804">
        <f>+'ACCIONES 329902'!K311</f>
        <v>0</v>
      </c>
      <c r="H33" s="804">
        <f>+'ACCIONES 329902'!L311</f>
        <v>0</v>
      </c>
      <c r="I33" s="804">
        <f>+'ACCIONES 329902'!M311</f>
        <v>0</v>
      </c>
      <c r="J33" s="804">
        <f>+'ACCIONES 329902'!N311</f>
        <v>4302943.2</v>
      </c>
      <c r="K33" s="804">
        <f>+'ACCIONES 329902'!O311</f>
        <v>0</v>
      </c>
      <c r="L33" s="804">
        <f>+'ACCIONES 329902'!P311</f>
        <v>0</v>
      </c>
      <c r="M33" s="804">
        <f>+'ACCIONES 329902'!Q311</f>
        <v>0</v>
      </c>
      <c r="N33" s="804">
        <f>+'ACCIONES 329902'!R311</f>
        <v>0</v>
      </c>
      <c r="O33" s="804">
        <f>+'ACCIONES 329902'!S311</f>
        <v>0</v>
      </c>
      <c r="P33" s="805">
        <f>+'ACCIONES 329902'!T311</f>
        <v>4302943.2</v>
      </c>
    </row>
    <row r="34" spans="1:16" s="119" customFormat="1" ht="13.5" thickBot="1">
      <c r="A34" s="287"/>
      <c r="B34" s="1655" t="s">
        <v>10</v>
      </c>
      <c r="C34" s="802"/>
      <c r="D34" s="802"/>
      <c r="E34" s="518">
        <f t="shared" ref="E34:P34" si="9">+E10+E12+E14+E16+E20+E26+E28+E30+E32</f>
        <v>2181511505.1199989</v>
      </c>
      <c r="F34" s="518">
        <f t="shared" si="9"/>
        <v>3171321725.1999993</v>
      </c>
      <c r="G34" s="518">
        <f t="shared" si="9"/>
        <v>14685561.303599982</v>
      </c>
      <c r="H34" s="518">
        <f t="shared" si="9"/>
        <v>1092632960</v>
      </c>
      <c r="I34" s="518">
        <f t="shared" si="9"/>
        <v>256871020.329</v>
      </c>
      <c r="J34" s="518">
        <f t="shared" si="9"/>
        <v>6717022771.9525986</v>
      </c>
      <c r="K34" s="518">
        <f t="shared" si="9"/>
        <v>100000000</v>
      </c>
      <c r="L34" s="518">
        <f t="shared" si="9"/>
        <v>377986841.93640012</v>
      </c>
      <c r="M34" s="518">
        <f t="shared" si="9"/>
        <v>97027480</v>
      </c>
      <c r="N34" s="518">
        <f t="shared" si="9"/>
        <v>299487383.0200001</v>
      </c>
      <c r="O34" s="518">
        <f t="shared" si="9"/>
        <v>874501704.95640016</v>
      </c>
      <c r="P34" s="518">
        <f t="shared" si="9"/>
        <v>7591524476.9089985</v>
      </c>
    </row>
    <row r="35" spans="1:16" ht="13.5" thickBot="1">
      <c r="J35" s="121"/>
      <c r="K35" s="121"/>
      <c r="L35" s="121"/>
      <c r="M35" s="121"/>
      <c r="N35" s="121"/>
      <c r="O35" s="121"/>
      <c r="P35" s="121"/>
    </row>
    <row r="36" spans="1:16" ht="13.5" thickBot="1">
      <c r="E36" s="191">
        <v>2181511505.1199989</v>
      </c>
      <c r="F36" s="191">
        <v>3171321725.2000003</v>
      </c>
      <c r="G36" s="191">
        <v>14685561.303599982</v>
      </c>
      <c r="H36" s="191">
        <v>1092632960</v>
      </c>
      <c r="I36" s="191">
        <v>256871020.329</v>
      </c>
      <c r="J36" s="192">
        <v>6717022771.9525986</v>
      </c>
      <c r="K36" s="192">
        <v>100000000</v>
      </c>
      <c r="L36" s="192">
        <v>377986841.93640012</v>
      </c>
      <c r="M36" s="192">
        <v>97027480</v>
      </c>
      <c r="N36" s="192">
        <v>299487383.0200001</v>
      </c>
      <c r="O36" s="192">
        <v>874501704.95640016</v>
      </c>
      <c r="P36" s="192">
        <v>7591524476.9089985</v>
      </c>
    </row>
    <row r="37" spans="1:16" ht="8.25" customHeight="1">
      <c r="K37" s="336"/>
      <c r="L37" s="336"/>
      <c r="M37" s="336"/>
      <c r="N37" s="336"/>
      <c r="O37" s="336"/>
      <c r="P37" s="336"/>
    </row>
    <row r="38" spans="1:16">
      <c r="E38" s="121">
        <f>+E36-E34</f>
        <v>0</v>
      </c>
      <c r="F38" s="121">
        <f t="shared" ref="F38:P38" si="10">+F36-F34</f>
        <v>0</v>
      </c>
      <c r="G38" s="121">
        <f t="shared" si="10"/>
        <v>0</v>
      </c>
      <c r="H38" s="121">
        <f t="shared" si="10"/>
        <v>0</v>
      </c>
      <c r="I38" s="121">
        <f t="shared" si="10"/>
        <v>0</v>
      </c>
      <c r="J38" s="121">
        <f t="shared" si="10"/>
        <v>0</v>
      </c>
      <c r="K38" s="121">
        <f t="shared" si="10"/>
        <v>0</v>
      </c>
      <c r="L38" s="121">
        <f t="shared" si="10"/>
        <v>0</v>
      </c>
      <c r="M38" s="121">
        <f t="shared" si="10"/>
        <v>0</v>
      </c>
      <c r="N38" s="121">
        <f t="shared" si="10"/>
        <v>0</v>
      </c>
      <c r="O38" s="121">
        <f t="shared" si="10"/>
        <v>0</v>
      </c>
      <c r="P38" s="121">
        <f t="shared" si="10"/>
        <v>0</v>
      </c>
    </row>
    <row r="51" spans="12:12">
      <c r="L51" s="313"/>
    </row>
  </sheetData>
  <mergeCells count="25">
    <mergeCell ref="B5:P5"/>
    <mergeCell ref="E8:E9"/>
    <mergeCell ref="F8:F9"/>
    <mergeCell ref="H8:H9"/>
    <mergeCell ref="I8:I9"/>
    <mergeCell ref="K8:K9"/>
    <mergeCell ref="N8:N9"/>
    <mergeCell ref="P7:P9"/>
    <mergeCell ref="L8:L9"/>
    <mergeCell ref="M8:M9"/>
    <mergeCell ref="B6:P6"/>
    <mergeCell ref="O8:O9"/>
    <mergeCell ref="J7:J9"/>
    <mergeCell ref="K7:O7"/>
    <mergeCell ref="B1:B3"/>
    <mergeCell ref="E1:N3"/>
    <mergeCell ref="O1:P1"/>
    <mergeCell ref="O2:P2"/>
    <mergeCell ref="O3:P3"/>
    <mergeCell ref="A7:A9"/>
    <mergeCell ref="B7:B9"/>
    <mergeCell ref="E7:I7"/>
    <mergeCell ref="C8:C9"/>
    <mergeCell ref="D8:D9"/>
    <mergeCell ref="G8:G9"/>
  </mergeCells>
  <pageMargins left="0.7" right="0.7" top="0.75" bottom="0.75" header="0.3" footer="0.3"/>
  <pageSetup paperSize="9"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0" tint="-4.9989318521683403E-2"/>
  </sheetPr>
  <dimension ref="A1:AI331"/>
  <sheetViews>
    <sheetView zoomScale="60" zoomScaleNormal="60" workbookViewId="0">
      <pane xSplit="8" ySplit="9" topLeftCell="P268" activePane="bottomRight" state="frozen"/>
      <selection activeCell="F55" sqref="F55"/>
      <selection pane="topRight" activeCell="F55" sqref="F55"/>
      <selection pane="bottomLeft" activeCell="F55" sqref="F55"/>
      <selection pane="bottomRight" activeCell="T283" sqref="T283"/>
    </sheetView>
  </sheetViews>
  <sheetFormatPr baseColWidth="10" defaultColWidth="11.42578125" defaultRowHeight="12.75"/>
  <cols>
    <col min="1" max="1" width="5.7109375" style="120" customWidth="1"/>
    <col min="2" max="2" width="7.7109375" style="120" customWidth="1"/>
    <col min="3" max="3" width="39.5703125" style="1" customWidth="1"/>
    <col min="4" max="4" width="15.140625" style="1" customWidth="1"/>
    <col min="5" max="5" width="10.5703125" style="316" customWidth="1"/>
    <col min="6" max="6" width="11.140625" style="96" customWidth="1"/>
    <col min="7" max="7" width="9.5703125" style="96" customWidth="1"/>
    <col min="8" max="8" width="15.42578125" style="96" customWidth="1"/>
    <col min="9" max="9" width="15.140625" style="121" customWidth="1"/>
    <col min="10" max="11" width="14.85546875" style="121" customWidth="1"/>
    <col min="12" max="12" width="16.7109375" style="121" customWidth="1"/>
    <col min="13" max="13" width="13.7109375" style="121" customWidth="1"/>
    <col min="14" max="14" width="15" style="336" customWidth="1"/>
    <col min="15" max="15" width="14.5703125" style="1" bestFit="1" customWidth="1"/>
    <col min="16" max="16" width="13.5703125" style="1" customWidth="1"/>
    <col min="17" max="17" width="17.140625" style="1" customWidth="1"/>
    <col min="18" max="18" width="17.7109375" style="1" customWidth="1"/>
    <col min="19" max="19" width="13.5703125" style="1" customWidth="1"/>
    <col min="20" max="20" width="15.7109375" style="1" customWidth="1"/>
    <col min="21" max="21" width="16.42578125" style="1" customWidth="1"/>
    <col min="22" max="22" width="17.42578125" style="1" customWidth="1"/>
    <col min="23" max="23" width="15.140625" style="1" customWidth="1"/>
    <col min="24" max="24" width="18" style="1" customWidth="1"/>
    <col min="25" max="25" width="13.28515625" style="1" bestFit="1" customWidth="1"/>
    <col min="26" max="26" width="15.140625" style="1" bestFit="1" customWidth="1"/>
    <col min="27" max="28" width="11.42578125" style="1"/>
    <col min="29" max="30" width="12.42578125" style="1" bestFit="1" customWidth="1"/>
    <col min="31" max="31" width="13.5703125" style="1" bestFit="1" customWidth="1"/>
    <col min="32" max="33" width="12.42578125" style="1" bestFit="1" customWidth="1"/>
    <col min="34" max="35" width="11.42578125" style="1"/>
    <col min="36" max="36" width="22" style="1" bestFit="1" customWidth="1"/>
    <col min="37" max="37" width="10.85546875" style="1" bestFit="1" customWidth="1"/>
    <col min="38" max="16384" width="11.42578125" style="1"/>
  </cols>
  <sheetData>
    <row r="1" spans="1:35" ht="11.25" customHeight="1" thickBot="1">
      <c r="C1" s="2151"/>
      <c r="D1" s="2330" t="s">
        <v>367</v>
      </c>
      <c r="E1" s="2330"/>
      <c r="F1" s="2330"/>
      <c r="G1" s="2330"/>
      <c r="H1" s="2330"/>
      <c r="I1" s="2330"/>
      <c r="J1" s="2330"/>
      <c r="K1" s="2330"/>
      <c r="L1" s="2330"/>
      <c r="M1" s="2330"/>
      <c r="N1" s="2330"/>
      <c r="O1" s="2330"/>
      <c r="P1" s="2330"/>
      <c r="Q1" s="2330"/>
      <c r="R1" s="2330"/>
      <c r="S1" s="2248" t="s">
        <v>364</v>
      </c>
      <c r="T1" s="2249"/>
    </row>
    <row r="2" spans="1:35" ht="11.25" customHeight="1" thickBot="1">
      <c r="C2" s="2152"/>
      <c r="D2" s="2330"/>
      <c r="E2" s="2330"/>
      <c r="F2" s="2330"/>
      <c r="G2" s="2330"/>
      <c r="H2" s="2330"/>
      <c r="I2" s="2330"/>
      <c r="J2" s="2330"/>
      <c r="K2" s="2330"/>
      <c r="L2" s="2330"/>
      <c r="M2" s="2330"/>
      <c r="N2" s="2330"/>
      <c r="O2" s="2330"/>
      <c r="P2" s="2330"/>
      <c r="Q2" s="2330"/>
      <c r="R2" s="2330"/>
      <c r="S2" s="2250" t="s">
        <v>365</v>
      </c>
      <c r="T2" s="2251"/>
    </row>
    <row r="3" spans="1:35" ht="11.25" customHeight="1" thickBot="1">
      <c r="C3" s="2153"/>
      <c r="D3" s="2330"/>
      <c r="E3" s="2330"/>
      <c r="F3" s="2330"/>
      <c r="G3" s="2330"/>
      <c r="H3" s="2330"/>
      <c r="I3" s="2330"/>
      <c r="J3" s="2330"/>
      <c r="K3" s="2330"/>
      <c r="L3" s="2330"/>
      <c r="M3" s="2330"/>
      <c r="N3" s="2330"/>
      <c r="O3" s="2330"/>
      <c r="P3" s="2330"/>
      <c r="Q3" s="2330"/>
      <c r="R3" s="2330"/>
      <c r="S3" s="2252" t="s">
        <v>366</v>
      </c>
      <c r="T3" s="2253"/>
    </row>
    <row r="4" spans="1:35" ht="6" customHeight="1" thickBot="1">
      <c r="N4" s="121"/>
      <c r="O4" s="119"/>
      <c r="P4" s="119"/>
      <c r="Q4" s="119"/>
      <c r="R4" s="119"/>
      <c r="S4" s="119"/>
      <c r="T4" s="119"/>
    </row>
    <row r="5" spans="1:35" ht="15" customHeight="1" thickBot="1">
      <c r="C5" s="2331" t="s">
        <v>187</v>
      </c>
      <c r="D5" s="2331"/>
      <c r="E5" s="2331"/>
      <c r="F5" s="2331"/>
      <c r="G5" s="2331"/>
      <c r="H5" s="2331"/>
      <c r="I5" s="2331"/>
      <c r="J5" s="2331"/>
      <c r="K5" s="2331"/>
      <c r="L5" s="2331"/>
      <c r="M5" s="2331"/>
      <c r="N5" s="2331"/>
      <c r="O5" s="2331"/>
      <c r="P5" s="2331"/>
      <c r="Q5" s="2331"/>
      <c r="R5" s="2331"/>
      <c r="S5" s="2331"/>
      <c r="T5" s="2331"/>
      <c r="U5" s="1125">
        <f>+T141+T142+T144+T151+T152+T156+T157+T143+T145+T146+T147+T148+T149+T155+T159+T153+T154</f>
        <v>404964103.14999986</v>
      </c>
      <c r="V5" s="1125">
        <f>+U5+'ACCIONES 320301'!S19</f>
        <v>2190680637.650001</v>
      </c>
    </row>
    <row r="6" spans="1:35" ht="13.5" thickBot="1">
      <c r="C6" s="2331" t="s">
        <v>1405</v>
      </c>
      <c r="D6" s="2331"/>
      <c r="E6" s="2331"/>
      <c r="F6" s="2331"/>
      <c r="G6" s="2331"/>
      <c r="H6" s="2331"/>
      <c r="I6" s="2331"/>
      <c r="J6" s="2331"/>
      <c r="K6" s="2331"/>
      <c r="L6" s="2331"/>
      <c r="M6" s="2331"/>
      <c r="N6" s="2331"/>
      <c r="O6" s="2331"/>
      <c r="P6" s="2331"/>
      <c r="Q6" s="2331"/>
      <c r="R6" s="2331"/>
      <c r="S6" s="2331"/>
      <c r="T6" s="2331"/>
    </row>
    <row r="7" spans="1:35" ht="30" customHeight="1" thickBot="1">
      <c r="A7" s="2309" t="s">
        <v>368</v>
      </c>
      <c r="B7" s="2295" t="s">
        <v>369</v>
      </c>
      <c r="C7" s="2426" t="s">
        <v>311</v>
      </c>
      <c r="D7" s="2180" t="s">
        <v>312</v>
      </c>
      <c r="E7" s="2180" t="s">
        <v>351</v>
      </c>
      <c r="F7" s="2180" t="s">
        <v>313</v>
      </c>
      <c r="G7" s="2180" t="s">
        <v>191</v>
      </c>
      <c r="H7" s="2180" t="s">
        <v>387</v>
      </c>
      <c r="I7" s="2427" t="s">
        <v>189</v>
      </c>
      <c r="J7" s="2428"/>
      <c r="K7" s="2428"/>
      <c r="L7" s="2428"/>
      <c r="M7" s="2429"/>
      <c r="N7" s="2425" t="s">
        <v>965</v>
      </c>
      <c r="O7" s="2273" t="s">
        <v>527</v>
      </c>
      <c r="P7" s="2274"/>
      <c r="Q7" s="2274"/>
      <c r="R7" s="2274"/>
      <c r="S7" s="2275"/>
      <c r="T7" s="2210" t="s">
        <v>1014</v>
      </c>
      <c r="U7" s="745" t="s">
        <v>1280</v>
      </c>
      <c r="V7" s="1024" t="s">
        <v>1276</v>
      </c>
      <c r="W7" s="1024" t="s">
        <v>1277</v>
      </c>
      <c r="X7" s="2156" t="s">
        <v>1278</v>
      </c>
      <c r="Y7" s="2281" t="s">
        <v>1286</v>
      </c>
      <c r="Z7" s="2281"/>
      <c r="AA7" s="2281"/>
      <c r="AB7" s="2281"/>
      <c r="AC7" s="2281"/>
      <c r="AD7" s="2281" t="s">
        <v>1284</v>
      </c>
      <c r="AE7" s="2281"/>
      <c r="AF7" s="2281"/>
      <c r="AH7" s="2154" t="s">
        <v>1302</v>
      </c>
      <c r="AI7" s="2154"/>
    </row>
    <row r="8" spans="1:35" ht="30" customHeight="1">
      <c r="A8" s="2309"/>
      <c r="B8" s="2295"/>
      <c r="C8" s="2426"/>
      <c r="D8" s="2180"/>
      <c r="E8" s="2180"/>
      <c r="F8" s="2180"/>
      <c r="G8" s="2180"/>
      <c r="H8" s="2180"/>
      <c r="I8" s="2312" t="s">
        <v>192</v>
      </c>
      <c r="J8" s="2422" t="s">
        <v>194</v>
      </c>
      <c r="K8" s="2312" t="s">
        <v>193</v>
      </c>
      <c r="L8" s="2422" t="s">
        <v>209</v>
      </c>
      <c r="M8" s="2312" t="s">
        <v>216</v>
      </c>
      <c r="N8" s="2425"/>
      <c r="O8" s="2210" t="s">
        <v>194</v>
      </c>
      <c r="P8" s="2210" t="s">
        <v>192</v>
      </c>
      <c r="Q8" s="2210" t="s">
        <v>216</v>
      </c>
      <c r="R8" s="2210" t="s">
        <v>209</v>
      </c>
      <c r="S8" s="2139" t="s">
        <v>995</v>
      </c>
      <c r="T8" s="2180"/>
      <c r="U8" s="1030"/>
      <c r="V8" s="1030"/>
      <c r="W8" s="1030"/>
      <c r="X8" s="2156"/>
      <c r="Y8" s="734" t="s">
        <v>192</v>
      </c>
      <c r="Z8" s="734" t="s">
        <v>194</v>
      </c>
      <c r="AA8" s="734" t="s">
        <v>193</v>
      </c>
      <c r="AB8" s="734" t="s">
        <v>209</v>
      </c>
      <c r="AC8" s="734" t="s">
        <v>216</v>
      </c>
      <c r="AD8" s="1024" t="s">
        <v>194</v>
      </c>
      <c r="AE8" s="734" t="s">
        <v>192</v>
      </c>
      <c r="AF8" s="734" t="s">
        <v>216</v>
      </c>
      <c r="AG8" s="1056" t="s">
        <v>209</v>
      </c>
      <c r="AH8" s="2281" t="s">
        <v>1288</v>
      </c>
      <c r="AI8" s="2281" t="s">
        <v>1289</v>
      </c>
    </row>
    <row r="9" spans="1:35" ht="30" customHeight="1" thickBot="1">
      <c r="A9" s="2309"/>
      <c r="B9" s="2295"/>
      <c r="C9" s="2426"/>
      <c r="D9" s="2180"/>
      <c r="E9" s="2180"/>
      <c r="F9" s="2180"/>
      <c r="G9" s="2180"/>
      <c r="H9" s="2180"/>
      <c r="I9" s="2326"/>
      <c r="J9" s="2423"/>
      <c r="K9" s="2326"/>
      <c r="L9" s="2423"/>
      <c r="M9" s="2326"/>
      <c r="N9" s="2425"/>
      <c r="O9" s="2180"/>
      <c r="P9" s="2180"/>
      <c r="Q9" s="2180"/>
      <c r="R9" s="2180"/>
      <c r="S9" s="2142"/>
      <c r="T9" s="2180"/>
      <c r="U9" s="150"/>
      <c r="X9" s="150"/>
      <c r="AE9" s="157"/>
      <c r="AF9" s="157"/>
      <c r="AH9" s="2281"/>
      <c r="AI9" s="2281"/>
    </row>
    <row r="10" spans="1:35" s="150" customFormat="1" ht="39" thickBot="1">
      <c r="A10" s="1861">
        <v>231</v>
      </c>
      <c r="B10" s="1862"/>
      <c r="C10" s="166" t="s">
        <v>1441</v>
      </c>
      <c r="D10" s="842"/>
      <c r="E10" s="843"/>
      <c r="F10" s="844" t="s">
        <v>1098</v>
      </c>
      <c r="G10" s="844">
        <v>100</v>
      </c>
      <c r="H10" s="844"/>
      <c r="I10" s="824">
        <f>+I11</f>
        <v>288201114.91600001</v>
      </c>
      <c r="J10" s="824">
        <f t="shared" ref="J10:T10" si="0">+J11</f>
        <v>246210016.648</v>
      </c>
      <c r="K10" s="824"/>
      <c r="L10" s="824">
        <f t="shared" si="0"/>
        <v>0</v>
      </c>
      <c r="M10" s="824">
        <f t="shared" si="0"/>
        <v>60885380.664000005</v>
      </c>
      <c r="N10" s="824">
        <f t="shared" si="0"/>
        <v>595296512.22799993</v>
      </c>
      <c r="O10" s="824">
        <f t="shared" si="0"/>
        <v>0</v>
      </c>
      <c r="P10" s="824">
        <f t="shared" si="0"/>
        <v>23043345.888</v>
      </c>
      <c r="Q10" s="824">
        <f t="shared" si="0"/>
        <v>14096400.960000001</v>
      </c>
      <c r="R10" s="824">
        <f t="shared" si="0"/>
        <v>84475989.320000023</v>
      </c>
      <c r="S10" s="824">
        <f t="shared" si="0"/>
        <v>121615736.16800001</v>
      </c>
      <c r="T10" s="825">
        <f t="shared" si="0"/>
        <v>716912248.39599979</v>
      </c>
      <c r="U10" s="1025"/>
      <c r="V10" s="1025"/>
      <c r="W10" s="1025"/>
      <c r="X10" s="1025"/>
      <c r="Y10" s="1025"/>
      <c r="Z10" s="1025"/>
      <c r="AA10" s="1025"/>
      <c r="AB10" s="1025"/>
      <c r="AC10" s="1025"/>
      <c r="AD10" s="1025"/>
      <c r="AE10" s="1025"/>
      <c r="AF10" s="1025"/>
      <c r="AG10" s="1025"/>
      <c r="AH10" s="2281"/>
      <c r="AI10" s="2281"/>
    </row>
    <row r="11" spans="1:35" s="150" customFormat="1" ht="38.25">
      <c r="A11" s="1861"/>
      <c r="B11" s="1862" t="s">
        <v>1510</v>
      </c>
      <c r="C11" s="196" t="s">
        <v>1020</v>
      </c>
      <c r="D11" s="194"/>
      <c r="E11" s="197"/>
      <c r="F11" s="197" t="s">
        <v>1110</v>
      </c>
      <c r="G11" s="197">
        <v>55</v>
      </c>
      <c r="H11" s="197"/>
      <c r="I11" s="837">
        <f>SUM(I12:I84)</f>
        <v>288201114.91600001</v>
      </c>
      <c r="J11" s="837">
        <f t="shared" ref="J11:T11" si="1">SUM(J12:J84)</f>
        <v>246210016.648</v>
      </c>
      <c r="K11" s="837"/>
      <c r="L11" s="837">
        <f t="shared" si="1"/>
        <v>0</v>
      </c>
      <c r="M11" s="837">
        <f t="shared" si="1"/>
        <v>60885380.664000005</v>
      </c>
      <c r="N11" s="837">
        <f t="shared" si="1"/>
        <v>595296512.22799993</v>
      </c>
      <c r="O11" s="837">
        <f t="shared" si="1"/>
        <v>0</v>
      </c>
      <c r="P11" s="837">
        <f t="shared" si="1"/>
        <v>23043345.888</v>
      </c>
      <c r="Q11" s="837">
        <f t="shared" si="1"/>
        <v>14096400.960000001</v>
      </c>
      <c r="R11" s="837">
        <f t="shared" si="1"/>
        <v>84475989.320000023</v>
      </c>
      <c r="S11" s="837">
        <f t="shared" si="1"/>
        <v>121615736.16800001</v>
      </c>
      <c r="T11" s="838">
        <f t="shared" si="1"/>
        <v>716912248.39599979</v>
      </c>
      <c r="U11" s="1025"/>
      <c r="V11" s="1025"/>
      <c r="W11" s="1025"/>
      <c r="X11" s="1025"/>
      <c r="Y11" s="1025"/>
      <c r="Z11" s="1025"/>
      <c r="AA11" s="1025"/>
      <c r="AB11" s="1025"/>
      <c r="AC11" s="1025"/>
      <c r="AD11" s="1025"/>
      <c r="AE11" s="1025"/>
      <c r="AF11" s="1025"/>
      <c r="AG11" s="1025"/>
      <c r="AH11" s="1025"/>
      <c r="AI11" s="1025"/>
    </row>
    <row r="12" spans="1:35" s="1158" customFormat="1" ht="15">
      <c r="A12" s="294"/>
      <c r="B12" s="294"/>
      <c r="C12" s="1743" t="s">
        <v>1127</v>
      </c>
      <c r="D12" s="1165" t="s">
        <v>471</v>
      </c>
      <c r="E12" s="1095" t="s">
        <v>466</v>
      </c>
      <c r="F12" s="1165" t="s">
        <v>521</v>
      </c>
      <c r="G12" s="1165"/>
      <c r="H12" s="1165"/>
      <c r="I12" s="1133"/>
      <c r="J12" s="1133"/>
      <c r="K12" s="1133"/>
      <c r="L12" s="1133"/>
      <c r="M12" s="1133">
        <v>5737269.648000001</v>
      </c>
      <c r="N12" s="1734">
        <f t="shared" ref="N12:N45" si="2">+SUM(I12:M12)</f>
        <v>5737269.648000001</v>
      </c>
      <c r="O12" s="1133"/>
      <c r="P12" s="1133"/>
      <c r="Q12" s="1133"/>
      <c r="R12" s="1133"/>
      <c r="S12" s="1734">
        <f>+SUM(O12:R12)</f>
        <v>0</v>
      </c>
      <c r="T12" s="1732">
        <f>+S12+N12</f>
        <v>5737269.648000001</v>
      </c>
      <c r="U12" s="1275">
        <v>5737269.648000001</v>
      </c>
      <c r="V12" s="1275">
        <v>5737269.648000001</v>
      </c>
      <c r="W12" s="1125">
        <v>5737269.648000001</v>
      </c>
      <c r="X12" s="1125">
        <f>+U12-W12</f>
        <v>0</v>
      </c>
      <c r="Y12" s="1125"/>
      <c r="Z12" s="1125"/>
      <c r="AA12" s="1125"/>
      <c r="AB12" s="1125"/>
      <c r="AC12" s="1125"/>
      <c r="AD12" s="1125"/>
      <c r="AE12" s="1125"/>
      <c r="AF12" s="1125"/>
      <c r="AG12" s="1125"/>
      <c r="AH12" s="1125" t="s">
        <v>51</v>
      </c>
      <c r="AI12" s="1125" t="s">
        <v>1300</v>
      </c>
    </row>
    <row r="13" spans="1:35" s="1158" customFormat="1" ht="15">
      <c r="A13" s="294"/>
      <c r="B13" s="294"/>
      <c r="C13" s="1733" t="s">
        <v>1127</v>
      </c>
      <c r="D13" s="1165" t="s">
        <v>471</v>
      </c>
      <c r="E13" s="1095" t="s">
        <v>466</v>
      </c>
      <c r="F13" s="1165" t="s">
        <v>521</v>
      </c>
      <c r="G13" s="1165"/>
      <c r="H13" s="1165"/>
      <c r="I13" s="1133"/>
      <c r="J13" s="1133"/>
      <c r="K13" s="1133"/>
      <c r="L13" s="1133"/>
      <c r="M13" s="1133">
        <v>8605904.4719999991</v>
      </c>
      <c r="N13" s="1734">
        <f t="shared" si="2"/>
        <v>8605904.4719999991</v>
      </c>
      <c r="O13" s="1133"/>
      <c r="P13" s="1133"/>
      <c r="Q13" s="1133"/>
      <c r="R13" s="1133"/>
      <c r="S13" s="1734">
        <f t="shared" ref="S13:S78" si="3">+SUM(O13:R13)</f>
        <v>0</v>
      </c>
      <c r="T13" s="1732">
        <f t="shared" ref="T13:T78" si="4">+S13+N13</f>
        <v>8605904.4719999991</v>
      </c>
      <c r="U13" s="1275">
        <v>8605904.4719999991</v>
      </c>
      <c r="V13" s="1275">
        <v>8605904.4719999991</v>
      </c>
      <c r="W13" s="1125">
        <v>8605904.4719999991</v>
      </c>
      <c r="X13" s="1125">
        <f t="shared" ref="X13:X78" si="5">+U13-W13</f>
        <v>0</v>
      </c>
      <c r="Y13" s="1125"/>
      <c r="Z13" s="1125"/>
      <c r="AA13" s="1125"/>
      <c r="AB13" s="1125"/>
      <c r="AC13" s="1125"/>
      <c r="AD13" s="1125"/>
      <c r="AE13" s="1125"/>
      <c r="AF13" s="1125"/>
      <c r="AG13" s="1125"/>
      <c r="AH13" s="1125" t="s">
        <v>51</v>
      </c>
      <c r="AI13" s="1125" t="s">
        <v>1300</v>
      </c>
    </row>
    <row r="14" spans="1:35" s="1158" customFormat="1" ht="15">
      <c r="A14" s="294"/>
      <c r="B14" s="294"/>
      <c r="C14" s="1733" t="s">
        <v>1128</v>
      </c>
      <c r="D14" s="1165" t="s">
        <v>471</v>
      </c>
      <c r="E14" s="1095" t="s">
        <v>466</v>
      </c>
      <c r="F14" s="1165" t="s">
        <v>521</v>
      </c>
      <c r="G14" s="1165"/>
      <c r="H14" s="1165"/>
      <c r="I14" s="1133"/>
      <c r="J14" s="1133"/>
      <c r="K14" s="1133"/>
      <c r="L14" s="1133"/>
      <c r="M14" s="1133">
        <v>20330397.600000001</v>
      </c>
      <c r="N14" s="1734">
        <f t="shared" si="2"/>
        <v>20330397.600000001</v>
      </c>
      <c r="O14" s="1133"/>
      <c r="P14" s="1133"/>
      <c r="Q14" s="1133"/>
      <c r="R14" s="1133"/>
      <c r="S14" s="1734">
        <f t="shared" si="3"/>
        <v>0</v>
      </c>
      <c r="T14" s="1732">
        <f t="shared" si="4"/>
        <v>20330397.600000001</v>
      </c>
      <c r="U14" s="1275">
        <v>20330397.600000001</v>
      </c>
      <c r="V14" s="1275">
        <v>20330397.600000001</v>
      </c>
      <c r="W14" s="1125">
        <v>20330397.600000001</v>
      </c>
      <c r="X14" s="1125">
        <f t="shared" si="5"/>
        <v>0</v>
      </c>
      <c r="Y14" s="1125"/>
      <c r="Z14" s="1125"/>
      <c r="AA14" s="1125"/>
      <c r="AB14" s="1125"/>
      <c r="AC14" s="1125"/>
      <c r="AD14" s="1125"/>
      <c r="AE14" s="1125"/>
      <c r="AF14" s="1125"/>
      <c r="AG14" s="1125"/>
      <c r="AH14" s="1125" t="s">
        <v>51</v>
      </c>
      <c r="AI14" s="1125" t="s">
        <v>1300</v>
      </c>
    </row>
    <row r="15" spans="1:35" s="1158" customFormat="1" ht="15">
      <c r="A15" s="294"/>
      <c r="B15" s="294"/>
      <c r="C15" s="1735" t="s">
        <v>1129</v>
      </c>
      <c r="D15" s="1165" t="s">
        <v>471</v>
      </c>
      <c r="E15" s="1095" t="s">
        <v>466</v>
      </c>
      <c r="F15" s="1165" t="s">
        <v>521</v>
      </c>
      <c r="G15" s="1165"/>
      <c r="H15" s="1165"/>
      <c r="I15" s="1133"/>
      <c r="J15" s="1133"/>
      <c r="K15" s="1133"/>
      <c r="L15" s="1133"/>
      <c r="M15" s="1133">
        <v>4500000</v>
      </c>
      <c r="N15" s="1734">
        <f t="shared" si="2"/>
        <v>4500000</v>
      </c>
      <c r="O15" s="1133"/>
      <c r="P15" s="1133"/>
      <c r="Q15" s="1133"/>
      <c r="R15" s="1133"/>
      <c r="S15" s="1734">
        <f t="shared" si="3"/>
        <v>0</v>
      </c>
      <c r="T15" s="1732">
        <f t="shared" si="4"/>
        <v>4500000</v>
      </c>
      <c r="U15" s="1275">
        <v>4500000</v>
      </c>
      <c r="V15" s="1275">
        <v>4500000</v>
      </c>
      <c r="W15" s="1125">
        <v>4500000</v>
      </c>
      <c r="X15" s="1125">
        <f t="shared" si="5"/>
        <v>0</v>
      </c>
      <c r="Y15" s="1125"/>
      <c r="Z15" s="1125"/>
      <c r="AA15" s="1125"/>
      <c r="AB15" s="1125"/>
      <c r="AC15" s="1125"/>
      <c r="AD15" s="1125"/>
      <c r="AE15" s="1125"/>
      <c r="AF15" s="1125"/>
      <c r="AG15" s="1125"/>
      <c r="AH15" s="1125" t="s">
        <v>51</v>
      </c>
      <c r="AI15" s="1125" t="s">
        <v>1300</v>
      </c>
    </row>
    <row r="16" spans="1:35" s="1158" customFormat="1" ht="15">
      <c r="A16" s="294"/>
      <c r="B16" s="294"/>
      <c r="C16" s="1733" t="s">
        <v>1130</v>
      </c>
      <c r="D16" s="1165" t="s">
        <v>471</v>
      </c>
      <c r="E16" s="1095" t="s">
        <v>466</v>
      </c>
      <c r="F16" s="1165" t="s">
        <v>521</v>
      </c>
      <c r="G16" s="1165"/>
      <c r="H16" s="1165"/>
      <c r="I16" s="1133"/>
      <c r="J16" s="1133"/>
      <c r="K16" s="1133"/>
      <c r="L16" s="1133"/>
      <c r="M16" s="1133">
        <v>4500000</v>
      </c>
      <c r="N16" s="1734">
        <f t="shared" si="2"/>
        <v>4500000</v>
      </c>
      <c r="O16" s="1133"/>
      <c r="P16" s="1133"/>
      <c r="Q16" s="1133"/>
      <c r="R16" s="1133"/>
      <c r="S16" s="1734">
        <f t="shared" si="3"/>
        <v>0</v>
      </c>
      <c r="T16" s="1732">
        <f t="shared" si="4"/>
        <v>4500000</v>
      </c>
      <c r="U16" s="1275">
        <v>4500000</v>
      </c>
      <c r="V16" s="1275">
        <v>4500000</v>
      </c>
      <c r="W16" s="1125">
        <v>4500000</v>
      </c>
      <c r="X16" s="1125">
        <f t="shared" si="5"/>
        <v>0</v>
      </c>
      <c r="Y16" s="1125"/>
      <c r="Z16" s="1125"/>
      <c r="AA16" s="1125"/>
      <c r="AB16" s="1125"/>
      <c r="AC16" s="1125"/>
      <c r="AD16" s="1125"/>
      <c r="AE16" s="1125"/>
      <c r="AF16" s="1125"/>
      <c r="AG16" s="1125"/>
      <c r="AH16" s="1125" t="s">
        <v>51</v>
      </c>
      <c r="AI16" s="1125" t="s">
        <v>1300</v>
      </c>
    </row>
    <row r="17" spans="1:35" ht="22.5" customHeight="1">
      <c r="A17" s="294"/>
      <c r="B17" s="294"/>
      <c r="C17" s="384" t="s">
        <v>1128</v>
      </c>
      <c r="D17" s="10" t="s">
        <v>211</v>
      </c>
      <c r="E17" s="379" t="s">
        <v>466</v>
      </c>
      <c r="F17" s="10" t="s">
        <v>521</v>
      </c>
      <c r="G17" s="10"/>
      <c r="H17" s="10"/>
      <c r="I17" s="175"/>
      <c r="J17" s="175"/>
      <c r="K17" s="175"/>
      <c r="L17" s="175"/>
      <c r="M17" s="175"/>
      <c r="N17" s="832">
        <f t="shared" si="2"/>
        <v>0</v>
      </c>
      <c r="O17" s="175"/>
      <c r="P17" s="175"/>
      <c r="Q17" s="175">
        <v>7048200.4800000004</v>
      </c>
      <c r="R17" s="175"/>
      <c r="S17" s="832">
        <f t="shared" si="3"/>
        <v>7048200.4800000004</v>
      </c>
      <c r="T17" s="782">
        <f t="shared" si="4"/>
        <v>7048200.4800000004</v>
      </c>
      <c r="U17" s="292">
        <v>7048200.4800000004</v>
      </c>
      <c r="V17" s="292"/>
      <c r="W17" s="292"/>
      <c r="X17" s="292">
        <f t="shared" si="5"/>
        <v>7048200.4800000004</v>
      </c>
      <c r="Y17" s="292"/>
      <c r="Z17" s="292"/>
      <c r="AA17" s="292"/>
      <c r="AB17" s="292"/>
      <c r="AC17" s="292"/>
      <c r="AD17" s="292"/>
      <c r="AE17" s="292"/>
      <c r="AF17" s="292">
        <v>7048200.4800000004</v>
      </c>
      <c r="AG17" s="292"/>
      <c r="AH17" s="292" t="s">
        <v>51</v>
      </c>
      <c r="AI17" s="292" t="s">
        <v>1300</v>
      </c>
    </row>
    <row r="18" spans="1:35" s="1158" customFormat="1" ht="33.75" customHeight="1">
      <c r="A18" s="294"/>
      <c r="B18" s="294"/>
      <c r="C18" s="1733" t="s">
        <v>1131</v>
      </c>
      <c r="D18" s="1165" t="s">
        <v>471</v>
      </c>
      <c r="E18" s="1165" t="s">
        <v>466</v>
      </c>
      <c r="F18" s="1165" t="s">
        <v>521</v>
      </c>
      <c r="G18" s="1165"/>
      <c r="H18" s="1165"/>
      <c r="I18" s="1133"/>
      <c r="J18" s="1133"/>
      <c r="K18" s="1133"/>
      <c r="L18" s="1133"/>
      <c r="M18" s="1133"/>
      <c r="N18" s="1734">
        <f t="shared" si="2"/>
        <v>0</v>
      </c>
      <c r="O18" s="1133"/>
      <c r="P18" s="1133">
        <v>3959818.1680000001</v>
      </c>
      <c r="Q18" s="1133"/>
      <c r="R18" s="1133"/>
      <c r="S18" s="1734">
        <f t="shared" si="3"/>
        <v>3959818.1680000001</v>
      </c>
      <c r="T18" s="1732">
        <f t="shared" si="4"/>
        <v>3959818.1680000001</v>
      </c>
      <c r="U18" s="1125">
        <v>3959818.1680000001</v>
      </c>
      <c r="V18" s="1125">
        <v>3959818.1680000001</v>
      </c>
      <c r="W18" s="1125">
        <v>3959818.1680000001</v>
      </c>
      <c r="X18" s="1125">
        <f t="shared" si="5"/>
        <v>0</v>
      </c>
      <c r="Y18" s="1125"/>
      <c r="Z18" s="1125"/>
      <c r="AA18" s="1125"/>
      <c r="AB18" s="1125"/>
      <c r="AC18" s="1125"/>
      <c r="AD18" s="1125"/>
      <c r="AE18" s="1125"/>
      <c r="AF18" s="1125"/>
      <c r="AG18" s="1125"/>
      <c r="AH18" s="1125" t="s">
        <v>51</v>
      </c>
      <c r="AI18" s="1125" t="s">
        <v>1300</v>
      </c>
    </row>
    <row r="19" spans="1:35" ht="24" customHeight="1">
      <c r="A19" s="294"/>
      <c r="B19" s="294"/>
      <c r="C19" s="384" t="s">
        <v>1132</v>
      </c>
      <c r="D19" s="10" t="s">
        <v>211</v>
      </c>
      <c r="E19" s="379" t="s">
        <v>466</v>
      </c>
      <c r="F19" s="10" t="s">
        <v>521</v>
      </c>
      <c r="G19" s="10"/>
      <c r="H19" s="10"/>
      <c r="I19" s="175"/>
      <c r="J19" s="175"/>
      <c r="K19" s="175"/>
      <c r="L19" s="175"/>
      <c r="M19" s="175"/>
      <c r="N19" s="832">
        <f t="shared" si="2"/>
        <v>0</v>
      </c>
      <c r="O19" s="175"/>
      <c r="P19" s="833"/>
      <c r="Q19" s="175"/>
      <c r="R19" s="175"/>
      <c r="S19" s="832">
        <f t="shared" si="3"/>
        <v>0</v>
      </c>
      <c r="T19" s="782">
        <f t="shared" si="4"/>
        <v>0</v>
      </c>
      <c r="U19" s="292">
        <v>0</v>
      </c>
      <c r="V19" s="292"/>
      <c r="W19" s="292"/>
      <c r="X19" s="292">
        <f t="shared" si="5"/>
        <v>0</v>
      </c>
      <c r="Y19" s="292"/>
      <c r="Z19" s="292"/>
      <c r="AA19" s="292"/>
      <c r="AB19" s="292"/>
      <c r="AC19" s="292"/>
      <c r="AD19" s="292"/>
      <c r="AE19" s="292"/>
      <c r="AF19" s="292"/>
      <c r="AG19" s="292"/>
      <c r="AH19" s="292" t="s">
        <v>51</v>
      </c>
      <c r="AI19" s="292" t="s">
        <v>1300</v>
      </c>
    </row>
    <row r="20" spans="1:35" s="1158" customFormat="1" ht="24" customHeight="1">
      <c r="A20" s="294"/>
      <c r="B20" s="294"/>
      <c r="C20" s="1733" t="s">
        <v>1133</v>
      </c>
      <c r="D20" s="1165" t="s">
        <v>471</v>
      </c>
      <c r="E20" s="1165" t="s">
        <v>466</v>
      </c>
      <c r="F20" s="1165" t="s">
        <v>521</v>
      </c>
      <c r="G20" s="1165"/>
      <c r="H20" s="1165"/>
      <c r="I20" s="1133"/>
      <c r="J20" s="1133">
        <v>8732674</v>
      </c>
      <c r="K20" s="1133"/>
      <c r="L20" s="1133"/>
      <c r="M20" s="1133"/>
      <c r="N20" s="1734">
        <f t="shared" ref="N20" si="6">+SUM(I20:M20)</f>
        <v>8732674</v>
      </c>
      <c r="O20" s="1133"/>
      <c r="P20" s="1133">
        <v>16367326.199999999</v>
      </c>
      <c r="Q20" s="1133"/>
      <c r="R20" s="1133"/>
      <c r="S20" s="1734">
        <f t="shared" ref="S20" si="7">+SUM(O20:R20)</f>
        <v>16367326.199999999</v>
      </c>
      <c r="T20" s="1732">
        <f t="shared" ref="T20" si="8">+S20+N20</f>
        <v>25100000.199999999</v>
      </c>
      <c r="U20" s="1125">
        <v>35140000</v>
      </c>
      <c r="V20" s="1125"/>
      <c r="W20" s="1125"/>
      <c r="X20" s="1125">
        <f t="shared" ref="X20" si="9">+U20-W20</f>
        <v>35140000</v>
      </c>
      <c r="Y20" s="1125"/>
      <c r="Z20" s="1125">
        <v>18772673.800000001</v>
      </c>
      <c r="AA20" s="1125"/>
      <c r="AB20" s="1125"/>
      <c r="AC20" s="1125"/>
      <c r="AD20" s="1125"/>
      <c r="AE20" s="1125">
        <v>16367326.199999999</v>
      </c>
      <c r="AF20" s="1125"/>
      <c r="AG20" s="1125"/>
      <c r="AH20" s="1125" t="s">
        <v>51</v>
      </c>
      <c r="AI20" s="1125" t="s">
        <v>1300</v>
      </c>
    </row>
    <row r="21" spans="1:35" s="1169" customFormat="1" ht="24" customHeight="1">
      <c r="A21" s="294"/>
      <c r="B21" s="294"/>
      <c r="C21" s="1742" t="s">
        <v>1133</v>
      </c>
      <c r="D21" s="1171" t="s">
        <v>471</v>
      </c>
      <c r="E21" s="1171" t="s">
        <v>466</v>
      </c>
      <c r="F21" s="1171" t="s">
        <v>521</v>
      </c>
      <c r="G21" s="1171"/>
      <c r="H21" s="1171"/>
      <c r="I21" s="1172"/>
      <c r="J21" s="1172">
        <f>18772673.8-J20</f>
        <v>10039999.800000001</v>
      </c>
      <c r="K21" s="1172"/>
      <c r="L21" s="1172"/>
      <c r="M21" s="1172"/>
      <c r="N21" s="1740">
        <f t="shared" si="2"/>
        <v>10039999.800000001</v>
      </c>
      <c r="O21" s="1172"/>
      <c r="P21" s="1172">
        <f>16367326.2-P20</f>
        <v>0</v>
      </c>
      <c r="Q21" s="1172"/>
      <c r="R21" s="1172"/>
      <c r="S21" s="1740">
        <f t="shared" si="3"/>
        <v>0</v>
      </c>
      <c r="T21" s="1741">
        <f t="shared" si="4"/>
        <v>10039999.800000001</v>
      </c>
      <c r="U21" s="1174">
        <v>35140000</v>
      </c>
      <c r="V21" s="1174"/>
      <c r="W21" s="1174"/>
      <c r="X21" s="1174">
        <f t="shared" si="5"/>
        <v>35140000</v>
      </c>
      <c r="Y21" s="1174"/>
      <c r="Z21" s="1174">
        <v>18772673.800000001</v>
      </c>
      <c r="AA21" s="1174"/>
      <c r="AB21" s="1174"/>
      <c r="AC21" s="1174"/>
      <c r="AD21" s="1174"/>
      <c r="AE21" s="1174">
        <v>16367326.199999999</v>
      </c>
      <c r="AF21" s="1174"/>
      <c r="AG21" s="1174"/>
      <c r="AH21" s="1174" t="s">
        <v>51</v>
      </c>
      <c r="AI21" s="1174" t="s">
        <v>1300</v>
      </c>
    </row>
    <row r="22" spans="1:35" s="1158" customFormat="1" ht="15">
      <c r="A22" s="294"/>
      <c r="B22" s="294"/>
      <c r="C22" s="1733" t="s">
        <v>1134</v>
      </c>
      <c r="D22" s="1165" t="s">
        <v>471</v>
      </c>
      <c r="E22" s="1095" t="s">
        <v>466</v>
      </c>
      <c r="F22" s="1165" t="s">
        <v>521</v>
      </c>
      <c r="G22" s="1165"/>
      <c r="H22" s="1165"/>
      <c r="I22" s="1133"/>
      <c r="J22" s="1133"/>
      <c r="K22" s="1133"/>
      <c r="L22" s="1133"/>
      <c r="M22" s="1133">
        <v>5737269.648000001</v>
      </c>
      <c r="N22" s="1734">
        <f t="shared" si="2"/>
        <v>5737269.648000001</v>
      </c>
      <c r="O22" s="1133"/>
      <c r="P22" s="1550"/>
      <c r="Q22" s="1550"/>
      <c r="R22" s="1133"/>
      <c r="S22" s="1734">
        <f t="shared" si="3"/>
        <v>0</v>
      </c>
      <c r="T22" s="1732">
        <f t="shared" si="4"/>
        <v>5737269.648000001</v>
      </c>
      <c r="U22" s="1275">
        <v>5737269.648000001</v>
      </c>
      <c r="V22" s="1275">
        <v>5737269.648000001</v>
      </c>
      <c r="W22" s="1125">
        <v>5737269.648000001</v>
      </c>
      <c r="X22" s="1125">
        <f t="shared" si="5"/>
        <v>0</v>
      </c>
      <c r="Y22" s="1125"/>
      <c r="Z22" s="1125"/>
      <c r="AA22" s="1125"/>
      <c r="AB22" s="1125"/>
      <c r="AC22" s="1125"/>
      <c r="AD22" s="1125"/>
      <c r="AE22" s="1125"/>
      <c r="AF22" s="1125"/>
      <c r="AG22" s="1125"/>
      <c r="AH22" s="1125" t="s">
        <v>51</v>
      </c>
      <c r="AI22" s="1125" t="s">
        <v>1300</v>
      </c>
    </row>
    <row r="23" spans="1:35" ht="15">
      <c r="A23" s="294"/>
      <c r="B23" s="294"/>
      <c r="C23" s="384" t="s">
        <v>1134</v>
      </c>
      <c r="D23" s="10" t="s">
        <v>471</v>
      </c>
      <c r="E23" s="379" t="s">
        <v>466</v>
      </c>
      <c r="F23" s="10" t="s">
        <v>521</v>
      </c>
      <c r="G23" s="10"/>
      <c r="H23" s="10"/>
      <c r="I23" s="175"/>
      <c r="J23" s="175"/>
      <c r="K23" s="175"/>
      <c r="L23" s="175"/>
      <c r="M23" s="175">
        <v>0</v>
      </c>
      <c r="N23" s="832">
        <f t="shared" si="2"/>
        <v>0</v>
      </c>
      <c r="O23" s="175"/>
      <c r="P23" s="175"/>
      <c r="Q23" s="175"/>
      <c r="R23" s="175"/>
      <c r="S23" s="832">
        <f t="shared" si="3"/>
        <v>0</v>
      </c>
      <c r="T23" s="782">
        <f t="shared" si="4"/>
        <v>0</v>
      </c>
      <c r="U23" s="25">
        <v>0</v>
      </c>
      <c r="V23" s="25"/>
      <c r="W23" s="292"/>
      <c r="X23" s="292">
        <f t="shared" si="5"/>
        <v>0</v>
      </c>
      <c r="Y23" s="292"/>
      <c r="Z23" s="292"/>
      <c r="AA23" s="292"/>
      <c r="AB23" s="292"/>
      <c r="AC23" s="292"/>
      <c r="AD23" s="292"/>
      <c r="AE23" s="292"/>
      <c r="AF23" s="292"/>
      <c r="AG23" s="292"/>
      <c r="AH23" s="292" t="s">
        <v>51</v>
      </c>
      <c r="AI23" s="292" t="s">
        <v>1300</v>
      </c>
    </row>
    <row r="24" spans="1:35" s="1158" customFormat="1" ht="15">
      <c r="A24" s="294"/>
      <c r="B24" s="294"/>
      <c r="C24" s="1733" t="s">
        <v>1135</v>
      </c>
      <c r="D24" s="1165" t="s">
        <v>471</v>
      </c>
      <c r="E24" s="1095" t="s">
        <v>466</v>
      </c>
      <c r="F24" s="1165" t="s">
        <v>521</v>
      </c>
      <c r="G24" s="1165"/>
      <c r="H24" s="1165"/>
      <c r="I24" s="1133"/>
      <c r="J24" s="1133"/>
      <c r="K24" s="1133"/>
      <c r="L24" s="1133"/>
      <c r="M24" s="1133">
        <v>5737269.648000001</v>
      </c>
      <c r="N24" s="1734">
        <f t="shared" si="2"/>
        <v>5737269.648000001</v>
      </c>
      <c r="O24" s="1133"/>
      <c r="P24" s="1133"/>
      <c r="Q24" s="1133"/>
      <c r="R24" s="1133"/>
      <c r="S24" s="1734">
        <f t="shared" si="3"/>
        <v>0</v>
      </c>
      <c r="T24" s="1732">
        <f t="shared" si="4"/>
        <v>5737269.648000001</v>
      </c>
      <c r="U24" s="1275">
        <v>5737269.648000001</v>
      </c>
      <c r="V24" s="1275">
        <v>5737269.648000001</v>
      </c>
      <c r="W24" s="1125">
        <v>5737269.648000001</v>
      </c>
      <c r="X24" s="1125">
        <f t="shared" si="5"/>
        <v>0</v>
      </c>
      <c r="Y24" s="1125"/>
      <c r="Z24" s="1125"/>
      <c r="AA24" s="1125"/>
      <c r="AB24" s="1125"/>
      <c r="AC24" s="1125"/>
      <c r="AD24" s="1125"/>
      <c r="AE24" s="1125"/>
      <c r="AF24" s="1125"/>
      <c r="AG24" s="1125"/>
      <c r="AH24" s="1125" t="s">
        <v>51</v>
      </c>
      <c r="AI24" s="1125" t="s">
        <v>1300</v>
      </c>
    </row>
    <row r="25" spans="1:35" s="1158" customFormat="1" ht="15">
      <c r="A25" s="294"/>
      <c r="B25" s="294"/>
      <c r="C25" s="1735" t="s">
        <v>1135</v>
      </c>
      <c r="D25" s="1165" t="s">
        <v>471</v>
      </c>
      <c r="E25" s="1095" t="s">
        <v>466</v>
      </c>
      <c r="F25" s="1165" t="s">
        <v>521</v>
      </c>
      <c r="G25" s="1165"/>
      <c r="H25" s="1165"/>
      <c r="I25" s="1133"/>
      <c r="J25" s="1133"/>
      <c r="K25" s="1133"/>
      <c r="L25" s="1550"/>
      <c r="M25" s="1133">
        <v>5737269.648000001</v>
      </c>
      <c r="N25" s="1734">
        <f t="shared" si="2"/>
        <v>5737269.648000001</v>
      </c>
      <c r="O25" s="1133"/>
      <c r="P25" s="1133"/>
      <c r="Q25" s="1550"/>
      <c r="R25" s="1133"/>
      <c r="S25" s="1734">
        <f t="shared" si="3"/>
        <v>0</v>
      </c>
      <c r="T25" s="1732">
        <f t="shared" si="4"/>
        <v>5737269.648000001</v>
      </c>
      <c r="U25" s="1275">
        <v>5737269.648000001</v>
      </c>
      <c r="V25" s="1275">
        <v>5737269.648000001</v>
      </c>
      <c r="W25" s="1125">
        <v>5737269.648000001</v>
      </c>
      <c r="X25" s="1125">
        <f t="shared" si="5"/>
        <v>0</v>
      </c>
      <c r="Y25" s="1125"/>
      <c r="Z25" s="1125"/>
      <c r="AA25" s="1125"/>
      <c r="AB25" s="1125"/>
      <c r="AC25" s="1125"/>
      <c r="AD25" s="1125"/>
      <c r="AE25" s="1125"/>
      <c r="AF25" s="1125"/>
      <c r="AG25" s="1125"/>
      <c r="AH25" s="1125" t="s">
        <v>51</v>
      </c>
      <c r="AI25" s="1125" t="s">
        <v>1300</v>
      </c>
    </row>
    <row r="26" spans="1:35" s="1158" customFormat="1" ht="20.100000000000001" customHeight="1">
      <c r="A26" s="294"/>
      <c r="B26" s="294"/>
      <c r="C26" s="1735" t="s">
        <v>1135</v>
      </c>
      <c r="D26" s="1165" t="s">
        <v>211</v>
      </c>
      <c r="E26" s="1095" t="s">
        <v>466</v>
      </c>
      <c r="F26" s="1165" t="s">
        <v>521</v>
      </c>
      <c r="G26" s="1165"/>
      <c r="H26" s="1165"/>
      <c r="I26" s="1133"/>
      <c r="J26" s="1133"/>
      <c r="K26" s="1133"/>
      <c r="L26" s="1133"/>
      <c r="M26" s="1133"/>
      <c r="N26" s="1734">
        <f t="shared" ref="N26" si="10">+SUM(I26:M26)</f>
        <v>0</v>
      </c>
      <c r="O26" s="1133"/>
      <c r="P26" s="1133"/>
      <c r="Q26" s="1133">
        <v>7048080</v>
      </c>
      <c r="R26" s="1133"/>
      <c r="S26" s="1734">
        <f t="shared" ref="S26" si="11">+SUM(O26:R26)</f>
        <v>7048080</v>
      </c>
      <c r="T26" s="1732">
        <f t="shared" ref="T26" si="12">+S26+N26</f>
        <v>7048080</v>
      </c>
      <c r="U26" s="1125">
        <v>7048200.4800000004</v>
      </c>
      <c r="V26" s="1125">
        <v>7048200.4800000004</v>
      </c>
      <c r="W26" s="1125">
        <v>7048200.4800000004</v>
      </c>
      <c r="X26" s="1125">
        <f t="shared" ref="X26" si="13">+U26-W26</f>
        <v>0</v>
      </c>
      <c r="Y26" s="1125"/>
      <c r="Z26" s="1125"/>
      <c r="AA26" s="1125"/>
      <c r="AB26" s="1125"/>
      <c r="AC26" s="1125"/>
      <c r="AD26" s="1125"/>
      <c r="AE26" s="1125"/>
      <c r="AF26" s="1125"/>
      <c r="AG26" s="1125"/>
      <c r="AH26" s="1125" t="s">
        <v>51</v>
      </c>
      <c r="AI26" s="1125" t="s">
        <v>1300</v>
      </c>
    </row>
    <row r="27" spans="1:35" s="1169" customFormat="1" ht="20.100000000000001" customHeight="1">
      <c r="A27" s="294"/>
      <c r="B27" s="294"/>
      <c r="C27" s="1739" t="s">
        <v>1135</v>
      </c>
      <c r="D27" s="1171" t="s">
        <v>211</v>
      </c>
      <c r="E27" s="1089" t="s">
        <v>466</v>
      </c>
      <c r="F27" s="1171" t="s">
        <v>521</v>
      </c>
      <c r="G27" s="1171"/>
      <c r="H27" s="1171"/>
      <c r="I27" s="1172"/>
      <c r="J27" s="1172"/>
      <c r="K27" s="1172"/>
      <c r="L27" s="1172"/>
      <c r="M27" s="1172"/>
      <c r="N27" s="1740">
        <f t="shared" si="2"/>
        <v>0</v>
      </c>
      <c r="O27" s="1172"/>
      <c r="P27" s="1172"/>
      <c r="Q27" s="1172">
        <f>7048200.48-Q26</f>
        <v>120.48000000044703</v>
      </c>
      <c r="R27" s="1172"/>
      <c r="S27" s="1740">
        <f t="shared" si="3"/>
        <v>120.48000000044703</v>
      </c>
      <c r="T27" s="1741">
        <f t="shared" si="4"/>
        <v>120.48000000044703</v>
      </c>
      <c r="U27" s="1174">
        <v>7048200.4800000004</v>
      </c>
      <c r="V27" s="1174">
        <v>7048200.4800000004</v>
      </c>
      <c r="W27" s="1174">
        <v>7048200.4800000004</v>
      </c>
      <c r="X27" s="1174">
        <f t="shared" si="5"/>
        <v>0</v>
      </c>
      <c r="Y27" s="1174"/>
      <c r="Z27" s="1174"/>
      <c r="AA27" s="1174"/>
      <c r="AB27" s="1174"/>
      <c r="AC27" s="1174"/>
      <c r="AD27" s="1174"/>
      <c r="AE27" s="1174"/>
      <c r="AF27" s="1174"/>
      <c r="AG27" s="1174"/>
      <c r="AH27" s="1174" t="s">
        <v>51</v>
      </c>
      <c r="AI27" s="1174" t="s">
        <v>1300</v>
      </c>
    </row>
    <row r="28" spans="1:35" s="1158" customFormat="1" ht="38.25">
      <c r="A28" s="294"/>
      <c r="B28" s="294"/>
      <c r="C28" s="1735" t="s">
        <v>1136</v>
      </c>
      <c r="D28" s="1165" t="s">
        <v>471</v>
      </c>
      <c r="E28" s="1095" t="s">
        <v>466</v>
      </c>
      <c r="F28" s="1165" t="s">
        <v>521</v>
      </c>
      <c r="G28" s="1165"/>
      <c r="H28" s="1165"/>
      <c r="I28" s="1133">
        <v>11720093.6</v>
      </c>
      <c r="J28" s="1133"/>
      <c r="K28" s="1133"/>
      <c r="L28" s="1550"/>
      <c r="M28" s="1133"/>
      <c r="N28" s="1734">
        <f t="shared" si="2"/>
        <v>11720093.6</v>
      </c>
      <c r="O28" s="1133"/>
      <c r="P28" s="1133"/>
      <c r="Q28" s="1550"/>
      <c r="R28" s="1133"/>
      <c r="S28" s="1734">
        <f t="shared" si="3"/>
        <v>0</v>
      </c>
      <c r="T28" s="1732">
        <f t="shared" si="4"/>
        <v>11720093.6</v>
      </c>
      <c r="U28" s="1275">
        <v>11720093.6</v>
      </c>
      <c r="V28" s="1275">
        <v>11720093.6</v>
      </c>
      <c r="W28" s="1125">
        <v>11720093.6</v>
      </c>
      <c r="X28" s="1125">
        <f t="shared" si="5"/>
        <v>0</v>
      </c>
      <c r="Y28" s="1125"/>
      <c r="Z28" s="1125"/>
      <c r="AA28" s="1125"/>
      <c r="AB28" s="1125"/>
      <c r="AC28" s="1125"/>
      <c r="AD28" s="1125"/>
      <c r="AE28" s="1125"/>
      <c r="AF28" s="1125"/>
      <c r="AG28" s="1125"/>
      <c r="AH28" s="1125" t="s">
        <v>51</v>
      </c>
      <c r="AI28" s="1125" t="s">
        <v>1300</v>
      </c>
    </row>
    <row r="29" spans="1:35" s="1158" customFormat="1" ht="30">
      <c r="A29" s="294"/>
      <c r="B29" s="294"/>
      <c r="C29" s="1738" t="s">
        <v>1137</v>
      </c>
      <c r="D29" s="1165" t="s">
        <v>471</v>
      </c>
      <c r="E29" s="1095" t="s">
        <v>466</v>
      </c>
      <c r="F29" s="1165" t="s">
        <v>521</v>
      </c>
      <c r="G29" s="1165"/>
      <c r="H29" s="1165"/>
      <c r="I29" s="1133">
        <v>25426802</v>
      </c>
      <c r="J29" s="1133"/>
      <c r="K29" s="1133"/>
      <c r="L29" s="1133"/>
      <c r="M29" s="1133"/>
      <c r="N29" s="1734">
        <f t="shared" si="2"/>
        <v>25426802</v>
      </c>
      <c r="O29" s="1133"/>
      <c r="P29" s="1133"/>
      <c r="Q29" s="1133"/>
      <c r="R29" s="1133"/>
      <c r="S29" s="1734">
        <f t="shared" si="3"/>
        <v>0</v>
      </c>
      <c r="T29" s="1732">
        <f t="shared" si="4"/>
        <v>25426802</v>
      </c>
      <c r="U29" s="1275">
        <v>25426802</v>
      </c>
      <c r="V29" s="1275">
        <v>25426802</v>
      </c>
      <c r="W29" s="1125">
        <v>25426802</v>
      </c>
      <c r="X29" s="1125">
        <f t="shared" si="5"/>
        <v>0</v>
      </c>
      <c r="Y29" s="1125"/>
      <c r="Z29" s="1125"/>
      <c r="AA29" s="1125"/>
      <c r="AB29" s="1125"/>
      <c r="AC29" s="1125"/>
      <c r="AD29" s="1125"/>
      <c r="AE29" s="1125"/>
      <c r="AF29" s="1125"/>
      <c r="AG29" s="1125"/>
      <c r="AH29" s="1125" t="s">
        <v>51</v>
      </c>
      <c r="AI29" s="1125" t="s">
        <v>1300</v>
      </c>
    </row>
    <row r="30" spans="1:35" s="1158" customFormat="1" ht="30">
      <c r="A30" s="294"/>
      <c r="B30" s="294"/>
      <c r="C30" s="1738" t="s">
        <v>1137</v>
      </c>
      <c r="D30" s="1165" t="s">
        <v>471</v>
      </c>
      <c r="E30" s="1095" t="s">
        <v>466</v>
      </c>
      <c r="F30" s="1165" t="s">
        <v>521</v>
      </c>
      <c r="G30" s="1165"/>
      <c r="H30" s="1165"/>
      <c r="I30" s="1133">
        <v>27969482.199999999</v>
      </c>
      <c r="J30" s="1133"/>
      <c r="K30" s="1133"/>
      <c r="L30" s="1133"/>
      <c r="M30" s="1133"/>
      <c r="N30" s="1734">
        <f t="shared" si="2"/>
        <v>27969482.199999999</v>
      </c>
      <c r="O30" s="1133"/>
      <c r="P30" s="1133"/>
      <c r="Q30" s="1133"/>
      <c r="R30" s="1133"/>
      <c r="S30" s="1734">
        <f t="shared" si="3"/>
        <v>0</v>
      </c>
      <c r="T30" s="1732">
        <f t="shared" si="4"/>
        <v>27969482.199999999</v>
      </c>
      <c r="U30" s="1275">
        <v>27969482.199999999</v>
      </c>
      <c r="V30" s="1275">
        <v>27969482.199999999</v>
      </c>
      <c r="W30" s="1125">
        <v>27969482.199999999</v>
      </c>
      <c r="X30" s="1125">
        <f t="shared" si="5"/>
        <v>0</v>
      </c>
      <c r="Y30" s="1125"/>
      <c r="Z30" s="1125"/>
      <c r="AA30" s="1125"/>
      <c r="AB30" s="1125"/>
      <c r="AC30" s="1125"/>
      <c r="AD30" s="1125"/>
      <c r="AE30" s="1125"/>
      <c r="AF30" s="1125"/>
      <c r="AG30" s="1125"/>
      <c r="AH30" s="1125" t="s">
        <v>51</v>
      </c>
      <c r="AI30" s="1125" t="s">
        <v>1300</v>
      </c>
    </row>
    <row r="31" spans="1:35" s="1158" customFormat="1" ht="25.5">
      <c r="A31" s="294"/>
      <c r="B31" s="294"/>
      <c r="C31" s="1733" t="s">
        <v>1138</v>
      </c>
      <c r="D31" s="1165" t="s">
        <v>211</v>
      </c>
      <c r="E31" s="1095" t="s">
        <v>466</v>
      </c>
      <c r="F31" s="1165" t="s">
        <v>521</v>
      </c>
      <c r="G31" s="1165"/>
      <c r="H31" s="1165"/>
      <c r="I31" s="1133">
        <v>11590444</v>
      </c>
      <c r="J31" s="1133"/>
      <c r="K31" s="1133"/>
      <c r="L31" s="1133"/>
      <c r="M31" s="1133"/>
      <c r="N31" s="1734">
        <f t="shared" si="2"/>
        <v>11590444</v>
      </c>
      <c r="O31" s="1133"/>
      <c r="P31" s="1133"/>
      <c r="Q31" s="1133"/>
      <c r="R31" s="1133"/>
      <c r="S31" s="1734">
        <f t="shared" si="3"/>
        <v>0</v>
      </c>
      <c r="T31" s="1732">
        <f t="shared" si="4"/>
        <v>11590444</v>
      </c>
      <c r="U31" s="1275">
        <v>11590444</v>
      </c>
      <c r="V31" s="1275">
        <v>11590444</v>
      </c>
      <c r="W31" s="1125">
        <v>11590444</v>
      </c>
      <c r="X31" s="1125">
        <f t="shared" si="5"/>
        <v>0</v>
      </c>
      <c r="Y31" s="1125"/>
      <c r="Z31" s="1125"/>
      <c r="AA31" s="1125"/>
      <c r="AB31" s="1125"/>
      <c r="AC31" s="1125"/>
      <c r="AD31" s="1125"/>
      <c r="AE31" s="1125"/>
      <c r="AF31" s="1125"/>
      <c r="AG31" s="1125"/>
      <c r="AH31" s="1125" t="s">
        <v>51</v>
      </c>
      <c r="AI31" s="1125" t="s">
        <v>1300</v>
      </c>
    </row>
    <row r="32" spans="1:35" s="1158" customFormat="1" ht="25.5">
      <c r="A32" s="294"/>
      <c r="B32" s="294"/>
      <c r="C32" s="1733" t="s">
        <v>1138</v>
      </c>
      <c r="D32" s="1165" t="s">
        <v>211</v>
      </c>
      <c r="E32" s="1095" t="s">
        <v>466</v>
      </c>
      <c r="F32" s="1165" t="s">
        <v>521</v>
      </c>
      <c r="G32" s="1165"/>
      <c r="H32" s="1165"/>
      <c r="I32" s="1133">
        <v>11590444</v>
      </c>
      <c r="J32" s="1133"/>
      <c r="K32" s="1133"/>
      <c r="L32" s="1133"/>
      <c r="M32" s="1133"/>
      <c r="N32" s="1734">
        <f t="shared" si="2"/>
        <v>11590444</v>
      </c>
      <c r="O32" s="1133"/>
      <c r="P32" s="1133"/>
      <c r="Q32" s="1133"/>
      <c r="R32" s="1133"/>
      <c r="S32" s="1734">
        <f t="shared" si="3"/>
        <v>0</v>
      </c>
      <c r="T32" s="1732">
        <f t="shared" si="4"/>
        <v>11590444</v>
      </c>
      <c r="U32" s="1275">
        <v>11590444</v>
      </c>
      <c r="V32" s="1275">
        <v>11590444</v>
      </c>
      <c r="W32" s="1125">
        <v>11590444</v>
      </c>
      <c r="X32" s="1125">
        <f t="shared" si="5"/>
        <v>0</v>
      </c>
      <c r="Y32" s="1125"/>
      <c r="Z32" s="1125"/>
      <c r="AA32" s="1125"/>
      <c r="AB32" s="1125"/>
      <c r="AC32" s="1125"/>
      <c r="AD32" s="1125"/>
      <c r="AE32" s="1125"/>
      <c r="AF32" s="1125"/>
      <c r="AG32" s="1125"/>
      <c r="AH32" s="1125" t="s">
        <v>51</v>
      </c>
      <c r="AI32" s="1125" t="s">
        <v>1300</v>
      </c>
    </row>
    <row r="33" spans="1:35" s="1158" customFormat="1" ht="25.5">
      <c r="A33" s="294"/>
      <c r="B33" s="294"/>
      <c r="C33" s="1733" t="s">
        <v>1138</v>
      </c>
      <c r="D33" s="1165" t="s">
        <v>211</v>
      </c>
      <c r="E33" s="1095" t="s">
        <v>466</v>
      </c>
      <c r="F33" s="1165" t="s">
        <v>521</v>
      </c>
      <c r="G33" s="1165"/>
      <c r="H33" s="1165"/>
      <c r="I33" s="1133">
        <v>11590444</v>
      </c>
      <c r="J33" s="1133"/>
      <c r="K33" s="1133"/>
      <c r="L33" s="1133"/>
      <c r="M33" s="1133"/>
      <c r="N33" s="1734">
        <f t="shared" si="2"/>
        <v>11590444</v>
      </c>
      <c r="O33" s="1133"/>
      <c r="P33" s="1133"/>
      <c r="Q33" s="1133"/>
      <c r="R33" s="1133"/>
      <c r="S33" s="1734">
        <f t="shared" si="3"/>
        <v>0</v>
      </c>
      <c r="T33" s="1732">
        <f t="shared" si="4"/>
        <v>11590444</v>
      </c>
      <c r="U33" s="1275">
        <v>11590444</v>
      </c>
      <c r="V33" s="1275">
        <v>11590444</v>
      </c>
      <c r="W33" s="1125">
        <v>11590444</v>
      </c>
      <c r="X33" s="1125">
        <f t="shared" si="5"/>
        <v>0</v>
      </c>
      <c r="Y33" s="1125"/>
      <c r="Z33" s="1125"/>
      <c r="AA33" s="1125"/>
      <c r="AB33" s="1125"/>
      <c r="AC33" s="1125"/>
      <c r="AD33" s="1125"/>
      <c r="AE33" s="1125"/>
      <c r="AF33" s="1125"/>
      <c r="AG33" s="1125"/>
      <c r="AH33" s="1125" t="s">
        <v>51</v>
      </c>
      <c r="AI33" s="1125" t="s">
        <v>1300</v>
      </c>
    </row>
    <row r="34" spans="1:35" s="1158" customFormat="1" ht="25.5">
      <c r="A34" s="294"/>
      <c r="B34" s="294"/>
      <c r="C34" s="1733" t="s">
        <v>1138</v>
      </c>
      <c r="D34" s="1165" t="s">
        <v>211</v>
      </c>
      <c r="E34" s="1095" t="s">
        <v>466</v>
      </c>
      <c r="F34" s="1165" t="s">
        <v>521</v>
      </c>
      <c r="G34" s="1165"/>
      <c r="H34" s="1165"/>
      <c r="I34" s="1133">
        <v>11590444</v>
      </c>
      <c r="J34" s="1133"/>
      <c r="K34" s="1133"/>
      <c r="L34" s="1133"/>
      <c r="M34" s="1133"/>
      <c r="N34" s="1734">
        <f t="shared" si="2"/>
        <v>11590444</v>
      </c>
      <c r="O34" s="1133"/>
      <c r="P34" s="1133"/>
      <c r="Q34" s="1133"/>
      <c r="R34" s="1133"/>
      <c r="S34" s="1734">
        <f t="shared" si="3"/>
        <v>0</v>
      </c>
      <c r="T34" s="1732">
        <f t="shared" si="4"/>
        <v>11590444</v>
      </c>
      <c r="U34" s="1275">
        <v>11590444</v>
      </c>
      <c r="V34" s="1275">
        <v>11590444</v>
      </c>
      <c r="W34" s="1125">
        <v>11590444</v>
      </c>
      <c r="X34" s="1125">
        <f t="shared" si="5"/>
        <v>0</v>
      </c>
      <c r="Y34" s="1125"/>
      <c r="Z34" s="1125"/>
      <c r="AA34" s="1125"/>
      <c r="AB34" s="1125"/>
      <c r="AC34" s="1125"/>
      <c r="AD34" s="1125"/>
      <c r="AE34" s="1125"/>
      <c r="AF34" s="1125"/>
      <c r="AG34" s="1125"/>
      <c r="AH34" s="1125" t="s">
        <v>51</v>
      </c>
      <c r="AI34" s="1125" t="s">
        <v>1300</v>
      </c>
    </row>
    <row r="35" spans="1:35" s="1158" customFormat="1" ht="32.25" customHeight="1">
      <c r="A35" s="294"/>
      <c r="B35" s="294"/>
      <c r="C35" s="1733" t="s">
        <v>1139</v>
      </c>
      <c r="D35" s="1165" t="s">
        <v>471</v>
      </c>
      <c r="E35" s="1095" t="s">
        <v>466</v>
      </c>
      <c r="F35" s="1165" t="s">
        <v>521</v>
      </c>
      <c r="G35" s="1165"/>
      <c r="H35" s="1165"/>
      <c r="I35" s="1133">
        <v>12517832.800000001</v>
      </c>
      <c r="J35" s="1133"/>
      <c r="K35" s="1133"/>
      <c r="L35" s="1133"/>
      <c r="M35" s="1133"/>
      <c r="N35" s="1734">
        <f t="shared" si="2"/>
        <v>12517832.800000001</v>
      </c>
      <c r="O35" s="1133"/>
      <c r="P35" s="1133"/>
      <c r="Q35" s="1133"/>
      <c r="R35" s="1133"/>
      <c r="S35" s="1734">
        <f t="shared" si="3"/>
        <v>0</v>
      </c>
      <c r="T35" s="1732">
        <f t="shared" si="4"/>
        <v>12517832.800000001</v>
      </c>
      <c r="U35" s="1275">
        <v>12517832.800000001</v>
      </c>
      <c r="V35" s="1275">
        <v>12517832.800000001</v>
      </c>
      <c r="W35" s="1125">
        <v>12517832.800000001</v>
      </c>
      <c r="X35" s="1125">
        <f t="shared" si="5"/>
        <v>0</v>
      </c>
      <c r="Y35" s="1125"/>
      <c r="Z35" s="1125"/>
      <c r="AA35" s="1125"/>
      <c r="AB35" s="1125"/>
      <c r="AC35" s="1125"/>
      <c r="AD35" s="1125"/>
      <c r="AE35" s="1125"/>
      <c r="AF35" s="1125"/>
      <c r="AG35" s="1125"/>
      <c r="AH35" s="1125" t="s">
        <v>51</v>
      </c>
      <c r="AI35" s="1125" t="s">
        <v>1300</v>
      </c>
    </row>
    <row r="36" spans="1:35" ht="27.75" customHeight="1">
      <c r="A36" s="294"/>
      <c r="B36" s="294"/>
      <c r="C36" s="384" t="s">
        <v>1140</v>
      </c>
      <c r="D36" s="10" t="s">
        <v>471</v>
      </c>
      <c r="E36" s="379" t="s">
        <v>466</v>
      </c>
      <c r="F36" s="10" t="s">
        <v>521</v>
      </c>
      <c r="G36" s="10"/>
      <c r="H36" s="10"/>
      <c r="I36" s="335"/>
      <c r="J36" s="175"/>
      <c r="K36" s="175"/>
      <c r="L36" s="175"/>
      <c r="M36" s="175"/>
      <c r="N36" s="832">
        <f t="shared" si="2"/>
        <v>0</v>
      </c>
      <c r="O36" s="335"/>
      <c r="P36" s="335">
        <v>1054813.44000003</v>
      </c>
      <c r="Q36" s="335"/>
      <c r="R36" s="335"/>
      <c r="S36" s="832">
        <f t="shared" si="3"/>
        <v>1054813.44000003</v>
      </c>
      <c r="T36" s="782">
        <f t="shared" si="4"/>
        <v>1054813.44000003</v>
      </c>
      <c r="U36" s="292">
        <v>1054813.44000003</v>
      </c>
      <c r="V36" s="292"/>
      <c r="W36" s="292"/>
      <c r="X36" s="292">
        <f t="shared" si="5"/>
        <v>1054813.44000003</v>
      </c>
      <c r="Y36" s="292"/>
      <c r="Z36" s="292"/>
      <c r="AA36" s="292"/>
      <c r="AB36" s="292"/>
      <c r="AC36" s="292"/>
      <c r="AD36" s="292"/>
      <c r="AE36" s="292">
        <v>1054813.44000003</v>
      </c>
      <c r="AF36" s="292"/>
      <c r="AG36" s="292"/>
      <c r="AH36" s="292" t="s">
        <v>51</v>
      </c>
      <c r="AI36" s="292" t="s">
        <v>1300</v>
      </c>
    </row>
    <row r="37" spans="1:35" s="1158" customFormat="1" ht="38.25">
      <c r="A37" s="294"/>
      <c r="B37" s="294"/>
      <c r="C37" s="1733" t="s">
        <v>1141</v>
      </c>
      <c r="D37" s="1165" t="s">
        <v>471</v>
      </c>
      <c r="E37" s="1095" t="s">
        <v>466</v>
      </c>
      <c r="F37" s="1165" t="s">
        <v>521</v>
      </c>
      <c r="G37" s="1165"/>
      <c r="H37" s="1165"/>
      <c r="I37" s="1133">
        <v>8604480.8000000007</v>
      </c>
      <c r="J37" s="1133"/>
      <c r="K37" s="1133"/>
      <c r="L37" s="1133"/>
      <c r="M37" s="1133"/>
      <c r="N37" s="1734">
        <f t="shared" si="2"/>
        <v>8604480.8000000007</v>
      </c>
      <c r="O37" s="1133"/>
      <c r="P37" s="1133"/>
      <c r="Q37" s="1133"/>
      <c r="R37" s="1133"/>
      <c r="S37" s="1734">
        <f t="shared" si="3"/>
        <v>0</v>
      </c>
      <c r="T37" s="1732">
        <f t="shared" si="4"/>
        <v>8604480.8000000007</v>
      </c>
      <c r="U37" s="1275">
        <v>8604480.8000000007</v>
      </c>
      <c r="V37" s="1275">
        <v>8604480.8000000007</v>
      </c>
      <c r="W37" s="1125">
        <v>8604480.8000000007</v>
      </c>
      <c r="X37" s="1125">
        <f t="shared" si="5"/>
        <v>0</v>
      </c>
      <c r="Y37" s="1125"/>
      <c r="Z37" s="1125"/>
      <c r="AA37" s="1125"/>
      <c r="AB37" s="1125"/>
      <c r="AC37" s="1125"/>
      <c r="AD37" s="1125"/>
      <c r="AE37" s="1125"/>
      <c r="AF37" s="1125"/>
      <c r="AG37" s="1125"/>
      <c r="AH37" s="1125" t="s">
        <v>51</v>
      </c>
      <c r="AI37" s="1125" t="s">
        <v>1300</v>
      </c>
    </row>
    <row r="38" spans="1:35" s="1158" customFormat="1" ht="25.5">
      <c r="A38" s="294"/>
      <c r="B38" s="294"/>
      <c r="C38" s="1733" t="s">
        <v>1142</v>
      </c>
      <c r="D38" s="1165" t="s">
        <v>471</v>
      </c>
      <c r="E38" s="1095" t="s">
        <v>466</v>
      </c>
      <c r="F38" s="1165" t="s">
        <v>521</v>
      </c>
      <c r="G38" s="1165"/>
      <c r="H38" s="1165"/>
      <c r="I38" s="1550">
        <v>43491071.200000003</v>
      </c>
      <c r="J38" s="1133"/>
      <c r="K38" s="1133"/>
      <c r="L38" s="1133"/>
      <c r="M38" s="1133"/>
      <c r="N38" s="1734">
        <f t="shared" si="2"/>
        <v>43491071.200000003</v>
      </c>
      <c r="O38" s="1550"/>
      <c r="P38" s="1550"/>
      <c r="Q38" s="1550"/>
      <c r="R38" s="1550"/>
      <c r="S38" s="1734">
        <f t="shared" si="3"/>
        <v>0</v>
      </c>
      <c r="T38" s="1732">
        <f t="shared" si="4"/>
        <v>43491071.200000003</v>
      </c>
      <c r="U38" s="1275">
        <v>43491071.200000003</v>
      </c>
      <c r="V38" s="1275">
        <v>43491071.200000003</v>
      </c>
      <c r="W38" s="1125">
        <v>43491071.200000003</v>
      </c>
      <c r="X38" s="1125">
        <f t="shared" si="5"/>
        <v>0</v>
      </c>
      <c r="Y38" s="1125"/>
      <c r="Z38" s="1125"/>
      <c r="AA38" s="1125"/>
      <c r="AB38" s="1125"/>
      <c r="AC38" s="1125"/>
      <c r="AD38" s="1125"/>
      <c r="AE38" s="1125"/>
      <c r="AF38" s="1125"/>
      <c r="AG38" s="1125"/>
      <c r="AH38" s="1125" t="s">
        <v>51</v>
      </c>
      <c r="AI38" s="1125" t="s">
        <v>1300</v>
      </c>
    </row>
    <row r="39" spans="1:35" s="1158" customFormat="1" ht="30">
      <c r="A39" s="294"/>
      <c r="B39" s="294"/>
      <c r="C39" s="1737" t="s">
        <v>1143</v>
      </c>
      <c r="D39" s="1165" t="s">
        <v>471</v>
      </c>
      <c r="E39" s="1095" t="s">
        <v>466</v>
      </c>
      <c r="F39" s="1165" t="s">
        <v>521</v>
      </c>
      <c r="G39" s="1165"/>
      <c r="H39" s="1165"/>
      <c r="I39" s="1550">
        <v>32793149.999999993</v>
      </c>
      <c r="J39" s="1133"/>
      <c r="K39" s="1133"/>
      <c r="L39" s="1133"/>
      <c r="M39" s="1550"/>
      <c r="N39" s="1734">
        <f t="shared" si="2"/>
        <v>32793149.999999993</v>
      </c>
      <c r="O39" s="1550"/>
      <c r="P39" s="1550"/>
      <c r="Q39" s="1550"/>
      <c r="R39" s="1550"/>
      <c r="S39" s="1734">
        <f t="shared" si="3"/>
        <v>0</v>
      </c>
      <c r="T39" s="1732">
        <f t="shared" si="4"/>
        <v>32793149.999999993</v>
      </c>
      <c r="U39" s="1275">
        <v>32793149.999999993</v>
      </c>
      <c r="V39" s="1275">
        <v>32793149.999999993</v>
      </c>
      <c r="W39" s="1125">
        <v>32793149.999999993</v>
      </c>
      <c r="X39" s="1125">
        <f t="shared" si="5"/>
        <v>0</v>
      </c>
      <c r="Y39" s="1125"/>
      <c r="Z39" s="1125"/>
      <c r="AA39" s="1125"/>
      <c r="AB39" s="1125"/>
      <c r="AC39" s="1125"/>
      <c r="AD39" s="1125"/>
      <c r="AE39" s="1125"/>
      <c r="AF39" s="1125"/>
      <c r="AG39" s="1125"/>
      <c r="AH39" s="1125" t="s">
        <v>51</v>
      </c>
      <c r="AI39" s="1125" t="s">
        <v>1300</v>
      </c>
    </row>
    <row r="40" spans="1:35" s="1158" customFormat="1" ht="25.5">
      <c r="A40" s="294"/>
      <c r="B40" s="294"/>
      <c r="C40" s="1733" t="s">
        <v>1144</v>
      </c>
      <c r="D40" s="1165" t="s">
        <v>471</v>
      </c>
      <c r="E40" s="1095" t="s">
        <v>466</v>
      </c>
      <c r="F40" s="1165" t="s">
        <v>521</v>
      </c>
      <c r="G40" s="1165"/>
      <c r="H40" s="1165"/>
      <c r="I40" s="1133">
        <v>15060301.199999996</v>
      </c>
      <c r="J40" s="1133"/>
      <c r="K40" s="1133"/>
      <c r="L40" s="1133"/>
      <c r="M40" s="1133"/>
      <c r="N40" s="1734">
        <f t="shared" si="2"/>
        <v>15060301.199999996</v>
      </c>
      <c r="O40" s="1133"/>
      <c r="P40" s="1133"/>
      <c r="Q40" s="1133"/>
      <c r="R40" s="1133"/>
      <c r="S40" s="1734">
        <f t="shared" si="3"/>
        <v>0</v>
      </c>
      <c r="T40" s="1732">
        <f t="shared" si="4"/>
        <v>15060301.199999996</v>
      </c>
      <c r="U40" s="1275">
        <v>15060301.199999996</v>
      </c>
      <c r="V40" s="1275">
        <v>15060301.199999996</v>
      </c>
      <c r="W40" s="1125">
        <v>15060301.199999996</v>
      </c>
      <c r="X40" s="1125">
        <f t="shared" si="5"/>
        <v>0</v>
      </c>
      <c r="Y40" s="1125"/>
      <c r="Z40" s="1125"/>
      <c r="AA40" s="1125"/>
      <c r="AB40" s="1125"/>
      <c r="AC40" s="1125"/>
      <c r="AD40" s="1125"/>
      <c r="AE40" s="1125"/>
      <c r="AF40" s="1125"/>
      <c r="AG40" s="1125"/>
      <c r="AH40" s="1125" t="s">
        <v>51</v>
      </c>
      <c r="AI40" s="1125" t="s">
        <v>1300</v>
      </c>
    </row>
    <row r="41" spans="1:35" s="1158" customFormat="1" ht="25.5">
      <c r="A41" s="294"/>
      <c r="B41" s="294"/>
      <c r="C41" s="1733" t="s">
        <v>1145</v>
      </c>
      <c r="D41" s="1165" t="s">
        <v>471</v>
      </c>
      <c r="E41" s="1095" t="s">
        <v>466</v>
      </c>
      <c r="F41" s="1165" t="s">
        <v>521</v>
      </c>
      <c r="G41" s="1165"/>
      <c r="H41" s="1165"/>
      <c r="I41" s="1133">
        <v>15060301.199999996</v>
      </c>
      <c r="J41" s="1133"/>
      <c r="K41" s="1133"/>
      <c r="L41" s="1133"/>
      <c r="M41" s="1133"/>
      <c r="N41" s="1734">
        <f t="shared" si="2"/>
        <v>15060301.199999996</v>
      </c>
      <c r="O41" s="1133"/>
      <c r="P41" s="1133"/>
      <c r="Q41" s="1133"/>
      <c r="R41" s="1133"/>
      <c r="S41" s="1734">
        <f t="shared" si="3"/>
        <v>0</v>
      </c>
      <c r="T41" s="1732">
        <f t="shared" si="4"/>
        <v>15060301.199999996</v>
      </c>
      <c r="U41" s="1275">
        <v>15060301.199999996</v>
      </c>
      <c r="V41" s="1275">
        <v>15060301.199999996</v>
      </c>
      <c r="W41" s="1125">
        <v>15060301.199999996</v>
      </c>
      <c r="X41" s="1125">
        <f t="shared" si="5"/>
        <v>0</v>
      </c>
      <c r="Y41" s="1125"/>
      <c r="Z41" s="1125"/>
      <c r="AA41" s="1125"/>
      <c r="AB41" s="1125"/>
      <c r="AC41" s="1125"/>
      <c r="AD41" s="1125"/>
      <c r="AE41" s="1125"/>
      <c r="AF41" s="1125"/>
      <c r="AG41" s="1125"/>
      <c r="AH41" s="1125" t="s">
        <v>51</v>
      </c>
      <c r="AI41" s="1125" t="s">
        <v>1300</v>
      </c>
    </row>
    <row r="42" spans="1:35" s="1158" customFormat="1" ht="25.5">
      <c r="A42" s="294"/>
      <c r="B42" s="294"/>
      <c r="C42" s="1733" t="s">
        <v>1146</v>
      </c>
      <c r="D42" s="1165" t="s">
        <v>471</v>
      </c>
      <c r="E42" s="1095" t="s">
        <v>466</v>
      </c>
      <c r="F42" s="1165" t="s">
        <v>521</v>
      </c>
      <c r="G42" s="1165"/>
      <c r="H42" s="1165"/>
      <c r="I42" s="1133">
        <v>11713542.5</v>
      </c>
      <c r="J42" s="1133"/>
      <c r="K42" s="1133"/>
      <c r="L42" s="1133"/>
      <c r="M42" s="1133"/>
      <c r="N42" s="1734">
        <f t="shared" si="2"/>
        <v>11713542.5</v>
      </c>
      <c r="O42" s="1133"/>
      <c r="P42" s="1133"/>
      <c r="Q42" s="1133"/>
      <c r="R42" s="1133"/>
      <c r="S42" s="1734">
        <f t="shared" si="3"/>
        <v>0</v>
      </c>
      <c r="T42" s="1732">
        <f t="shared" si="4"/>
        <v>11713542.5</v>
      </c>
      <c r="U42" s="1275">
        <v>11713542.5</v>
      </c>
      <c r="V42" s="1275">
        <v>11713542.5</v>
      </c>
      <c r="W42" s="1125">
        <v>11713542.5</v>
      </c>
      <c r="X42" s="1125">
        <f t="shared" si="5"/>
        <v>0</v>
      </c>
      <c r="Y42" s="1125"/>
      <c r="Z42" s="1125"/>
      <c r="AA42" s="1125"/>
      <c r="AB42" s="1125"/>
      <c r="AC42" s="1125"/>
      <c r="AD42" s="1125"/>
      <c r="AE42" s="1125"/>
      <c r="AF42" s="1125"/>
      <c r="AG42" s="1125"/>
      <c r="AH42" s="1125" t="s">
        <v>51</v>
      </c>
      <c r="AI42" s="1125" t="s">
        <v>1300</v>
      </c>
    </row>
    <row r="43" spans="1:35" s="1158" customFormat="1" ht="15">
      <c r="A43" s="294"/>
      <c r="B43" s="294"/>
      <c r="C43" s="1733" t="s">
        <v>1147</v>
      </c>
      <c r="D43" s="1165" t="s">
        <v>471</v>
      </c>
      <c r="E43" s="1095" t="s">
        <v>466</v>
      </c>
      <c r="F43" s="1165" t="s">
        <v>521</v>
      </c>
      <c r="G43" s="1165"/>
      <c r="H43" s="1165"/>
      <c r="I43" s="1133">
        <v>12713401.000000002</v>
      </c>
      <c r="J43" s="1133"/>
      <c r="K43" s="1133"/>
      <c r="L43" s="1133"/>
      <c r="M43" s="1133"/>
      <c r="N43" s="1734">
        <f t="shared" si="2"/>
        <v>12713401.000000002</v>
      </c>
      <c r="O43" s="1133"/>
      <c r="P43" s="1133"/>
      <c r="Q43" s="1133"/>
      <c r="R43" s="1133"/>
      <c r="S43" s="1734">
        <f t="shared" si="3"/>
        <v>0</v>
      </c>
      <c r="T43" s="1732">
        <f t="shared" si="4"/>
        <v>12713401.000000002</v>
      </c>
      <c r="U43" s="1275">
        <v>12713401.000000002</v>
      </c>
      <c r="V43" s="1275">
        <v>12713401.000000002</v>
      </c>
      <c r="W43" s="1125">
        <v>12713401.000000002</v>
      </c>
      <c r="X43" s="1125">
        <f t="shared" si="5"/>
        <v>0</v>
      </c>
      <c r="Y43" s="1125"/>
      <c r="Z43" s="1125"/>
      <c r="AA43" s="1125"/>
      <c r="AB43" s="1125"/>
      <c r="AC43" s="1125"/>
      <c r="AD43" s="1125"/>
      <c r="AE43" s="1125"/>
      <c r="AF43" s="1125"/>
      <c r="AG43" s="1125"/>
      <c r="AH43" s="1125" t="s">
        <v>51</v>
      </c>
      <c r="AI43" s="1125" t="s">
        <v>1300</v>
      </c>
    </row>
    <row r="44" spans="1:35" s="1158" customFormat="1" ht="15">
      <c r="A44" s="294"/>
      <c r="B44" s="294"/>
      <c r="C44" s="1736" t="s">
        <v>1148</v>
      </c>
      <c r="D44" s="1165" t="s">
        <v>471</v>
      </c>
      <c r="E44" s="1095" t="s">
        <v>475</v>
      </c>
      <c r="F44" s="1165" t="s">
        <v>521</v>
      </c>
      <c r="G44" s="1165"/>
      <c r="H44" s="1165"/>
      <c r="I44" s="1133">
        <v>1500000</v>
      </c>
      <c r="J44" s="1133">
        <v>6597460.7999999998</v>
      </c>
      <c r="K44" s="1133"/>
      <c r="L44" s="1133"/>
      <c r="M44" s="1133"/>
      <c r="N44" s="1734">
        <f t="shared" si="2"/>
        <v>8097460.7999999998</v>
      </c>
      <c r="O44" s="1133"/>
      <c r="P44" s="1133"/>
      <c r="Q44" s="1133"/>
      <c r="R44" s="1133"/>
      <c r="S44" s="1734">
        <f t="shared" si="3"/>
        <v>0</v>
      </c>
      <c r="T44" s="1732">
        <f t="shared" si="4"/>
        <v>8097460.7999999998</v>
      </c>
      <c r="U44" s="1275">
        <v>8097460.7999999998</v>
      </c>
      <c r="V44" s="1275">
        <v>8097460.7999999998</v>
      </c>
      <c r="W44" s="1125">
        <v>8097460.7999999998</v>
      </c>
      <c r="X44" s="1125">
        <f t="shared" si="5"/>
        <v>0</v>
      </c>
      <c r="Y44" s="1125"/>
      <c r="Z44" s="1125"/>
      <c r="AA44" s="1125"/>
      <c r="AB44" s="1125"/>
      <c r="AC44" s="1125"/>
      <c r="AD44" s="1125"/>
      <c r="AE44" s="1125"/>
      <c r="AF44" s="1125"/>
      <c r="AG44" s="1125"/>
      <c r="AH44" s="1125" t="s">
        <v>51</v>
      </c>
      <c r="AI44" s="1125" t="s">
        <v>1300</v>
      </c>
    </row>
    <row r="45" spans="1:35" s="1158" customFormat="1" ht="15">
      <c r="A45" s="294"/>
      <c r="B45" s="294"/>
      <c r="C45" s="1733" t="s">
        <v>1148</v>
      </c>
      <c r="D45" s="1165" t="s">
        <v>471</v>
      </c>
      <c r="E45" s="1095" t="s">
        <v>475</v>
      </c>
      <c r="F45" s="1165" t="s">
        <v>521</v>
      </c>
      <c r="G45" s="1165"/>
      <c r="H45" s="1165"/>
      <c r="I45" s="1133">
        <v>1500000</v>
      </c>
      <c r="J45" s="1133">
        <v>6597460.7999999998</v>
      </c>
      <c r="K45" s="1133"/>
      <c r="L45" s="1133"/>
      <c r="M45" s="1133"/>
      <c r="N45" s="1734">
        <f t="shared" si="2"/>
        <v>8097460.7999999998</v>
      </c>
      <c r="O45" s="1133"/>
      <c r="P45" s="1133"/>
      <c r="Q45" s="1133"/>
      <c r="R45" s="1133"/>
      <c r="S45" s="1734">
        <f t="shared" si="3"/>
        <v>0</v>
      </c>
      <c r="T45" s="1732">
        <f t="shared" si="4"/>
        <v>8097460.7999999998</v>
      </c>
      <c r="U45" s="1275">
        <v>8097460.7999999998</v>
      </c>
      <c r="V45" s="1275">
        <v>8097460.7999999998</v>
      </c>
      <c r="W45" s="1125">
        <v>8097460.7999999998</v>
      </c>
      <c r="X45" s="1125">
        <f t="shared" si="5"/>
        <v>0</v>
      </c>
      <c r="Y45" s="1125"/>
      <c r="Z45" s="1125"/>
      <c r="AA45" s="1125"/>
      <c r="AB45" s="1125"/>
      <c r="AC45" s="1125"/>
      <c r="AD45" s="1125"/>
      <c r="AE45" s="1125"/>
      <c r="AF45" s="1125"/>
      <c r="AG45" s="1125"/>
      <c r="AH45" s="1125" t="s">
        <v>51</v>
      </c>
      <c r="AI45" s="1125" t="s">
        <v>1300</v>
      </c>
    </row>
    <row r="46" spans="1:35" s="1158" customFormat="1" ht="27" customHeight="1">
      <c r="A46" s="294"/>
      <c r="B46" s="294"/>
      <c r="C46" s="1733" t="s">
        <v>1148</v>
      </c>
      <c r="D46" s="1165" t="s">
        <v>471</v>
      </c>
      <c r="E46" s="1095" t="s">
        <v>475</v>
      </c>
      <c r="F46" s="1165" t="s">
        <v>521</v>
      </c>
      <c r="G46" s="1165"/>
      <c r="H46" s="1165"/>
      <c r="I46" s="1550"/>
      <c r="J46" s="1133"/>
      <c r="K46" s="1133"/>
      <c r="L46" s="1133"/>
      <c r="M46" s="1133"/>
      <c r="N46" s="1734">
        <f t="shared" ref="N46:N77" si="14">+SUM(I46:M46)</f>
        <v>0</v>
      </c>
      <c r="O46" s="1550"/>
      <c r="P46" s="1550"/>
      <c r="Q46" s="1550"/>
      <c r="R46" s="1550">
        <v>6697605</v>
      </c>
      <c r="S46" s="1734">
        <f t="shared" si="3"/>
        <v>6697605</v>
      </c>
      <c r="T46" s="1732">
        <f t="shared" si="4"/>
        <v>6697605</v>
      </c>
      <c r="U46" s="1125">
        <v>6697605</v>
      </c>
      <c r="V46" s="1125">
        <v>6697605</v>
      </c>
      <c r="W46" s="1125">
        <v>6697605</v>
      </c>
      <c r="X46" s="1125">
        <f t="shared" si="5"/>
        <v>0</v>
      </c>
      <c r="Y46" s="1125"/>
      <c r="Z46" s="1125"/>
      <c r="AA46" s="1125"/>
      <c r="AB46" s="1125"/>
      <c r="AC46" s="1125"/>
      <c r="AD46" s="1125"/>
      <c r="AE46" s="1125"/>
      <c r="AF46" s="1125"/>
      <c r="AG46" s="1125"/>
      <c r="AH46" s="1125" t="s">
        <v>51</v>
      </c>
      <c r="AI46" s="1125" t="s">
        <v>1300</v>
      </c>
    </row>
    <row r="47" spans="1:35" ht="27" customHeight="1">
      <c r="A47" s="294"/>
      <c r="B47" s="294"/>
      <c r="C47" s="384" t="s">
        <v>1149</v>
      </c>
      <c r="D47" s="10" t="s">
        <v>471</v>
      </c>
      <c r="E47" s="379" t="s">
        <v>475</v>
      </c>
      <c r="F47" s="10" t="s">
        <v>521</v>
      </c>
      <c r="G47" s="10"/>
      <c r="H47" s="10"/>
      <c r="I47" s="335">
        <v>548887</v>
      </c>
      <c r="J47" s="175"/>
      <c r="K47" s="175"/>
      <c r="L47" s="175"/>
      <c r="M47" s="175"/>
      <c r="N47" s="832">
        <f t="shared" si="14"/>
        <v>548887</v>
      </c>
      <c r="O47" s="335"/>
      <c r="P47" s="335">
        <v>1661388.07999997</v>
      </c>
      <c r="Q47" s="335"/>
      <c r="R47" s="175">
        <v>2674163.72000003</v>
      </c>
      <c r="S47" s="832">
        <f t="shared" si="3"/>
        <v>4335551.8</v>
      </c>
      <c r="T47" s="1058">
        <f t="shared" si="4"/>
        <v>4884438.8</v>
      </c>
      <c r="U47" s="292">
        <v>4884438.8</v>
      </c>
      <c r="V47" s="292"/>
      <c r="W47" s="292"/>
      <c r="X47" s="292">
        <f t="shared" si="5"/>
        <v>4884438.8</v>
      </c>
      <c r="Y47" s="292">
        <v>548887</v>
      </c>
      <c r="Z47" s="292"/>
      <c r="AA47" s="292"/>
      <c r="AB47" s="292"/>
      <c r="AC47" s="292"/>
      <c r="AD47" s="292"/>
      <c r="AE47" s="292">
        <v>1661388.07999997</v>
      </c>
      <c r="AF47" s="292"/>
      <c r="AG47" s="292">
        <v>2674163.72000003</v>
      </c>
      <c r="AH47" s="292" t="s">
        <v>51</v>
      </c>
      <c r="AI47" s="292" t="s">
        <v>1300</v>
      </c>
    </row>
    <row r="48" spans="1:35" s="1158" customFormat="1" ht="15">
      <c r="A48" s="294"/>
      <c r="B48" s="294"/>
      <c r="C48" s="1733" t="s">
        <v>1150</v>
      </c>
      <c r="D48" s="1165" t="s">
        <v>471</v>
      </c>
      <c r="E48" s="1095" t="s">
        <v>475</v>
      </c>
      <c r="F48" s="1165" t="s">
        <v>521</v>
      </c>
      <c r="G48" s="1165"/>
      <c r="H48" s="1165"/>
      <c r="I48" s="1133">
        <v>2811959.0240000002</v>
      </c>
      <c r="J48" s="1133">
        <v>10255081</v>
      </c>
      <c r="K48" s="1133"/>
      <c r="L48" s="1133"/>
      <c r="M48" s="1133"/>
      <c r="N48" s="1734">
        <f t="shared" si="14"/>
        <v>13067040.024</v>
      </c>
      <c r="O48" s="1133"/>
      <c r="P48" s="1133"/>
      <c r="Q48" s="1133"/>
      <c r="R48" s="1133"/>
      <c r="S48" s="1734">
        <f t="shared" si="3"/>
        <v>0</v>
      </c>
      <c r="T48" s="1732">
        <f t="shared" si="4"/>
        <v>13067040.024</v>
      </c>
      <c r="U48" s="1275">
        <v>13067040.024</v>
      </c>
      <c r="V48" s="1275">
        <v>13067040.024</v>
      </c>
      <c r="W48" s="1125">
        <v>13067040.024</v>
      </c>
      <c r="X48" s="1125">
        <f t="shared" si="5"/>
        <v>0</v>
      </c>
      <c r="Y48" s="1125"/>
      <c r="Z48" s="1125"/>
      <c r="AA48" s="1125"/>
      <c r="AB48" s="1125"/>
      <c r="AC48" s="1125"/>
      <c r="AD48" s="1125"/>
      <c r="AE48" s="1125"/>
      <c r="AF48" s="1125"/>
      <c r="AG48" s="1125"/>
      <c r="AH48" s="1125" t="s">
        <v>51</v>
      </c>
      <c r="AI48" s="1125" t="s">
        <v>1300</v>
      </c>
    </row>
    <row r="49" spans="1:35" s="1158" customFormat="1" ht="15">
      <c r="A49" s="294"/>
      <c r="B49" s="294"/>
      <c r="C49" s="1733" t="s">
        <v>1151</v>
      </c>
      <c r="D49" s="1165" t="s">
        <v>471</v>
      </c>
      <c r="E49" s="1095" t="s">
        <v>475</v>
      </c>
      <c r="F49" s="1165" t="s">
        <v>521</v>
      </c>
      <c r="G49" s="1165"/>
      <c r="H49" s="1165"/>
      <c r="I49" s="1133">
        <v>0</v>
      </c>
      <c r="J49" s="1133">
        <v>6189760.4000000004</v>
      </c>
      <c r="K49" s="1133"/>
      <c r="L49" s="1133"/>
      <c r="M49" s="1133"/>
      <c r="N49" s="1734">
        <f t="shared" si="14"/>
        <v>6189760.4000000004</v>
      </c>
      <c r="O49" s="1133"/>
      <c r="P49" s="1133"/>
      <c r="Q49" s="1133"/>
      <c r="R49" s="1133"/>
      <c r="S49" s="1734">
        <f t="shared" si="3"/>
        <v>0</v>
      </c>
      <c r="T49" s="1732">
        <f t="shared" si="4"/>
        <v>6189760.4000000004</v>
      </c>
      <c r="U49" s="1275">
        <v>6189760.4000000004</v>
      </c>
      <c r="V49" s="1275">
        <v>6189760.4000000004</v>
      </c>
      <c r="W49" s="1125">
        <v>6189760.4000000004</v>
      </c>
      <c r="X49" s="1125">
        <f t="shared" si="5"/>
        <v>0</v>
      </c>
      <c r="Y49" s="1125"/>
      <c r="Z49" s="1125"/>
      <c r="AA49" s="1125"/>
      <c r="AB49" s="1125"/>
      <c r="AC49" s="1125"/>
      <c r="AD49" s="1125"/>
      <c r="AE49" s="1125"/>
      <c r="AF49" s="1125"/>
      <c r="AG49" s="1125"/>
      <c r="AH49" s="1125" t="s">
        <v>51</v>
      </c>
      <c r="AI49" s="1125" t="s">
        <v>1300</v>
      </c>
    </row>
    <row r="50" spans="1:35" s="1158" customFormat="1" ht="23.25" customHeight="1">
      <c r="A50" s="294"/>
      <c r="B50" s="294"/>
      <c r="C50" s="1733" t="s">
        <v>1150</v>
      </c>
      <c r="D50" s="1165" t="s">
        <v>471</v>
      </c>
      <c r="E50" s="1095" t="s">
        <v>475</v>
      </c>
      <c r="F50" s="1165" t="s">
        <v>521</v>
      </c>
      <c r="G50" s="1165"/>
      <c r="H50" s="1165"/>
      <c r="I50" s="1133">
        <v>2451113.392</v>
      </c>
      <c r="J50" s="1133">
        <v>7967575.5199999996</v>
      </c>
      <c r="K50" s="1133"/>
      <c r="L50" s="1133"/>
      <c r="M50" s="1133"/>
      <c r="N50" s="1734">
        <f t="shared" si="14"/>
        <v>10418688.912</v>
      </c>
      <c r="O50" s="1133"/>
      <c r="P50" s="1133"/>
      <c r="Q50" s="1133"/>
      <c r="R50" s="1133"/>
      <c r="S50" s="1734">
        <f t="shared" si="3"/>
        <v>0</v>
      </c>
      <c r="T50" s="1732">
        <f t="shared" si="4"/>
        <v>10418688.912</v>
      </c>
      <c r="U50" s="1275">
        <v>10418688.912</v>
      </c>
      <c r="V50" s="1275">
        <v>10418688.912</v>
      </c>
      <c r="W50" s="1125">
        <v>10418688.912</v>
      </c>
      <c r="X50" s="1125">
        <f t="shared" si="5"/>
        <v>0</v>
      </c>
      <c r="Y50" s="1125"/>
      <c r="Z50" s="1125"/>
      <c r="AA50" s="1125"/>
      <c r="AB50" s="1125"/>
      <c r="AC50" s="1125"/>
      <c r="AD50" s="1125"/>
      <c r="AE50" s="1125"/>
      <c r="AF50" s="1125"/>
      <c r="AG50" s="1125"/>
      <c r="AH50" s="1125" t="s">
        <v>51</v>
      </c>
      <c r="AI50" s="1125" t="s">
        <v>1300</v>
      </c>
    </row>
    <row r="51" spans="1:35" s="1158" customFormat="1" ht="22.5" customHeight="1">
      <c r="A51" s="294"/>
      <c r="B51" s="294"/>
      <c r="C51" s="1733" t="s">
        <v>1150</v>
      </c>
      <c r="D51" s="1165" t="s">
        <v>471</v>
      </c>
      <c r="E51" s="1095" t="s">
        <v>475</v>
      </c>
      <c r="F51" s="1165" t="s">
        <v>521</v>
      </c>
      <c r="G51" s="1165"/>
      <c r="H51" s="1165"/>
      <c r="I51" s="1133">
        <v>2451113</v>
      </c>
      <c r="J51" s="1133">
        <v>7967575.5199999996</v>
      </c>
      <c r="K51" s="1133"/>
      <c r="L51" s="1133"/>
      <c r="M51" s="1133"/>
      <c r="N51" s="1734">
        <f t="shared" si="14"/>
        <v>10418688.52</v>
      </c>
      <c r="O51" s="1133"/>
      <c r="P51" s="1133"/>
      <c r="Q51" s="1133"/>
      <c r="R51" s="1133"/>
      <c r="S51" s="1734">
        <f t="shared" si="3"/>
        <v>0</v>
      </c>
      <c r="T51" s="1732">
        <f t="shared" si="4"/>
        <v>10418688.52</v>
      </c>
      <c r="U51" s="1275">
        <v>10418688.52</v>
      </c>
      <c r="V51" s="1275">
        <v>10418688.52</v>
      </c>
      <c r="W51" s="1125">
        <v>10418688.52</v>
      </c>
      <c r="X51" s="1125">
        <f t="shared" si="5"/>
        <v>0</v>
      </c>
      <c r="Y51" s="1125"/>
      <c r="Z51" s="1125"/>
      <c r="AA51" s="1125"/>
      <c r="AB51" s="1125"/>
      <c r="AC51" s="1125"/>
      <c r="AD51" s="1125"/>
      <c r="AE51" s="1125"/>
      <c r="AF51" s="1125"/>
      <c r="AG51" s="1125"/>
      <c r="AH51" s="1125" t="s">
        <v>51</v>
      </c>
      <c r="AI51" s="1125" t="s">
        <v>1300</v>
      </c>
    </row>
    <row r="52" spans="1:35" s="1158" customFormat="1" ht="36" customHeight="1">
      <c r="A52" s="294"/>
      <c r="B52" s="294"/>
      <c r="C52" s="1733" t="s">
        <v>1152</v>
      </c>
      <c r="D52" s="1165" t="s">
        <v>471</v>
      </c>
      <c r="E52" s="1095" t="s">
        <v>475</v>
      </c>
      <c r="F52" s="1165" t="s">
        <v>521</v>
      </c>
      <c r="G52" s="1165"/>
      <c r="H52" s="1165"/>
      <c r="I52" s="1133">
        <v>1506000</v>
      </c>
      <c r="J52" s="1133">
        <v>2542730.3999999994</v>
      </c>
      <c r="K52" s="1133"/>
      <c r="L52" s="1133"/>
      <c r="M52" s="1133"/>
      <c r="N52" s="1734">
        <f t="shared" si="14"/>
        <v>4048730.3999999994</v>
      </c>
      <c r="O52" s="1133"/>
      <c r="P52" s="1133"/>
      <c r="Q52" s="1133"/>
      <c r="R52" s="1133"/>
      <c r="S52" s="1734">
        <f t="shared" si="3"/>
        <v>0</v>
      </c>
      <c r="T52" s="1732">
        <f t="shared" si="4"/>
        <v>4048730.3999999994</v>
      </c>
      <c r="U52" s="1275">
        <v>4048730.3999999994</v>
      </c>
      <c r="V52" s="1275">
        <v>4048730.3999999994</v>
      </c>
      <c r="W52" s="1125">
        <v>4048730.3999999994</v>
      </c>
      <c r="X52" s="1125">
        <f t="shared" si="5"/>
        <v>0</v>
      </c>
      <c r="Y52" s="1125"/>
      <c r="Z52" s="1125"/>
      <c r="AA52" s="1125"/>
      <c r="AB52" s="1125"/>
      <c r="AC52" s="1125"/>
      <c r="AD52" s="1125"/>
      <c r="AE52" s="1125"/>
      <c r="AF52" s="1125"/>
      <c r="AG52" s="1125"/>
      <c r="AH52" s="1125" t="s">
        <v>51</v>
      </c>
      <c r="AI52" s="1125" t="s">
        <v>1300</v>
      </c>
    </row>
    <row r="53" spans="1:35" s="1158" customFormat="1" ht="15">
      <c r="A53" s="294"/>
      <c r="B53" s="294"/>
      <c r="C53" s="1733" t="s">
        <v>1152</v>
      </c>
      <c r="D53" s="1165" t="s">
        <v>471</v>
      </c>
      <c r="E53" s="1095" t="s">
        <v>475</v>
      </c>
      <c r="F53" s="1165" t="s">
        <v>521</v>
      </c>
      <c r="G53" s="1165"/>
      <c r="H53" s="1165"/>
      <c r="I53" s="1133">
        <v>0</v>
      </c>
      <c r="J53" s="1133">
        <v>4048730.4</v>
      </c>
      <c r="K53" s="1133"/>
      <c r="L53" s="1133"/>
      <c r="M53" s="1133"/>
      <c r="N53" s="1734">
        <f t="shared" si="14"/>
        <v>4048730.4</v>
      </c>
      <c r="O53" s="1133"/>
      <c r="P53" s="1550"/>
      <c r="Q53" s="1550"/>
      <c r="R53" s="1550"/>
      <c r="S53" s="1734">
        <f t="shared" si="3"/>
        <v>0</v>
      </c>
      <c r="T53" s="1732">
        <f t="shared" si="4"/>
        <v>4048730.4</v>
      </c>
      <c r="U53" s="1275">
        <v>4048730.4</v>
      </c>
      <c r="V53" s="1275">
        <v>4048730.4</v>
      </c>
      <c r="W53" s="1125">
        <v>4048730.4</v>
      </c>
      <c r="X53" s="1125">
        <f t="shared" si="5"/>
        <v>0</v>
      </c>
      <c r="Y53" s="1125"/>
      <c r="Z53" s="1125"/>
      <c r="AA53" s="1125"/>
      <c r="AB53" s="1125"/>
      <c r="AC53" s="1125"/>
      <c r="AD53" s="1125"/>
      <c r="AE53" s="1125"/>
      <c r="AF53" s="1125"/>
      <c r="AG53" s="1125"/>
      <c r="AH53" s="1125" t="s">
        <v>51</v>
      </c>
      <c r="AI53" s="1125" t="s">
        <v>1300</v>
      </c>
    </row>
    <row r="54" spans="1:35" s="1158" customFormat="1" ht="15">
      <c r="A54" s="294"/>
      <c r="B54" s="294"/>
      <c r="C54" s="1733" t="s">
        <v>1152</v>
      </c>
      <c r="D54" s="1165" t="s">
        <v>471</v>
      </c>
      <c r="E54" s="1095" t="s">
        <v>475</v>
      </c>
      <c r="F54" s="1165" t="s">
        <v>521</v>
      </c>
      <c r="G54" s="1165"/>
      <c r="H54" s="1165"/>
      <c r="I54" s="1133"/>
      <c r="J54" s="1133">
        <v>8402628.6079999991</v>
      </c>
      <c r="K54" s="1133"/>
      <c r="L54" s="1133"/>
      <c r="M54" s="1133"/>
      <c r="N54" s="1734">
        <f t="shared" si="14"/>
        <v>8402628.6079999991</v>
      </c>
      <c r="O54" s="1133"/>
      <c r="P54" s="1133"/>
      <c r="Q54" s="1133"/>
      <c r="R54" s="1133"/>
      <c r="S54" s="1734">
        <f t="shared" si="3"/>
        <v>0</v>
      </c>
      <c r="T54" s="1732">
        <f t="shared" si="4"/>
        <v>8402628.6079999991</v>
      </c>
      <c r="U54" s="1275">
        <v>8402628.6079999991</v>
      </c>
      <c r="V54" s="1275">
        <v>8402628.6079999991</v>
      </c>
      <c r="W54" s="1125">
        <v>8402628.6079999991</v>
      </c>
      <c r="X54" s="1125">
        <f t="shared" si="5"/>
        <v>0</v>
      </c>
      <c r="Y54" s="1125"/>
      <c r="Z54" s="1125"/>
      <c r="AA54" s="1125"/>
      <c r="AB54" s="1125"/>
      <c r="AC54" s="1125"/>
      <c r="AD54" s="1125"/>
      <c r="AE54" s="1125"/>
      <c r="AF54" s="1125"/>
      <c r="AG54" s="1125"/>
      <c r="AH54" s="1125" t="s">
        <v>51</v>
      </c>
      <c r="AI54" s="1125" t="s">
        <v>1300</v>
      </c>
    </row>
    <row r="55" spans="1:35" s="1158" customFormat="1" ht="15">
      <c r="A55" s="294"/>
      <c r="B55" s="294"/>
      <c r="C55" s="1733" t="s">
        <v>1152</v>
      </c>
      <c r="D55" s="1165" t="s">
        <v>471</v>
      </c>
      <c r="E55" s="1095" t="s">
        <v>475</v>
      </c>
      <c r="F55" s="1165" t="s">
        <v>521</v>
      </c>
      <c r="G55" s="1165"/>
      <c r="H55" s="1165"/>
      <c r="I55" s="1133"/>
      <c r="J55" s="1133"/>
      <c r="K55" s="1133"/>
      <c r="L55" s="1133"/>
      <c r="M55" s="1133"/>
      <c r="N55" s="1734">
        <f t="shared" si="14"/>
        <v>0</v>
      </c>
      <c r="O55" s="1133"/>
      <c r="P55" s="1133"/>
      <c r="Q55" s="1133"/>
      <c r="R55" s="1133">
        <v>10121826</v>
      </c>
      <c r="S55" s="1734">
        <f t="shared" si="3"/>
        <v>10121826</v>
      </c>
      <c r="T55" s="1732">
        <f t="shared" si="4"/>
        <v>10121826</v>
      </c>
      <c r="U55" s="1125">
        <v>10121826</v>
      </c>
      <c r="V55" s="1125">
        <v>10121826</v>
      </c>
      <c r="W55" s="1125">
        <v>10121826</v>
      </c>
      <c r="X55" s="1125">
        <f t="shared" si="5"/>
        <v>0</v>
      </c>
      <c r="Y55" s="1125"/>
      <c r="Z55" s="1125"/>
      <c r="AA55" s="1125"/>
      <c r="AB55" s="1125"/>
      <c r="AC55" s="1125"/>
      <c r="AD55" s="1125"/>
      <c r="AE55" s="1125"/>
      <c r="AF55" s="1125"/>
      <c r="AG55" s="1125"/>
      <c r="AH55" s="1125" t="s">
        <v>51</v>
      </c>
      <c r="AI55" s="1125" t="s">
        <v>1300</v>
      </c>
    </row>
    <row r="56" spans="1:35" s="1158" customFormat="1" ht="15">
      <c r="A56" s="294"/>
      <c r="B56" s="294"/>
      <c r="C56" s="1733" t="s">
        <v>1152</v>
      </c>
      <c r="D56" s="1165" t="s">
        <v>471</v>
      </c>
      <c r="E56" s="1095" t="s">
        <v>475</v>
      </c>
      <c r="F56" s="1165" t="s">
        <v>521</v>
      </c>
      <c r="G56" s="1165"/>
      <c r="H56" s="1165"/>
      <c r="I56" s="1133"/>
      <c r="J56" s="1133"/>
      <c r="K56" s="1133"/>
      <c r="L56" s="1133"/>
      <c r="M56" s="1133"/>
      <c r="N56" s="1734">
        <f t="shared" si="14"/>
        <v>0</v>
      </c>
      <c r="O56" s="1133"/>
      <c r="P56" s="1133"/>
      <c r="Q56" s="1133"/>
      <c r="R56" s="1133">
        <v>10121826</v>
      </c>
      <c r="S56" s="1734">
        <f t="shared" si="3"/>
        <v>10121826</v>
      </c>
      <c r="T56" s="1732">
        <f t="shared" si="4"/>
        <v>10121826</v>
      </c>
      <c r="U56" s="1125">
        <v>10121826</v>
      </c>
      <c r="V56" s="1125">
        <v>10121826</v>
      </c>
      <c r="W56" s="1125">
        <v>10121826</v>
      </c>
      <c r="X56" s="1125">
        <f t="shared" si="5"/>
        <v>0</v>
      </c>
      <c r="Y56" s="1125"/>
      <c r="Z56" s="1125"/>
      <c r="AA56" s="1125"/>
      <c r="AB56" s="1125"/>
      <c r="AC56" s="1125"/>
      <c r="AD56" s="1125"/>
      <c r="AE56" s="1125"/>
      <c r="AF56" s="1125"/>
      <c r="AG56" s="1125"/>
      <c r="AH56" s="1125" t="s">
        <v>51</v>
      </c>
      <c r="AI56" s="1125" t="s">
        <v>1300</v>
      </c>
    </row>
    <row r="57" spans="1:35" s="1158" customFormat="1" ht="15">
      <c r="A57" s="294"/>
      <c r="B57" s="294"/>
      <c r="C57" s="1733" t="s">
        <v>1423</v>
      </c>
      <c r="D57" s="1165" t="s">
        <v>471</v>
      </c>
      <c r="E57" s="1095" t="s">
        <v>475</v>
      </c>
      <c r="F57" s="1165" t="s">
        <v>521</v>
      </c>
      <c r="G57" s="1165"/>
      <c r="H57" s="1165"/>
      <c r="I57" s="1133"/>
      <c r="J57" s="1133"/>
      <c r="K57" s="1133"/>
      <c r="L57" s="1133"/>
      <c r="M57" s="1133"/>
      <c r="N57" s="1734">
        <f t="shared" si="14"/>
        <v>0</v>
      </c>
      <c r="O57" s="1133"/>
      <c r="P57" s="1133"/>
      <c r="Q57" s="1133"/>
      <c r="R57" s="1133">
        <v>10121826</v>
      </c>
      <c r="S57" s="1734">
        <f t="shared" si="3"/>
        <v>10121826</v>
      </c>
      <c r="T57" s="1732">
        <f t="shared" si="4"/>
        <v>10121826</v>
      </c>
      <c r="U57" s="1125">
        <v>10121826</v>
      </c>
      <c r="V57" s="1125"/>
      <c r="W57" s="1125"/>
      <c r="X57" s="1125">
        <f t="shared" si="5"/>
        <v>10121826</v>
      </c>
      <c r="Y57" s="1125"/>
      <c r="Z57" s="1125"/>
      <c r="AA57" s="1125"/>
      <c r="AB57" s="1125"/>
      <c r="AC57" s="1125"/>
      <c r="AD57" s="1125"/>
      <c r="AE57" s="1125"/>
      <c r="AF57" s="1125"/>
      <c r="AG57" s="1125">
        <v>10121826</v>
      </c>
      <c r="AH57" s="1125" t="s">
        <v>51</v>
      </c>
      <c r="AI57" s="1125" t="s">
        <v>1300</v>
      </c>
    </row>
    <row r="58" spans="1:35" ht="21" customHeight="1">
      <c r="A58" s="294"/>
      <c r="B58" s="294"/>
      <c r="C58" s="384" t="s">
        <v>1153</v>
      </c>
      <c r="D58" s="10" t="s">
        <v>471</v>
      </c>
      <c r="E58" s="379" t="s">
        <v>475</v>
      </c>
      <c r="F58" s="10" t="s">
        <v>521</v>
      </c>
      <c r="G58" s="10"/>
      <c r="H58" s="10"/>
      <c r="I58" s="175"/>
      <c r="J58" s="175"/>
      <c r="K58" s="175"/>
      <c r="L58" s="175"/>
      <c r="M58" s="175"/>
      <c r="N58" s="832">
        <f t="shared" si="14"/>
        <v>0</v>
      </c>
      <c r="O58" s="175"/>
      <c r="P58" s="175"/>
      <c r="Q58" s="175"/>
      <c r="R58" s="175">
        <v>5566176</v>
      </c>
      <c r="S58" s="832">
        <f t="shared" si="3"/>
        <v>5566176</v>
      </c>
      <c r="T58" s="782">
        <f t="shared" si="4"/>
        <v>5566176</v>
      </c>
      <c r="U58" s="292">
        <v>5566176</v>
      </c>
      <c r="V58" s="292"/>
      <c r="W58" s="292"/>
      <c r="X58" s="292">
        <f t="shared" si="5"/>
        <v>5566176</v>
      </c>
      <c r="Y58" s="292"/>
      <c r="Z58" s="292"/>
      <c r="AA58" s="292"/>
      <c r="AB58" s="292"/>
      <c r="AC58" s="292"/>
      <c r="AD58" s="292"/>
      <c r="AE58" s="292"/>
      <c r="AF58" s="292"/>
      <c r="AG58" s="292">
        <v>5566176</v>
      </c>
      <c r="AH58" s="292" t="s">
        <v>51</v>
      </c>
      <c r="AI58" s="292" t="s">
        <v>1300</v>
      </c>
    </row>
    <row r="59" spans="1:35" s="1158" customFormat="1" ht="18" customHeight="1">
      <c r="A59" s="294"/>
      <c r="B59" s="294"/>
      <c r="C59" s="1733" t="s">
        <v>1154</v>
      </c>
      <c r="D59" s="1165" t="s">
        <v>471</v>
      </c>
      <c r="E59" s="1095" t="s">
        <v>475</v>
      </c>
      <c r="F59" s="1165" t="s">
        <v>521</v>
      </c>
      <c r="G59" s="1165"/>
      <c r="H59" s="1165"/>
      <c r="I59" s="1133"/>
      <c r="J59" s="1133">
        <v>2605580.7999999998</v>
      </c>
      <c r="K59" s="1133"/>
      <c r="L59" s="1133"/>
      <c r="M59" s="1133"/>
      <c r="N59" s="1734">
        <f t="shared" si="14"/>
        <v>2605580.7999999998</v>
      </c>
      <c r="O59" s="1133"/>
      <c r="P59" s="1133"/>
      <c r="Q59" s="1133"/>
      <c r="R59" s="1133"/>
      <c r="S59" s="1734">
        <f t="shared" si="3"/>
        <v>0</v>
      </c>
      <c r="T59" s="1732">
        <f t="shared" si="4"/>
        <v>2605580.7999999998</v>
      </c>
      <c r="U59" s="1125">
        <v>2605580.7999999998</v>
      </c>
      <c r="V59" s="1125">
        <v>2605580.7999999998</v>
      </c>
      <c r="W59" s="1125">
        <v>2605580.7999999998</v>
      </c>
      <c r="X59" s="1125">
        <f t="shared" si="5"/>
        <v>0</v>
      </c>
      <c r="Y59" s="1125"/>
      <c r="Z59" s="1125"/>
      <c r="AA59" s="1125"/>
      <c r="AB59" s="1125"/>
      <c r="AC59" s="1125"/>
      <c r="AD59" s="1125"/>
      <c r="AE59" s="1125"/>
      <c r="AF59" s="1125"/>
      <c r="AG59" s="1125"/>
      <c r="AH59" s="1125" t="s">
        <v>51</v>
      </c>
      <c r="AI59" s="1125" t="s">
        <v>1300</v>
      </c>
    </row>
    <row r="60" spans="1:35" ht="19.5" customHeight="1">
      <c r="A60" s="294"/>
      <c r="B60" s="294"/>
      <c r="C60" s="384" t="s">
        <v>1154</v>
      </c>
      <c r="D60" s="10" t="s">
        <v>471</v>
      </c>
      <c r="E60" s="379" t="s">
        <v>475</v>
      </c>
      <c r="F60" s="10" t="s">
        <v>521</v>
      </c>
      <c r="G60" s="10"/>
      <c r="H60" s="10"/>
      <c r="I60" s="175"/>
      <c r="J60" s="175"/>
      <c r="K60" s="175"/>
      <c r="L60" s="175"/>
      <c r="M60" s="175"/>
      <c r="N60" s="832">
        <f t="shared" si="14"/>
        <v>0</v>
      </c>
      <c r="O60" s="175"/>
      <c r="P60" s="175"/>
      <c r="Q60" s="175"/>
      <c r="R60" s="175">
        <v>2935696</v>
      </c>
      <c r="S60" s="832">
        <f t="shared" si="3"/>
        <v>2935696</v>
      </c>
      <c r="T60" s="782">
        <f t="shared" si="4"/>
        <v>2935696</v>
      </c>
      <c r="U60" s="292">
        <v>2935696</v>
      </c>
      <c r="V60" s="292"/>
      <c r="W60" s="292"/>
      <c r="X60" s="292">
        <f t="shared" si="5"/>
        <v>2935696</v>
      </c>
      <c r="Y60" s="292"/>
      <c r="Z60" s="292"/>
      <c r="AA60" s="292"/>
      <c r="AB60" s="292"/>
      <c r="AC60" s="292"/>
      <c r="AD60" s="292"/>
      <c r="AE60" s="292"/>
      <c r="AF60" s="292"/>
      <c r="AG60" s="292">
        <v>2935696</v>
      </c>
      <c r="AH60" s="292" t="s">
        <v>51</v>
      </c>
      <c r="AI60" s="292" t="s">
        <v>1300</v>
      </c>
    </row>
    <row r="61" spans="1:35" ht="15">
      <c r="A61" s="294"/>
      <c r="B61" s="294"/>
      <c r="C61" s="384" t="s">
        <v>1155</v>
      </c>
      <c r="D61" s="10" t="s">
        <v>471</v>
      </c>
      <c r="E61" s="379" t="s">
        <v>475</v>
      </c>
      <c r="F61" s="10" t="s">
        <v>521</v>
      </c>
      <c r="G61" s="10"/>
      <c r="H61" s="10"/>
      <c r="I61" s="175"/>
      <c r="J61" s="175"/>
      <c r="K61" s="175"/>
      <c r="L61" s="175"/>
      <c r="M61" s="175"/>
      <c r="N61" s="832">
        <f t="shared" si="14"/>
        <v>0</v>
      </c>
      <c r="O61" s="175"/>
      <c r="P61" s="175"/>
      <c r="Q61" s="175"/>
      <c r="R61" s="175"/>
      <c r="S61" s="832">
        <f t="shared" si="3"/>
        <v>0</v>
      </c>
      <c r="T61" s="782">
        <f t="shared" si="4"/>
        <v>0</v>
      </c>
      <c r="U61" s="25">
        <v>0</v>
      </c>
      <c r="V61" s="25"/>
      <c r="W61" s="292"/>
      <c r="X61" s="292">
        <f t="shared" si="5"/>
        <v>0</v>
      </c>
      <c r="Y61" s="292"/>
      <c r="Z61" s="292"/>
      <c r="AA61" s="292"/>
      <c r="AB61" s="292"/>
      <c r="AC61" s="292"/>
      <c r="AD61" s="292"/>
      <c r="AE61" s="292"/>
      <c r="AF61" s="292"/>
      <c r="AG61" s="292"/>
      <c r="AH61" s="292" t="s">
        <v>51</v>
      </c>
      <c r="AI61" s="292" t="s">
        <v>1300</v>
      </c>
    </row>
    <row r="62" spans="1:35" s="1158" customFormat="1" ht="15">
      <c r="A62" s="294"/>
      <c r="B62" s="294"/>
      <c r="C62" s="1736" t="s">
        <v>1156</v>
      </c>
      <c r="D62" s="1165" t="s">
        <v>471</v>
      </c>
      <c r="E62" s="1095" t="s">
        <v>475</v>
      </c>
      <c r="F62" s="1165" t="s">
        <v>521</v>
      </c>
      <c r="G62" s="1165"/>
      <c r="H62" s="1165"/>
      <c r="I62" s="1133"/>
      <c r="J62" s="1133">
        <v>4048730.4</v>
      </c>
      <c r="K62" s="1133"/>
      <c r="L62" s="1133"/>
      <c r="M62" s="1133"/>
      <c r="N62" s="1734">
        <f t="shared" si="14"/>
        <v>4048730.4</v>
      </c>
      <c r="O62" s="1133"/>
      <c r="P62" s="1133"/>
      <c r="Q62" s="1133"/>
      <c r="R62" s="1133"/>
      <c r="S62" s="1734">
        <f t="shared" si="3"/>
        <v>0</v>
      </c>
      <c r="T62" s="1732">
        <f t="shared" si="4"/>
        <v>4048730.4</v>
      </c>
      <c r="U62" s="1275">
        <v>4048730.4</v>
      </c>
      <c r="V62" s="1275">
        <v>4048730.4</v>
      </c>
      <c r="W62" s="1125">
        <v>4048730.4</v>
      </c>
      <c r="X62" s="1125">
        <f t="shared" si="5"/>
        <v>0</v>
      </c>
      <c r="Y62" s="1125"/>
      <c r="Z62" s="1125"/>
      <c r="AA62" s="1125"/>
      <c r="AB62" s="1125"/>
      <c r="AC62" s="1125"/>
      <c r="AD62" s="1125"/>
      <c r="AE62" s="1125"/>
      <c r="AF62" s="1125"/>
      <c r="AG62" s="1125"/>
      <c r="AH62" s="1125" t="s">
        <v>51</v>
      </c>
      <c r="AI62" s="1125" t="s">
        <v>1300</v>
      </c>
    </row>
    <row r="63" spans="1:35" s="1158" customFormat="1" ht="15">
      <c r="A63" s="294"/>
      <c r="B63" s="294"/>
      <c r="C63" s="1733" t="s">
        <v>1156</v>
      </c>
      <c r="D63" s="1165" t="s">
        <v>471</v>
      </c>
      <c r="E63" s="1095" t="s">
        <v>475</v>
      </c>
      <c r="F63" s="1165" t="s">
        <v>521</v>
      </c>
      <c r="G63" s="1165"/>
      <c r="H63" s="1165"/>
      <c r="I63" s="1133"/>
      <c r="J63" s="1133">
        <v>4048730.4</v>
      </c>
      <c r="K63" s="1133"/>
      <c r="L63" s="1133"/>
      <c r="M63" s="1133"/>
      <c r="N63" s="1734">
        <f t="shared" si="14"/>
        <v>4048730.4</v>
      </c>
      <c r="O63" s="1133"/>
      <c r="P63" s="1133"/>
      <c r="Q63" s="1133"/>
      <c r="R63" s="1133"/>
      <c r="S63" s="1734">
        <f t="shared" si="3"/>
        <v>0</v>
      </c>
      <c r="T63" s="1732">
        <f t="shared" si="4"/>
        <v>4048730.4</v>
      </c>
      <c r="U63" s="1275">
        <v>4048730.4</v>
      </c>
      <c r="V63" s="1275">
        <v>4048730.4</v>
      </c>
      <c r="W63" s="1125">
        <v>4048730.4</v>
      </c>
      <c r="X63" s="1125">
        <f t="shared" si="5"/>
        <v>0</v>
      </c>
      <c r="Y63" s="1125"/>
      <c r="Z63" s="1125"/>
      <c r="AA63" s="1125"/>
      <c r="AB63" s="1125"/>
      <c r="AC63" s="1125"/>
      <c r="AD63" s="1125"/>
      <c r="AE63" s="1125"/>
      <c r="AF63" s="1125"/>
      <c r="AG63" s="1125"/>
      <c r="AH63" s="1125" t="s">
        <v>51</v>
      </c>
      <c r="AI63" s="1125" t="s">
        <v>1300</v>
      </c>
    </row>
    <row r="64" spans="1:35" ht="18" customHeight="1">
      <c r="A64" s="294"/>
      <c r="B64" s="294"/>
      <c r="C64" s="384" t="s">
        <v>1157</v>
      </c>
      <c r="D64" s="10" t="s">
        <v>471</v>
      </c>
      <c r="E64" s="379" t="s">
        <v>475</v>
      </c>
      <c r="F64" s="10" t="s">
        <v>521</v>
      </c>
      <c r="G64" s="10"/>
      <c r="H64" s="10"/>
      <c r="I64" s="175"/>
      <c r="J64" s="175"/>
      <c r="K64" s="175"/>
      <c r="L64" s="335"/>
      <c r="M64" s="175"/>
      <c r="N64" s="832">
        <f t="shared" si="14"/>
        <v>0</v>
      </c>
      <c r="O64" s="175"/>
      <c r="P64" s="175"/>
      <c r="Q64" s="175"/>
      <c r="R64" s="175">
        <v>2935696</v>
      </c>
      <c r="S64" s="832">
        <f t="shared" si="3"/>
        <v>2935696</v>
      </c>
      <c r="T64" s="782">
        <f t="shared" si="4"/>
        <v>2935696</v>
      </c>
      <c r="U64" s="292">
        <v>2935696</v>
      </c>
      <c r="V64" s="292"/>
      <c r="W64" s="292"/>
      <c r="X64" s="292">
        <f t="shared" si="5"/>
        <v>2935696</v>
      </c>
      <c r="Y64" s="292"/>
      <c r="Z64" s="292"/>
      <c r="AA64" s="292"/>
      <c r="AB64" s="292"/>
      <c r="AC64" s="292"/>
      <c r="AD64" s="292"/>
      <c r="AE64" s="292"/>
      <c r="AF64" s="292"/>
      <c r="AG64" s="292">
        <v>2935696</v>
      </c>
      <c r="AH64" s="292" t="s">
        <v>51</v>
      </c>
      <c r="AI64" s="292" t="s">
        <v>1300</v>
      </c>
    </row>
    <row r="65" spans="1:35" s="1158" customFormat="1" ht="15">
      <c r="A65" s="294"/>
      <c r="B65" s="294"/>
      <c r="C65" s="1733" t="s">
        <v>1158</v>
      </c>
      <c r="D65" s="1165" t="s">
        <v>471</v>
      </c>
      <c r="E65" s="1095" t="s">
        <v>475</v>
      </c>
      <c r="F65" s="1165" t="s">
        <v>521</v>
      </c>
      <c r="G65" s="1165"/>
      <c r="H65" s="1165"/>
      <c r="I65" s="1133"/>
      <c r="J65" s="1133">
        <v>8097460.7999999998</v>
      </c>
      <c r="K65" s="1133"/>
      <c r="L65" s="1133"/>
      <c r="M65" s="1133"/>
      <c r="N65" s="1734">
        <f t="shared" si="14"/>
        <v>8097460.7999999998</v>
      </c>
      <c r="O65" s="1133"/>
      <c r="P65" s="1133"/>
      <c r="Q65" s="1133"/>
      <c r="R65" s="1133"/>
      <c r="S65" s="1734">
        <f t="shared" si="3"/>
        <v>0</v>
      </c>
      <c r="T65" s="1732">
        <f t="shared" si="4"/>
        <v>8097460.7999999998</v>
      </c>
      <c r="U65" s="1275">
        <v>8097460.7999999998</v>
      </c>
      <c r="V65" s="1275">
        <v>8097460.7999999998</v>
      </c>
      <c r="W65" s="1125">
        <v>8097460.7999999998</v>
      </c>
      <c r="X65" s="1125">
        <f t="shared" si="5"/>
        <v>0</v>
      </c>
      <c r="Y65" s="1125"/>
      <c r="Z65" s="1125"/>
      <c r="AA65" s="1125"/>
      <c r="AB65" s="1125"/>
      <c r="AC65" s="1125"/>
      <c r="AD65" s="1125"/>
      <c r="AE65" s="1125"/>
      <c r="AF65" s="1125"/>
      <c r="AG65" s="1125"/>
      <c r="AH65" s="1125" t="s">
        <v>51</v>
      </c>
      <c r="AI65" s="1125" t="s">
        <v>1300</v>
      </c>
    </row>
    <row r="66" spans="1:35" s="1158" customFormat="1" ht="15">
      <c r="A66" s="294"/>
      <c r="B66" s="294"/>
      <c r="C66" s="1733" t="s">
        <v>1159</v>
      </c>
      <c r="D66" s="1165" t="s">
        <v>471</v>
      </c>
      <c r="E66" s="1095" t="s">
        <v>475</v>
      </c>
      <c r="F66" s="1165" t="s">
        <v>521</v>
      </c>
      <c r="G66" s="1165"/>
      <c r="H66" s="1165"/>
      <c r="I66" s="1133"/>
      <c r="J66" s="1133">
        <v>8997105.040000001</v>
      </c>
      <c r="K66" s="1133"/>
      <c r="L66" s="1133"/>
      <c r="M66" s="1133"/>
      <c r="N66" s="1734">
        <f t="shared" si="14"/>
        <v>8997105.040000001</v>
      </c>
      <c r="O66" s="1133"/>
      <c r="P66" s="1133"/>
      <c r="Q66" s="1133"/>
      <c r="R66" s="1133"/>
      <c r="S66" s="1734">
        <f t="shared" si="3"/>
        <v>0</v>
      </c>
      <c r="T66" s="1732">
        <f t="shared" si="4"/>
        <v>8997105.040000001</v>
      </c>
      <c r="U66" s="1275">
        <v>8997105.040000001</v>
      </c>
      <c r="V66" s="1275">
        <v>8997105.040000001</v>
      </c>
      <c r="W66" s="1125">
        <v>8997105.040000001</v>
      </c>
      <c r="X66" s="1125">
        <f t="shared" si="5"/>
        <v>0</v>
      </c>
      <c r="Y66" s="1125"/>
      <c r="Z66" s="1125"/>
      <c r="AA66" s="1125"/>
      <c r="AB66" s="1125"/>
      <c r="AC66" s="1125"/>
      <c r="AD66" s="1125"/>
      <c r="AE66" s="1125"/>
      <c r="AF66" s="1125"/>
      <c r="AG66" s="1125"/>
      <c r="AH66" s="1125" t="s">
        <v>51</v>
      </c>
      <c r="AI66" s="1125" t="s">
        <v>1300</v>
      </c>
    </row>
    <row r="67" spans="1:35" s="1158" customFormat="1" ht="15">
      <c r="A67" s="294"/>
      <c r="B67" s="294"/>
      <c r="C67" s="1733" t="s">
        <v>1159</v>
      </c>
      <c r="D67" s="1165" t="s">
        <v>471</v>
      </c>
      <c r="E67" s="1095" t="s">
        <v>475</v>
      </c>
      <c r="F67" s="1165" t="s">
        <v>521</v>
      </c>
      <c r="G67" s="1165"/>
      <c r="H67" s="1165"/>
      <c r="I67" s="1133"/>
      <c r="J67" s="1133">
        <v>8997105.040000001</v>
      </c>
      <c r="K67" s="1133"/>
      <c r="L67" s="1133"/>
      <c r="M67" s="1133"/>
      <c r="N67" s="1734">
        <f t="shared" si="14"/>
        <v>8997105.040000001</v>
      </c>
      <c r="O67" s="1133"/>
      <c r="P67" s="1133"/>
      <c r="Q67" s="1133"/>
      <c r="R67" s="1133"/>
      <c r="S67" s="1734">
        <f t="shared" si="3"/>
        <v>0</v>
      </c>
      <c r="T67" s="1732">
        <f t="shared" si="4"/>
        <v>8997105.040000001</v>
      </c>
      <c r="U67" s="1275">
        <v>8997105.040000001</v>
      </c>
      <c r="V67" s="1275">
        <v>8997105.040000001</v>
      </c>
      <c r="W67" s="1125">
        <v>8997105.040000001</v>
      </c>
      <c r="X67" s="1125">
        <f t="shared" si="5"/>
        <v>0</v>
      </c>
      <c r="Y67" s="1125"/>
      <c r="Z67" s="1125"/>
      <c r="AA67" s="1125"/>
      <c r="AB67" s="1125"/>
      <c r="AC67" s="1125"/>
      <c r="AD67" s="1125"/>
      <c r="AE67" s="1125"/>
      <c r="AF67" s="1125"/>
      <c r="AG67" s="1125"/>
      <c r="AH67" s="1125" t="s">
        <v>51</v>
      </c>
      <c r="AI67" s="1125" t="s">
        <v>1300</v>
      </c>
    </row>
    <row r="68" spans="1:35" s="1158" customFormat="1" ht="17.25" customHeight="1">
      <c r="A68" s="294"/>
      <c r="B68" s="294"/>
      <c r="C68" s="1733" t="s">
        <v>1159</v>
      </c>
      <c r="D68" s="1165" t="s">
        <v>471</v>
      </c>
      <c r="E68" s="1095" t="s">
        <v>475</v>
      </c>
      <c r="F68" s="1165" t="s">
        <v>521</v>
      </c>
      <c r="G68" s="1165"/>
      <c r="H68" s="1165"/>
      <c r="I68" s="1133"/>
      <c r="J68" s="1133"/>
      <c r="K68" s="1133"/>
      <c r="L68" s="1133"/>
      <c r="M68" s="1133"/>
      <c r="N68" s="1734">
        <f t="shared" si="14"/>
        <v>0</v>
      </c>
      <c r="O68" s="1133"/>
      <c r="P68" s="1133"/>
      <c r="Q68" s="1133"/>
      <c r="R68" s="1133">
        <v>10121826</v>
      </c>
      <c r="S68" s="1734">
        <f t="shared" si="3"/>
        <v>10121826</v>
      </c>
      <c r="T68" s="1732">
        <f t="shared" si="4"/>
        <v>10121826</v>
      </c>
      <c r="U68" s="1125">
        <v>10121826</v>
      </c>
      <c r="V68" s="1125">
        <v>10121826</v>
      </c>
      <c r="W68" s="1125">
        <v>10121826</v>
      </c>
      <c r="X68" s="1125">
        <f t="shared" si="5"/>
        <v>0</v>
      </c>
      <c r="Y68" s="1125"/>
      <c r="Z68" s="1125"/>
      <c r="AA68" s="1125"/>
      <c r="AB68" s="1125"/>
      <c r="AC68" s="1125"/>
      <c r="AD68" s="1125"/>
      <c r="AE68" s="1125"/>
      <c r="AF68" s="1125"/>
      <c r="AG68" s="1125"/>
      <c r="AH68" s="1125" t="s">
        <v>51</v>
      </c>
      <c r="AI68" s="1125" t="s">
        <v>1300</v>
      </c>
    </row>
    <row r="69" spans="1:35" s="1158" customFormat="1" ht="15.75" customHeight="1">
      <c r="A69" s="294"/>
      <c r="B69" s="294"/>
      <c r="C69" s="1733" t="s">
        <v>1159</v>
      </c>
      <c r="D69" s="1165" t="s">
        <v>471</v>
      </c>
      <c r="E69" s="1095" t="s">
        <v>475</v>
      </c>
      <c r="F69" s="1165" t="s">
        <v>521</v>
      </c>
      <c r="G69" s="1165"/>
      <c r="H69" s="1165"/>
      <c r="I69" s="1133"/>
      <c r="J69" s="1133"/>
      <c r="K69" s="1133"/>
      <c r="L69" s="1133"/>
      <c r="M69" s="1133"/>
      <c r="N69" s="1734">
        <f t="shared" si="14"/>
        <v>0</v>
      </c>
      <c r="O69" s="1133"/>
      <c r="P69" s="1133"/>
      <c r="Q69" s="1133"/>
      <c r="R69" s="1133">
        <v>8097460.8000000007</v>
      </c>
      <c r="S69" s="1734">
        <f t="shared" si="3"/>
        <v>8097460.8000000007</v>
      </c>
      <c r="T69" s="1732">
        <f t="shared" si="4"/>
        <v>8097460.8000000007</v>
      </c>
      <c r="U69" s="1125">
        <v>8097460.8000000007</v>
      </c>
      <c r="V69" s="1125">
        <v>8097460.8000000007</v>
      </c>
      <c r="W69" s="1125">
        <v>8097460.8000000007</v>
      </c>
      <c r="X69" s="1125">
        <f t="shared" si="5"/>
        <v>0</v>
      </c>
      <c r="Y69" s="1125"/>
      <c r="Z69" s="1125"/>
      <c r="AA69" s="1125"/>
      <c r="AB69" s="1125"/>
      <c r="AC69" s="1125"/>
      <c r="AD69" s="1125"/>
      <c r="AE69" s="1125"/>
      <c r="AF69" s="1125"/>
      <c r="AG69" s="1125"/>
      <c r="AH69" s="1125" t="s">
        <v>51</v>
      </c>
      <c r="AI69" s="1125" t="s">
        <v>1300</v>
      </c>
    </row>
    <row r="70" spans="1:35" s="1158" customFormat="1" ht="15" customHeight="1">
      <c r="A70" s="294"/>
      <c r="B70" s="294"/>
      <c r="C70" s="1733" t="s">
        <v>1159</v>
      </c>
      <c r="D70" s="1165" t="s">
        <v>471</v>
      </c>
      <c r="E70" s="1095" t="s">
        <v>475</v>
      </c>
      <c r="F70" s="1165" t="s">
        <v>521</v>
      </c>
      <c r="G70" s="1165"/>
      <c r="H70" s="1165"/>
      <c r="I70" s="1133"/>
      <c r="J70" s="1133"/>
      <c r="K70" s="1133"/>
      <c r="L70" s="1133"/>
      <c r="M70" s="1133"/>
      <c r="N70" s="1734">
        <f t="shared" si="14"/>
        <v>0</v>
      </c>
      <c r="O70" s="1133"/>
      <c r="P70" s="1133"/>
      <c r="Q70" s="1133"/>
      <c r="R70" s="1133">
        <v>8097460.8000000007</v>
      </c>
      <c r="S70" s="1734">
        <f t="shared" si="3"/>
        <v>8097460.8000000007</v>
      </c>
      <c r="T70" s="1732">
        <f t="shared" si="4"/>
        <v>8097460.8000000007</v>
      </c>
      <c r="U70" s="1125">
        <v>8097460.8000000007</v>
      </c>
      <c r="V70" s="1125">
        <v>8097460.8000000007</v>
      </c>
      <c r="W70" s="1125">
        <v>8097460.8000000007</v>
      </c>
      <c r="X70" s="1125">
        <f t="shared" si="5"/>
        <v>0</v>
      </c>
      <c r="Y70" s="1125"/>
      <c r="Z70" s="1125"/>
      <c r="AA70" s="1125"/>
      <c r="AB70" s="1125"/>
      <c r="AC70" s="1125"/>
      <c r="AD70" s="1125"/>
      <c r="AE70" s="1125"/>
      <c r="AF70" s="1125"/>
      <c r="AG70" s="1125"/>
      <c r="AH70" s="1125" t="s">
        <v>51</v>
      </c>
      <c r="AI70" s="1125" t="s">
        <v>1300</v>
      </c>
    </row>
    <row r="71" spans="1:35" s="1158" customFormat="1" ht="18" customHeight="1">
      <c r="A71" s="294"/>
      <c r="B71" s="294"/>
      <c r="C71" s="1733" t="s">
        <v>1160</v>
      </c>
      <c r="D71" s="1165" t="s">
        <v>471</v>
      </c>
      <c r="E71" s="1095" t="s">
        <v>475</v>
      </c>
      <c r="F71" s="1165" t="s">
        <v>521</v>
      </c>
      <c r="G71" s="1165"/>
      <c r="H71" s="1165"/>
      <c r="I71" s="1133"/>
      <c r="J71" s="1133">
        <v>13755081.119999999</v>
      </c>
      <c r="K71" s="1133"/>
      <c r="L71" s="1550"/>
      <c r="M71" s="1133"/>
      <c r="N71" s="1734">
        <f t="shared" si="14"/>
        <v>13755081.119999999</v>
      </c>
      <c r="O71" s="1133"/>
      <c r="P71" s="1133"/>
      <c r="Q71" s="1133"/>
      <c r="R71" s="1133"/>
      <c r="S71" s="1734">
        <f t="shared" si="3"/>
        <v>0</v>
      </c>
      <c r="T71" s="1732">
        <f t="shared" si="4"/>
        <v>13755081.119999999</v>
      </c>
      <c r="U71" s="1125">
        <v>13755081.119999999</v>
      </c>
      <c r="V71" s="1125">
        <v>13755081.119999999</v>
      </c>
      <c r="W71" s="1125">
        <v>13755081.119999999</v>
      </c>
      <c r="X71" s="1125">
        <f t="shared" si="5"/>
        <v>0</v>
      </c>
      <c r="Y71" s="1125"/>
      <c r="Z71" s="1125"/>
      <c r="AA71" s="1125"/>
      <c r="AB71" s="1125"/>
      <c r="AC71" s="1125"/>
      <c r="AD71" s="1125"/>
      <c r="AE71" s="1125"/>
      <c r="AF71" s="1125"/>
      <c r="AG71" s="1125"/>
      <c r="AH71" s="1125" t="s">
        <v>51</v>
      </c>
      <c r="AI71" s="1125" t="s">
        <v>1300</v>
      </c>
    </row>
    <row r="72" spans="1:35" ht="15.75" customHeight="1">
      <c r="A72" s="294"/>
      <c r="B72" s="294"/>
      <c r="C72" s="384" t="s">
        <v>1161</v>
      </c>
      <c r="D72" s="10" t="s">
        <v>471</v>
      </c>
      <c r="E72" s="10" t="s">
        <v>475</v>
      </c>
      <c r="F72" s="10" t="s">
        <v>521</v>
      </c>
      <c r="G72" s="10"/>
      <c r="H72" s="10"/>
      <c r="I72" s="175"/>
      <c r="J72" s="175"/>
      <c r="K72" s="175"/>
      <c r="L72" s="175"/>
      <c r="M72" s="175"/>
      <c r="N72" s="832">
        <f t="shared" si="14"/>
        <v>0</v>
      </c>
      <c r="O72" s="175"/>
      <c r="P72" s="175"/>
      <c r="Q72" s="175"/>
      <c r="R72" s="175"/>
      <c r="S72" s="832">
        <f t="shared" si="3"/>
        <v>0</v>
      </c>
      <c r="T72" s="782">
        <f t="shared" si="4"/>
        <v>0</v>
      </c>
      <c r="U72" s="292">
        <v>0</v>
      </c>
      <c r="V72" s="292">
        <v>0</v>
      </c>
      <c r="W72" s="292">
        <v>0</v>
      </c>
      <c r="X72" s="292">
        <f t="shared" si="5"/>
        <v>0</v>
      </c>
      <c r="Y72" s="292"/>
      <c r="Z72" s="292"/>
      <c r="AA72" s="292"/>
      <c r="AB72" s="292"/>
      <c r="AC72" s="292"/>
      <c r="AD72" s="292"/>
      <c r="AE72" s="292"/>
      <c r="AF72" s="292"/>
      <c r="AG72" s="292"/>
      <c r="AH72" s="292" t="s">
        <v>51</v>
      </c>
      <c r="AI72" s="292" t="s">
        <v>1300</v>
      </c>
    </row>
    <row r="73" spans="1:35" ht="25.5">
      <c r="A73" s="294"/>
      <c r="B73" s="294"/>
      <c r="C73" s="384" t="s">
        <v>1162</v>
      </c>
      <c r="D73" s="10" t="s">
        <v>471</v>
      </c>
      <c r="E73" s="379" t="s">
        <v>475</v>
      </c>
      <c r="F73" s="10" t="s">
        <v>521</v>
      </c>
      <c r="G73" s="10"/>
      <c r="H73" s="10"/>
      <c r="I73" s="175"/>
      <c r="J73" s="175">
        <v>0</v>
      </c>
      <c r="K73" s="175"/>
      <c r="L73" s="175"/>
      <c r="M73" s="175"/>
      <c r="N73" s="832">
        <f t="shared" si="14"/>
        <v>0</v>
      </c>
      <c r="O73" s="175"/>
      <c r="P73" s="175"/>
      <c r="Q73" s="175"/>
      <c r="R73" s="175"/>
      <c r="S73" s="832">
        <f t="shared" si="3"/>
        <v>0</v>
      </c>
      <c r="T73" s="782">
        <f t="shared" si="4"/>
        <v>0</v>
      </c>
      <c r="U73" s="25">
        <v>0</v>
      </c>
      <c r="V73" s="25">
        <v>0</v>
      </c>
      <c r="W73" s="292">
        <v>0</v>
      </c>
      <c r="X73" s="292">
        <f t="shared" si="5"/>
        <v>0</v>
      </c>
      <c r="Y73" s="292"/>
      <c r="Z73" s="292"/>
      <c r="AA73" s="292"/>
      <c r="AB73" s="292"/>
      <c r="AC73" s="292"/>
      <c r="AD73" s="292"/>
      <c r="AE73" s="292"/>
      <c r="AF73" s="292"/>
      <c r="AG73" s="292"/>
      <c r="AH73" s="292" t="s">
        <v>51</v>
      </c>
      <c r="AI73" s="292" t="s">
        <v>1300</v>
      </c>
    </row>
    <row r="74" spans="1:35" s="1158" customFormat="1" ht="25.5">
      <c r="A74" s="294"/>
      <c r="B74" s="294"/>
      <c r="C74" s="1733" t="s">
        <v>1163</v>
      </c>
      <c r="D74" s="1165" t="s">
        <v>471</v>
      </c>
      <c r="E74" s="1095" t="s">
        <v>475</v>
      </c>
      <c r="F74" s="1165" t="s">
        <v>521</v>
      </c>
      <c r="G74" s="1165"/>
      <c r="H74" s="1165"/>
      <c r="I74" s="1133"/>
      <c r="J74" s="1133">
        <v>2284300.7999999998</v>
      </c>
      <c r="K74" s="1133"/>
      <c r="L74" s="1133"/>
      <c r="M74" s="1133"/>
      <c r="N74" s="1734">
        <f t="shared" si="14"/>
        <v>2284300.7999999998</v>
      </c>
      <c r="O74" s="1133"/>
      <c r="P74" s="1133"/>
      <c r="Q74" s="1133"/>
      <c r="R74" s="1133"/>
      <c r="S74" s="1734">
        <f t="shared" si="3"/>
        <v>0</v>
      </c>
      <c r="T74" s="1732">
        <f t="shared" si="4"/>
        <v>2284300.7999999998</v>
      </c>
      <c r="U74" s="1275">
        <v>2284300.7999999998</v>
      </c>
      <c r="V74" s="1275">
        <v>2284300.7999999998</v>
      </c>
      <c r="W74" s="1125">
        <v>2284300.7999999998</v>
      </c>
      <c r="X74" s="1125">
        <f t="shared" si="5"/>
        <v>0</v>
      </c>
      <c r="Y74" s="1125"/>
      <c r="Z74" s="1125"/>
      <c r="AA74" s="1125"/>
      <c r="AB74" s="1125"/>
      <c r="AC74" s="1125"/>
      <c r="AD74" s="1125"/>
      <c r="AE74" s="1125"/>
      <c r="AF74" s="1125"/>
      <c r="AG74" s="1125"/>
      <c r="AH74" s="1125" t="s">
        <v>51</v>
      </c>
      <c r="AI74" s="1125" t="s">
        <v>1300</v>
      </c>
    </row>
    <row r="75" spans="1:35" s="1080" customFormat="1" ht="23.25" customHeight="1">
      <c r="A75" s="294"/>
      <c r="B75" s="294"/>
      <c r="C75" s="1094" t="s">
        <v>1164</v>
      </c>
      <c r="D75" s="1095" t="s">
        <v>471</v>
      </c>
      <c r="E75" s="1095" t="s">
        <v>475</v>
      </c>
      <c r="F75" s="1095" t="s">
        <v>521</v>
      </c>
      <c r="G75" s="1095"/>
      <c r="H75" s="1095"/>
      <c r="I75" s="1139">
        <v>11999808</v>
      </c>
      <c r="J75" s="1139">
        <v>20535816</v>
      </c>
      <c r="K75" s="1139"/>
      <c r="L75" s="1139"/>
      <c r="M75" s="1139"/>
      <c r="N75" s="1183">
        <f t="shared" si="14"/>
        <v>32535624</v>
      </c>
      <c r="O75" s="1139"/>
      <c r="P75" s="1139"/>
      <c r="Q75" s="1139"/>
      <c r="R75" s="1139"/>
      <c r="S75" s="1183">
        <f t="shared" si="3"/>
        <v>0</v>
      </c>
      <c r="T75" s="1727">
        <f t="shared" si="4"/>
        <v>32535624</v>
      </c>
      <c r="U75" s="1332">
        <v>32535624</v>
      </c>
      <c r="V75" s="1332">
        <v>32535624</v>
      </c>
      <c r="W75" s="1083">
        <v>32535624</v>
      </c>
      <c r="X75" s="1083">
        <f t="shared" si="5"/>
        <v>0</v>
      </c>
      <c r="Y75" s="1083"/>
      <c r="Z75" s="1083"/>
      <c r="AA75" s="1083"/>
      <c r="AB75" s="1083"/>
      <c r="AC75" s="1083"/>
      <c r="AD75" s="1083"/>
      <c r="AE75" s="1083"/>
      <c r="AF75" s="1083"/>
      <c r="AG75" s="1083"/>
      <c r="AH75" s="1083" t="s">
        <v>51</v>
      </c>
      <c r="AI75" s="1083" t="s">
        <v>1300</v>
      </c>
    </row>
    <row r="76" spans="1:35" s="1158" customFormat="1" ht="15">
      <c r="A76" s="294"/>
      <c r="B76" s="294"/>
      <c r="C76" s="1733" t="s">
        <v>479</v>
      </c>
      <c r="D76" s="1165" t="s">
        <v>381</v>
      </c>
      <c r="E76" s="1165" t="s">
        <v>480</v>
      </c>
      <c r="F76" s="1165" t="s">
        <v>521</v>
      </c>
      <c r="G76" s="1165"/>
      <c r="H76" s="1165"/>
      <c r="I76" s="1133"/>
      <c r="J76" s="1133">
        <v>10366777</v>
      </c>
      <c r="K76" s="1133"/>
      <c r="L76" s="1133"/>
      <c r="M76" s="1133"/>
      <c r="N76" s="1734">
        <f t="shared" si="14"/>
        <v>10366777</v>
      </c>
      <c r="O76" s="1133"/>
      <c r="P76" s="1133"/>
      <c r="Q76" s="1133"/>
      <c r="R76" s="1550"/>
      <c r="S76" s="1734">
        <f t="shared" si="3"/>
        <v>0</v>
      </c>
      <c r="T76" s="1732">
        <f t="shared" si="4"/>
        <v>10366777</v>
      </c>
      <c r="U76" s="1125">
        <v>10366777</v>
      </c>
      <c r="V76" s="1125">
        <v>10366777</v>
      </c>
      <c r="W76" s="1125">
        <v>10366777</v>
      </c>
      <c r="X76" s="1125">
        <f t="shared" si="5"/>
        <v>0</v>
      </c>
      <c r="Y76" s="1125"/>
      <c r="Z76" s="1125"/>
      <c r="AA76" s="1125"/>
      <c r="AB76" s="1125"/>
      <c r="AC76" s="1125"/>
      <c r="AD76" s="1125"/>
      <c r="AE76" s="1125"/>
      <c r="AF76" s="1125"/>
      <c r="AG76" s="1125"/>
      <c r="AH76" s="1125" t="s">
        <v>51</v>
      </c>
      <c r="AI76" s="1125" t="s">
        <v>1301</v>
      </c>
    </row>
    <row r="77" spans="1:35" s="1158" customFormat="1" ht="15">
      <c r="A77" s="294"/>
      <c r="B77" s="294"/>
      <c r="C77" s="1733" t="s">
        <v>481</v>
      </c>
      <c r="D77" s="1165" t="s">
        <v>381</v>
      </c>
      <c r="E77" s="1165" t="s">
        <v>480</v>
      </c>
      <c r="F77" s="1165" t="s">
        <v>521</v>
      </c>
      <c r="G77" s="1165"/>
      <c r="H77" s="1165"/>
      <c r="I77" s="1133"/>
      <c r="J77" s="1133">
        <v>10346220</v>
      </c>
      <c r="K77" s="1133"/>
      <c r="L77" s="1133"/>
      <c r="M77" s="1133"/>
      <c r="N77" s="1734">
        <f t="shared" si="14"/>
        <v>10346220</v>
      </c>
      <c r="O77" s="1133"/>
      <c r="P77" s="1133"/>
      <c r="Q77" s="1133"/>
      <c r="R77" s="1550"/>
      <c r="S77" s="1734">
        <f t="shared" si="3"/>
        <v>0</v>
      </c>
      <c r="T77" s="1732">
        <f t="shared" si="4"/>
        <v>10346220</v>
      </c>
      <c r="U77" s="1125">
        <v>10346220</v>
      </c>
      <c r="V77" s="1125">
        <v>10346220</v>
      </c>
      <c r="W77" s="1125">
        <v>10346220</v>
      </c>
      <c r="X77" s="1125">
        <f t="shared" si="5"/>
        <v>0</v>
      </c>
      <c r="Y77" s="1125"/>
      <c r="Z77" s="1125"/>
      <c r="AA77" s="1125"/>
      <c r="AB77" s="1125"/>
      <c r="AC77" s="1125"/>
      <c r="AD77" s="1125"/>
      <c r="AE77" s="1125"/>
      <c r="AF77" s="1125"/>
      <c r="AG77" s="1125"/>
      <c r="AH77" s="1125" t="s">
        <v>51</v>
      </c>
      <c r="AI77" s="1125" t="s">
        <v>1301</v>
      </c>
    </row>
    <row r="78" spans="1:35" s="1158" customFormat="1" ht="15">
      <c r="A78" s="294"/>
      <c r="B78" s="294"/>
      <c r="C78" s="1733" t="s">
        <v>482</v>
      </c>
      <c r="D78" s="1165" t="s">
        <v>381</v>
      </c>
      <c r="E78" s="1165" t="s">
        <v>480</v>
      </c>
      <c r="F78" s="1165" t="s">
        <v>521</v>
      </c>
      <c r="G78" s="1165"/>
      <c r="H78" s="1165"/>
      <c r="I78" s="1133"/>
      <c r="J78" s="1133">
        <v>12499800</v>
      </c>
      <c r="K78" s="1133"/>
      <c r="L78" s="1133"/>
      <c r="M78" s="1133"/>
      <c r="N78" s="1734">
        <f t="shared" ref="N78:N84" si="15">+SUM(I78:M78)</f>
        <v>12499800</v>
      </c>
      <c r="O78" s="1133"/>
      <c r="P78" s="1133"/>
      <c r="Q78" s="1133"/>
      <c r="R78" s="1550"/>
      <c r="S78" s="1734">
        <f t="shared" si="3"/>
        <v>0</v>
      </c>
      <c r="T78" s="1732">
        <f t="shared" si="4"/>
        <v>12499800</v>
      </c>
      <c r="U78" s="1125">
        <v>12499800</v>
      </c>
      <c r="V78" s="1125">
        <v>12499800</v>
      </c>
      <c r="W78" s="1125">
        <v>12499800</v>
      </c>
      <c r="X78" s="1125">
        <f t="shared" si="5"/>
        <v>0</v>
      </c>
      <c r="Y78" s="1125"/>
      <c r="Z78" s="1125"/>
      <c r="AA78" s="1125"/>
      <c r="AB78" s="1125"/>
      <c r="AC78" s="1125"/>
      <c r="AD78" s="1125"/>
      <c r="AE78" s="1125"/>
      <c r="AF78" s="1125"/>
      <c r="AG78" s="1125"/>
      <c r="AH78" s="1125" t="s">
        <v>51</v>
      </c>
      <c r="AI78" s="1125" t="s">
        <v>1301</v>
      </c>
    </row>
    <row r="79" spans="1:35" s="1158" customFormat="1" ht="15">
      <c r="A79" s="294"/>
      <c r="B79" s="294"/>
      <c r="C79" s="1733" t="s">
        <v>483</v>
      </c>
      <c r="D79" s="1165" t="s">
        <v>381</v>
      </c>
      <c r="E79" s="1165" t="s">
        <v>480</v>
      </c>
      <c r="F79" s="1165" t="s">
        <v>521</v>
      </c>
      <c r="G79" s="1165"/>
      <c r="H79" s="1165"/>
      <c r="I79" s="1133"/>
      <c r="J79" s="1133">
        <v>12503539</v>
      </c>
      <c r="K79" s="1133"/>
      <c r="L79" s="1133"/>
      <c r="M79" s="1133"/>
      <c r="N79" s="1734">
        <f t="shared" si="15"/>
        <v>12503539</v>
      </c>
      <c r="O79" s="1133"/>
      <c r="P79" s="1133"/>
      <c r="Q79" s="1133"/>
      <c r="R79" s="1550"/>
      <c r="S79" s="1734">
        <f t="shared" ref="S79:S84" si="16">+SUM(O79:R79)</f>
        <v>0</v>
      </c>
      <c r="T79" s="1732">
        <f t="shared" ref="T79:T84" si="17">+S79+N79</f>
        <v>12503539</v>
      </c>
      <c r="U79" s="1125">
        <v>12503539</v>
      </c>
      <c r="V79" s="1125">
        <v>12503539</v>
      </c>
      <c r="W79" s="1125">
        <v>12503539</v>
      </c>
      <c r="X79" s="1125">
        <f t="shared" ref="X79:X84" si="18">+U79-W79</f>
        <v>0</v>
      </c>
      <c r="Y79" s="1125"/>
      <c r="Z79" s="1125"/>
      <c r="AA79" s="1125"/>
      <c r="AB79" s="1125"/>
      <c r="AC79" s="1125"/>
      <c r="AD79" s="1125"/>
      <c r="AE79" s="1125"/>
      <c r="AF79" s="1125"/>
      <c r="AG79" s="1125"/>
      <c r="AH79" s="1125" t="s">
        <v>51</v>
      </c>
      <c r="AI79" s="1125" t="s">
        <v>1301</v>
      </c>
    </row>
    <row r="80" spans="1:35" s="1158" customFormat="1" ht="15">
      <c r="A80" s="294"/>
      <c r="B80" s="294"/>
      <c r="C80" s="1733" t="s">
        <v>484</v>
      </c>
      <c r="D80" s="1165" t="s">
        <v>381</v>
      </c>
      <c r="E80" s="1165" t="s">
        <v>480</v>
      </c>
      <c r="F80" s="1165" t="s">
        <v>521</v>
      </c>
      <c r="G80" s="1165"/>
      <c r="H80" s="1165"/>
      <c r="I80" s="1133"/>
      <c r="J80" s="1133">
        <v>10738834.199999999</v>
      </c>
      <c r="K80" s="1133"/>
      <c r="L80" s="1133"/>
      <c r="M80" s="1133"/>
      <c r="N80" s="1734">
        <f t="shared" si="15"/>
        <v>10738834.199999999</v>
      </c>
      <c r="O80" s="1133"/>
      <c r="P80" s="1133"/>
      <c r="Q80" s="1133"/>
      <c r="R80" s="1550"/>
      <c r="S80" s="1734">
        <f t="shared" si="16"/>
        <v>0</v>
      </c>
      <c r="T80" s="1732">
        <f t="shared" si="17"/>
        <v>10738834.199999999</v>
      </c>
      <c r="U80" s="1125">
        <v>10738834.199999999</v>
      </c>
      <c r="V80" s="1125">
        <v>10738834.199999999</v>
      </c>
      <c r="W80" s="1125">
        <v>10738834.199999999</v>
      </c>
      <c r="X80" s="1125">
        <f t="shared" si="18"/>
        <v>0</v>
      </c>
      <c r="Y80" s="1125"/>
      <c r="Z80" s="1125"/>
      <c r="AA80" s="1125"/>
      <c r="AB80" s="1125"/>
      <c r="AC80" s="1125"/>
      <c r="AD80" s="1125"/>
      <c r="AE80" s="1125"/>
      <c r="AF80" s="1125"/>
      <c r="AG80" s="1125"/>
      <c r="AH80" s="1125" t="s">
        <v>51</v>
      </c>
      <c r="AI80" s="1125" t="s">
        <v>1301</v>
      </c>
    </row>
    <row r="81" spans="1:35" s="1158" customFormat="1" ht="15">
      <c r="A81" s="294"/>
      <c r="B81" s="294"/>
      <c r="C81" s="1733" t="s">
        <v>485</v>
      </c>
      <c r="D81" s="1165" t="s">
        <v>381</v>
      </c>
      <c r="E81" s="1165" t="s">
        <v>480</v>
      </c>
      <c r="F81" s="1165" t="s">
        <v>521</v>
      </c>
      <c r="G81" s="1165"/>
      <c r="H81" s="1165"/>
      <c r="I81" s="1133"/>
      <c r="J81" s="1133">
        <v>10738834.199999999</v>
      </c>
      <c r="K81" s="1133"/>
      <c r="L81" s="1133"/>
      <c r="M81" s="1133"/>
      <c r="N81" s="1734">
        <f t="shared" si="15"/>
        <v>10738834.199999999</v>
      </c>
      <c r="O81" s="1133"/>
      <c r="P81" s="1133"/>
      <c r="Q81" s="1133"/>
      <c r="R81" s="1550"/>
      <c r="S81" s="1734">
        <f t="shared" si="16"/>
        <v>0</v>
      </c>
      <c r="T81" s="1732">
        <f t="shared" si="17"/>
        <v>10738834.199999999</v>
      </c>
      <c r="U81" s="1125">
        <v>10738834.199999999</v>
      </c>
      <c r="V81" s="1125">
        <v>10738834.199999999</v>
      </c>
      <c r="W81" s="1125">
        <v>10738834.199999999</v>
      </c>
      <c r="X81" s="1125">
        <f t="shared" si="18"/>
        <v>0</v>
      </c>
      <c r="Y81" s="1125"/>
      <c r="Z81" s="1125"/>
      <c r="AA81" s="1125"/>
      <c r="AB81" s="1125"/>
      <c r="AC81" s="1125"/>
      <c r="AD81" s="1125"/>
      <c r="AE81" s="1125"/>
      <c r="AF81" s="1125"/>
      <c r="AG81" s="1125"/>
      <c r="AH81" s="1125" t="s">
        <v>51</v>
      </c>
      <c r="AI81" s="1125" t="s">
        <v>1301</v>
      </c>
    </row>
    <row r="82" spans="1:35" s="1158" customFormat="1" ht="15">
      <c r="A82" s="294"/>
      <c r="B82" s="294"/>
      <c r="C82" s="1733" t="s">
        <v>486</v>
      </c>
      <c r="D82" s="1165" t="s">
        <v>381</v>
      </c>
      <c r="E82" s="1165" t="s">
        <v>480</v>
      </c>
      <c r="F82" s="1165" t="s">
        <v>521</v>
      </c>
      <c r="G82" s="1165"/>
      <c r="H82" s="1165"/>
      <c r="I82" s="1133"/>
      <c r="J82" s="1133">
        <v>13125241.800000001</v>
      </c>
      <c r="K82" s="1133"/>
      <c r="L82" s="1133"/>
      <c r="M82" s="1133"/>
      <c r="N82" s="1734">
        <f t="shared" si="15"/>
        <v>13125241.800000001</v>
      </c>
      <c r="O82" s="1133"/>
      <c r="P82" s="1133"/>
      <c r="Q82" s="1133"/>
      <c r="R82" s="1550"/>
      <c r="S82" s="1734">
        <f t="shared" si="16"/>
        <v>0</v>
      </c>
      <c r="T82" s="1732">
        <f t="shared" si="17"/>
        <v>13125241.800000001</v>
      </c>
      <c r="U82" s="1125">
        <v>13125241.800000001</v>
      </c>
      <c r="V82" s="1125">
        <v>13125241.800000001</v>
      </c>
      <c r="W82" s="1125">
        <v>13125241.800000001</v>
      </c>
      <c r="X82" s="1125">
        <f t="shared" si="18"/>
        <v>0</v>
      </c>
      <c r="Y82" s="1125"/>
      <c r="Z82" s="1125"/>
      <c r="AA82" s="1125"/>
      <c r="AB82" s="1125"/>
      <c r="AC82" s="1125"/>
      <c r="AD82" s="1125"/>
      <c r="AE82" s="1125"/>
      <c r="AF82" s="1125"/>
      <c r="AG82" s="1125"/>
      <c r="AH82" s="1125" t="s">
        <v>51</v>
      </c>
      <c r="AI82" s="1125" t="s">
        <v>1301</v>
      </c>
    </row>
    <row r="83" spans="1:35" s="1158" customFormat="1" ht="15">
      <c r="A83" s="294"/>
      <c r="B83" s="294"/>
      <c r="C83" s="1733" t="s">
        <v>487</v>
      </c>
      <c r="D83" s="1165" t="s">
        <v>381</v>
      </c>
      <c r="E83" s="1165" t="s">
        <v>480</v>
      </c>
      <c r="F83" s="1165" t="s">
        <v>521</v>
      </c>
      <c r="G83" s="1165"/>
      <c r="H83" s="1165"/>
      <c r="I83" s="1133"/>
      <c r="J83" s="1133">
        <v>13125241.800000001</v>
      </c>
      <c r="K83" s="1133"/>
      <c r="L83" s="1133"/>
      <c r="M83" s="1133"/>
      <c r="N83" s="1734">
        <f t="shared" si="15"/>
        <v>13125241.800000001</v>
      </c>
      <c r="O83" s="1133"/>
      <c r="P83" s="1133"/>
      <c r="Q83" s="1133"/>
      <c r="R83" s="1550"/>
      <c r="S83" s="1734">
        <f t="shared" si="16"/>
        <v>0</v>
      </c>
      <c r="T83" s="1732">
        <f t="shared" si="17"/>
        <v>13125241.800000001</v>
      </c>
      <c r="U83" s="1125">
        <v>13125241.800000001</v>
      </c>
      <c r="V83" s="1125">
        <v>13125241.800000001</v>
      </c>
      <c r="W83" s="1125">
        <v>13125241.800000001</v>
      </c>
      <c r="X83" s="1125">
        <f t="shared" si="18"/>
        <v>0</v>
      </c>
      <c r="Y83" s="1125"/>
      <c r="Z83" s="1125"/>
      <c r="AA83" s="1125"/>
      <c r="AB83" s="1125"/>
      <c r="AC83" s="1125"/>
      <c r="AD83" s="1125"/>
      <c r="AE83" s="1125"/>
      <c r="AF83" s="1125"/>
      <c r="AG83" s="1125"/>
      <c r="AH83" s="1125" t="s">
        <v>51</v>
      </c>
      <c r="AI83" s="1125" t="s">
        <v>1301</v>
      </c>
    </row>
    <row r="84" spans="1:35" s="1169" customFormat="1" ht="15.75" thickBot="1">
      <c r="A84" s="294"/>
      <c r="B84" s="294"/>
      <c r="C84" s="1831" t="s">
        <v>932</v>
      </c>
      <c r="D84" s="1338" t="s">
        <v>381</v>
      </c>
      <c r="E84" s="1338">
        <v>68030</v>
      </c>
      <c r="F84" s="1338"/>
      <c r="G84" s="1338"/>
      <c r="H84" s="1338"/>
      <c r="I84" s="1339"/>
      <c r="J84" s="1339">
        <v>53941</v>
      </c>
      <c r="K84" s="1339"/>
      <c r="L84" s="1339"/>
      <c r="M84" s="1339"/>
      <c r="N84" s="1832">
        <f t="shared" si="15"/>
        <v>53941</v>
      </c>
      <c r="O84" s="1339"/>
      <c r="P84" s="1339"/>
      <c r="Q84" s="1339"/>
      <c r="R84" s="1833">
        <v>6984427</v>
      </c>
      <c r="S84" s="1832">
        <f t="shared" si="16"/>
        <v>6984427</v>
      </c>
      <c r="T84" s="1834">
        <f t="shared" si="17"/>
        <v>7038368</v>
      </c>
      <c r="U84" s="1174">
        <v>7038368</v>
      </c>
      <c r="V84" s="1174"/>
      <c r="W84" s="1174"/>
      <c r="X84" s="1174">
        <f t="shared" si="18"/>
        <v>7038368</v>
      </c>
      <c r="Y84" s="1174"/>
      <c r="Z84" s="1174">
        <v>53941</v>
      </c>
      <c r="AA84" s="1174"/>
      <c r="AB84" s="1174"/>
      <c r="AC84" s="1174"/>
      <c r="AD84" s="1174"/>
      <c r="AE84" s="1174"/>
      <c r="AF84" s="1174"/>
      <c r="AG84" s="1174">
        <v>6984427</v>
      </c>
      <c r="AH84" s="1174" t="s">
        <v>51</v>
      </c>
      <c r="AI84" s="1174" t="s">
        <v>1301</v>
      </c>
    </row>
    <row r="85" spans="1:35" s="150" customFormat="1" ht="45.75" customHeight="1" thickBot="1">
      <c r="A85" s="1861">
        <v>232</v>
      </c>
      <c r="B85" s="1862"/>
      <c r="C85" s="166" t="s">
        <v>1442</v>
      </c>
      <c r="D85" s="842"/>
      <c r="E85" s="843"/>
      <c r="F85" s="844" t="s">
        <v>1098</v>
      </c>
      <c r="G85" s="844">
        <v>100</v>
      </c>
      <c r="H85" s="844"/>
      <c r="I85" s="824">
        <f t="shared" ref="I85:S85" si="19">+I86</f>
        <v>857089371.56799984</v>
      </c>
      <c r="J85" s="824">
        <f t="shared" si="19"/>
        <v>1087110406.1999998</v>
      </c>
      <c r="K85" s="824">
        <f t="shared" si="19"/>
        <v>14685561.303599982</v>
      </c>
      <c r="L85" s="824">
        <f t="shared" si="19"/>
        <v>694753020</v>
      </c>
      <c r="M85" s="824">
        <f t="shared" si="19"/>
        <v>119912630.13599999</v>
      </c>
      <c r="N85" s="824">
        <f t="shared" si="19"/>
        <v>2773550989.2075996</v>
      </c>
      <c r="O85" s="824">
        <f t="shared" si="19"/>
        <v>100000000</v>
      </c>
      <c r="P85" s="824">
        <f t="shared" si="19"/>
        <v>254943496.0484001</v>
      </c>
      <c r="Q85" s="824">
        <f t="shared" si="19"/>
        <v>42931079.040000007</v>
      </c>
      <c r="R85" s="824">
        <f t="shared" si="19"/>
        <v>0</v>
      </c>
      <c r="S85" s="824">
        <f t="shared" si="19"/>
        <v>397874575.08840013</v>
      </c>
      <c r="T85" s="825">
        <f>+T86</f>
        <v>3171425564.2959995</v>
      </c>
      <c r="U85" s="1025"/>
      <c r="V85" s="1025"/>
      <c r="W85" s="1025"/>
      <c r="X85" s="1025"/>
      <c r="Y85" s="1025"/>
      <c r="Z85" s="1025"/>
      <c r="AA85" s="1025"/>
      <c r="AB85" s="1025"/>
      <c r="AC85" s="1025"/>
      <c r="AD85" s="1025"/>
      <c r="AE85" s="1025"/>
      <c r="AF85" s="1025"/>
      <c r="AG85" s="1025"/>
      <c r="AH85" s="1025"/>
      <c r="AI85" s="1025"/>
    </row>
    <row r="86" spans="1:35" s="150" customFormat="1" ht="38.25">
      <c r="A86" s="1861"/>
      <c r="B86" s="1862" t="s">
        <v>1511</v>
      </c>
      <c r="C86" s="196" t="s">
        <v>1022</v>
      </c>
      <c r="D86" s="194"/>
      <c r="E86" s="197"/>
      <c r="F86" s="197" t="s">
        <v>1098</v>
      </c>
      <c r="G86" s="197">
        <v>100</v>
      </c>
      <c r="H86" s="197"/>
      <c r="I86" s="837">
        <f>SUM(I87:I165)</f>
        <v>857089371.56799984</v>
      </c>
      <c r="J86" s="837">
        <f t="shared" ref="J86:T86" si="20">SUM(J87:J165)</f>
        <v>1087110406.1999998</v>
      </c>
      <c r="K86" s="837">
        <f t="shared" si="20"/>
        <v>14685561.303599982</v>
      </c>
      <c r="L86" s="837">
        <f t="shared" si="20"/>
        <v>694753020</v>
      </c>
      <c r="M86" s="837">
        <f t="shared" si="20"/>
        <v>119912630.13599999</v>
      </c>
      <c r="N86" s="837">
        <f t="shared" si="20"/>
        <v>2773550989.2075996</v>
      </c>
      <c r="O86" s="837">
        <f t="shared" si="20"/>
        <v>100000000</v>
      </c>
      <c r="P86" s="837">
        <f t="shared" si="20"/>
        <v>254943496.0484001</v>
      </c>
      <c r="Q86" s="837">
        <f t="shared" si="20"/>
        <v>42931079.040000007</v>
      </c>
      <c r="R86" s="837">
        <f t="shared" si="20"/>
        <v>0</v>
      </c>
      <c r="S86" s="837">
        <f t="shared" si="20"/>
        <v>397874575.08840013</v>
      </c>
      <c r="T86" s="837">
        <f t="shared" si="20"/>
        <v>3171425564.2959995</v>
      </c>
      <c r="U86" s="1025"/>
      <c r="V86" s="1025"/>
      <c r="W86" s="1025"/>
      <c r="X86" s="1025"/>
      <c r="Y86" s="1025"/>
      <c r="Z86" s="1025"/>
      <c r="AA86" s="1025"/>
      <c r="AB86" s="1025"/>
      <c r="AC86" s="1025"/>
      <c r="AD86" s="1025"/>
      <c r="AE86" s="1025"/>
      <c r="AF86" s="1025"/>
      <c r="AG86" s="1025"/>
      <c r="AH86" s="1025"/>
      <c r="AI86" s="1025"/>
    </row>
    <row r="87" spans="1:35" s="150" customFormat="1" ht="15">
      <c r="A87" s="294"/>
      <c r="B87" s="294"/>
      <c r="C87" s="5" t="s">
        <v>470</v>
      </c>
      <c r="D87" s="379"/>
      <c r="E87" s="379"/>
      <c r="F87" s="379"/>
      <c r="G87" s="379"/>
      <c r="H87" s="379"/>
      <c r="I87" s="213"/>
      <c r="J87" s="213"/>
      <c r="K87" s="213"/>
      <c r="L87" s="213"/>
      <c r="M87" s="421"/>
      <c r="N87" s="421">
        <f t="shared" ref="N87:N120" si="21">+SUM(I87:M87)</f>
        <v>0</v>
      </c>
      <c r="O87" s="213"/>
      <c r="P87" s="213"/>
      <c r="Q87" s="213"/>
      <c r="R87" s="213"/>
      <c r="S87" s="421">
        <f t="shared" ref="S87:S153" si="22">+SUM(O87:R87)</f>
        <v>0</v>
      </c>
      <c r="T87" s="488">
        <f t="shared" ref="T87:T153" si="23">+S87+N87</f>
        <v>0</v>
      </c>
      <c r="U87" s="1025">
        <v>0</v>
      </c>
      <c r="V87" s="1025">
        <v>0</v>
      </c>
      <c r="W87" s="1025">
        <v>0</v>
      </c>
      <c r="X87" s="1025">
        <f t="shared" ref="X87:X104" si="24">+U87-W87</f>
        <v>0</v>
      </c>
      <c r="Y87" s="1025"/>
      <c r="Z87" s="1025"/>
      <c r="AA87" s="1025"/>
      <c r="AB87" s="1025"/>
      <c r="AC87" s="1025"/>
      <c r="AD87" s="1025"/>
      <c r="AE87" s="1025"/>
      <c r="AF87" s="1025"/>
      <c r="AG87" s="1025"/>
      <c r="AH87" s="1025" t="s">
        <v>49</v>
      </c>
      <c r="AI87" s="1025" t="s">
        <v>1299</v>
      </c>
    </row>
    <row r="88" spans="1:35" s="1080" customFormat="1" ht="15">
      <c r="A88" s="294"/>
      <c r="B88" s="294"/>
      <c r="C88" s="1094" t="s">
        <v>634</v>
      </c>
      <c r="D88" s="1095" t="s">
        <v>211</v>
      </c>
      <c r="E88" s="1095" t="s">
        <v>466</v>
      </c>
      <c r="F88" s="1095" t="s">
        <v>521</v>
      </c>
      <c r="G88" s="1095"/>
      <c r="H88" s="1095"/>
      <c r="I88" s="1139"/>
      <c r="J88" s="1139"/>
      <c r="K88" s="1139"/>
      <c r="L88" s="1139"/>
      <c r="M88" s="1139">
        <v>8605904.472000001</v>
      </c>
      <c r="N88" s="1183">
        <f t="shared" si="21"/>
        <v>8605904.472000001</v>
      </c>
      <c r="O88" s="1139"/>
      <c r="P88" s="1139"/>
      <c r="Q88" s="1139"/>
      <c r="R88" s="1139"/>
      <c r="S88" s="1183">
        <f t="shared" si="22"/>
        <v>0</v>
      </c>
      <c r="T88" s="1727">
        <f t="shared" si="23"/>
        <v>8605904.472000001</v>
      </c>
      <c r="U88" s="1083">
        <v>8605904.472000001</v>
      </c>
      <c r="V88" s="1083">
        <v>8605904.472000001</v>
      </c>
      <c r="W88" s="1083">
        <v>8605904.472000001</v>
      </c>
      <c r="X88" s="1083">
        <f t="shared" si="24"/>
        <v>0</v>
      </c>
      <c r="Y88" s="1083"/>
      <c r="Z88" s="1083"/>
      <c r="AA88" s="1083"/>
      <c r="AB88" s="1083"/>
      <c r="AC88" s="1083"/>
      <c r="AD88" s="1083"/>
      <c r="AE88" s="1083"/>
      <c r="AF88" s="1083"/>
      <c r="AG88" s="1083"/>
      <c r="AH88" s="1083" t="s">
        <v>49</v>
      </c>
      <c r="AI88" s="1083" t="s">
        <v>1299</v>
      </c>
    </row>
    <row r="89" spans="1:35" s="1080" customFormat="1" ht="15">
      <c r="A89" s="294"/>
      <c r="B89" s="294"/>
      <c r="C89" s="1094" t="s">
        <v>893</v>
      </c>
      <c r="D89" s="1095" t="s">
        <v>211</v>
      </c>
      <c r="E89" s="1095" t="s">
        <v>466</v>
      </c>
      <c r="F89" s="1095" t="s">
        <v>521</v>
      </c>
      <c r="G89" s="1095"/>
      <c r="H89" s="1095"/>
      <c r="I89" s="1139"/>
      <c r="J89" s="1139"/>
      <c r="K89" s="1139"/>
      <c r="L89" s="1139"/>
      <c r="M89" s="1139">
        <v>5085453.3439999986</v>
      </c>
      <c r="N89" s="1183">
        <f t="shared" si="21"/>
        <v>5085453.3439999986</v>
      </c>
      <c r="O89" s="1139"/>
      <c r="P89" s="1139"/>
      <c r="Q89" s="1139"/>
      <c r="R89" s="1139"/>
      <c r="S89" s="1183">
        <f t="shared" si="22"/>
        <v>0</v>
      </c>
      <c r="T89" s="1727">
        <f t="shared" si="23"/>
        <v>5085453.3439999986</v>
      </c>
      <c r="U89" s="1083">
        <v>5085453.3439999986</v>
      </c>
      <c r="V89" s="1083">
        <v>5085453.3439999986</v>
      </c>
      <c r="W89" s="1083">
        <v>5085453.3439999986</v>
      </c>
      <c r="X89" s="1083">
        <f t="shared" si="24"/>
        <v>0</v>
      </c>
      <c r="Y89" s="1083"/>
      <c r="Z89" s="1083"/>
      <c r="AA89" s="1083"/>
      <c r="AB89" s="1083"/>
      <c r="AC89" s="1083"/>
      <c r="AD89" s="1083"/>
      <c r="AE89" s="1083"/>
      <c r="AF89" s="1083"/>
      <c r="AG89" s="1083"/>
      <c r="AH89" s="1083" t="s">
        <v>49</v>
      </c>
      <c r="AI89" s="1083" t="s">
        <v>1299</v>
      </c>
    </row>
    <row r="90" spans="1:35" s="150" customFormat="1" ht="20.100000000000001" customHeight="1">
      <c r="A90" s="294"/>
      <c r="B90" s="294"/>
      <c r="C90" s="5" t="s">
        <v>638</v>
      </c>
      <c r="D90" s="379" t="s">
        <v>211</v>
      </c>
      <c r="E90" s="379" t="s">
        <v>466</v>
      </c>
      <c r="F90" s="379"/>
      <c r="G90" s="379"/>
      <c r="H90" s="379"/>
      <c r="I90" s="213"/>
      <c r="J90" s="213"/>
      <c r="K90" s="213"/>
      <c r="L90" s="213"/>
      <c r="M90" s="213"/>
      <c r="N90" s="421">
        <f t="shared" si="21"/>
        <v>0</v>
      </c>
      <c r="O90" s="213"/>
      <c r="P90" s="213">
        <f>10240800</f>
        <v>10240800</v>
      </c>
      <c r="Q90" s="213"/>
      <c r="R90" s="213"/>
      <c r="S90" s="421">
        <f t="shared" si="22"/>
        <v>10240800</v>
      </c>
      <c r="T90" s="488">
        <f t="shared" si="23"/>
        <v>10240800</v>
      </c>
      <c r="U90" s="1025">
        <v>10240800</v>
      </c>
      <c r="V90" s="1025"/>
      <c r="W90" s="1025"/>
      <c r="X90" s="1025">
        <f t="shared" si="24"/>
        <v>10240800</v>
      </c>
      <c r="Y90" s="1025"/>
      <c r="Z90" s="1025"/>
      <c r="AA90" s="1025"/>
      <c r="AB90" s="1025"/>
      <c r="AC90" s="1025"/>
      <c r="AD90" s="1025"/>
      <c r="AE90" s="1025">
        <v>10240800</v>
      </c>
      <c r="AF90" s="1025"/>
      <c r="AG90" s="1025"/>
      <c r="AH90" s="1025" t="s">
        <v>49</v>
      </c>
      <c r="AI90" s="1025" t="s">
        <v>1299</v>
      </c>
    </row>
    <row r="91" spans="1:35" s="1080" customFormat="1" ht="15">
      <c r="A91" s="294"/>
      <c r="B91" s="294"/>
      <c r="C91" s="1730" t="s">
        <v>635</v>
      </c>
      <c r="D91" s="1095" t="s">
        <v>471</v>
      </c>
      <c r="E91" s="1095" t="s">
        <v>466</v>
      </c>
      <c r="F91" s="1095" t="s">
        <v>521</v>
      </c>
      <c r="G91" s="1095"/>
      <c r="H91" s="1095"/>
      <c r="I91" s="1139"/>
      <c r="J91" s="1139"/>
      <c r="K91" s="1139"/>
      <c r="L91" s="1139"/>
      <c r="M91" s="1139">
        <f>18479890.636-65.8360000066459</f>
        <v>18479824.799999993</v>
      </c>
      <c r="N91" s="1183">
        <f t="shared" si="21"/>
        <v>18479824.799999993</v>
      </c>
      <c r="O91" s="1139"/>
      <c r="P91" s="1139"/>
      <c r="Q91" s="1139"/>
      <c r="R91" s="1139"/>
      <c r="S91" s="1183">
        <f t="shared" si="22"/>
        <v>0</v>
      </c>
      <c r="T91" s="1727">
        <f t="shared" si="23"/>
        <v>18479824.799999993</v>
      </c>
      <c r="U91" s="1083">
        <v>18479824.799999993</v>
      </c>
      <c r="V91" s="1083">
        <v>18479824.799999993</v>
      </c>
      <c r="W91" s="1083">
        <v>18479824.799999993</v>
      </c>
      <c r="X91" s="1083">
        <f t="shared" si="24"/>
        <v>0</v>
      </c>
      <c r="Y91" s="1083"/>
      <c r="Z91" s="1083"/>
      <c r="AA91" s="1083"/>
      <c r="AB91" s="1083"/>
      <c r="AC91" s="1083"/>
      <c r="AD91" s="1083"/>
      <c r="AE91" s="1083"/>
      <c r="AF91" s="1083"/>
      <c r="AG91" s="1083"/>
      <c r="AH91" s="1083" t="s">
        <v>49</v>
      </c>
      <c r="AI91" s="1083" t="s">
        <v>1299</v>
      </c>
    </row>
    <row r="92" spans="1:35" s="1080" customFormat="1" ht="15">
      <c r="A92" s="294"/>
      <c r="B92" s="294"/>
      <c r="C92" s="1094" t="s">
        <v>636</v>
      </c>
      <c r="D92" s="1095" t="s">
        <v>211</v>
      </c>
      <c r="E92" s="1095" t="s">
        <v>466</v>
      </c>
      <c r="F92" s="1095" t="s">
        <v>521</v>
      </c>
      <c r="G92" s="1095"/>
      <c r="H92" s="1095"/>
      <c r="I92" s="1139"/>
      <c r="J92" s="1139"/>
      <c r="K92" s="1139"/>
      <c r="L92" s="1139"/>
      <c r="M92" s="1139">
        <v>6806405.1519999998</v>
      </c>
      <c r="N92" s="1183">
        <f t="shared" si="21"/>
        <v>6806405.1519999998</v>
      </c>
      <c r="O92" s="1139"/>
      <c r="P92" s="1139"/>
      <c r="Q92" s="1139"/>
      <c r="R92" s="1139"/>
      <c r="S92" s="1183">
        <f t="shared" si="22"/>
        <v>0</v>
      </c>
      <c r="T92" s="1727">
        <f t="shared" si="23"/>
        <v>6806405.1519999998</v>
      </c>
      <c r="U92" s="1083">
        <v>6806405.1519999998</v>
      </c>
      <c r="V92" s="1083">
        <v>6806405.1519999998</v>
      </c>
      <c r="W92" s="1083">
        <v>6806405.1519999998</v>
      </c>
      <c r="X92" s="1083">
        <f t="shared" si="24"/>
        <v>0</v>
      </c>
      <c r="Y92" s="1083"/>
      <c r="Z92" s="1083"/>
      <c r="AA92" s="1083"/>
      <c r="AB92" s="1083"/>
      <c r="AC92" s="1083"/>
      <c r="AD92" s="1083"/>
      <c r="AE92" s="1083"/>
      <c r="AF92" s="1083"/>
      <c r="AG92" s="1083"/>
      <c r="AH92" s="1083" t="s">
        <v>49</v>
      </c>
      <c r="AI92" s="1083" t="s">
        <v>1299</v>
      </c>
    </row>
    <row r="93" spans="1:35" s="1080" customFormat="1" ht="15">
      <c r="A93" s="294"/>
      <c r="B93" s="294"/>
      <c r="C93" s="1094" t="s">
        <v>636</v>
      </c>
      <c r="D93" s="1095" t="s">
        <v>211</v>
      </c>
      <c r="E93" s="1095" t="s">
        <v>466</v>
      </c>
      <c r="F93" s="1095" t="s">
        <v>521</v>
      </c>
      <c r="G93" s="1095"/>
      <c r="H93" s="1095"/>
      <c r="I93" s="1139"/>
      <c r="J93" s="1139"/>
      <c r="K93" s="1139"/>
      <c r="L93" s="1139"/>
      <c r="M93" s="1139">
        <v>6806405.1519999998</v>
      </c>
      <c r="N93" s="1183">
        <f t="shared" si="21"/>
        <v>6806405.1519999998</v>
      </c>
      <c r="O93" s="1139"/>
      <c r="P93" s="1139"/>
      <c r="Q93" s="1139"/>
      <c r="R93" s="1139"/>
      <c r="S93" s="1183">
        <f t="shared" si="22"/>
        <v>0</v>
      </c>
      <c r="T93" s="1727">
        <f t="shared" si="23"/>
        <v>6806405.1519999998</v>
      </c>
      <c r="U93" s="1083">
        <v>6806405.1519999998</v>
      </c>
      <c r="V93" s="1083">
        <v>6806405.1519999998</v>
      </c>
      <c r="W93" s="1083">
        <v>6806405.1519999998</v>
      </c>
      <c r="X93" s="1083">
        <f t="shared" si="24"/>
        <v>0</v>
      </c>
      <c r="Y93" s="1083"/>
      <c r="Z93" s="1083"/>
      <c r="AA93" s="1083"/>
      <c r="AB93" s="1083"/>
      <c r="AC93" s="1083"/>
      <c r="AD93" s="1083"/>
      <c r="AE93" s="1083"/>
      <c r="AF93" s="1083"/>
      <c r="AG93" s="1083"/>
      <c r="AH93" s="1083" t="s">
        <v>49</v>
      </c>
      <c r="AI93" s="1083" t="s">
        <v>1299</v>
      </c>
    </row>
    <row r="94" spans="1:35" s="150" customFormat="1" ht="20.100000000000001" customHeight="1">
      <c r="A94" s="294"/>
      <c r="B94" s="294"/>
      <c r="C94" s="387" t="s">
        <v>634</v>
      </c>
      <c r="D94" s="379" t="s">
        <v>211</v>
      </c>
      <c r="E94" s="379" t="s">
        <v>466</v>
      </c>
      <c r="F94" s="379"/>
      <c r="G94" s="379"/>
      <c r="H94" s="379"/>
      <c r="I94" s="213"/>
      <c r="J94" s="213"/>
      <c r="K94" s="213"/>
      <c r="L94" s="213"/>
      <c r="M94" s="213"/>
      <c r="N94" s="421">
        <f t="shared" si="21"/>
        <v>0</v>
      </c>
      <c r="O94" s="213"/>
      <c r="P94" s="213"/>
      <c r="Q94" s="213">
        <v>23176626.039999999</v>
      </c>
      <c r="R94" s="213"/>
      <c r="S94" s="421">
        <f t="shared" si="22"/>
        <v>23176626.039999999</v>
      </c>
      <c r="T94" s="488">
        <f t="shared" si="23"/>
        <v>23176626.039999999</v>
      </c>
      <c r="U94" s="1025">
        <v>23176626.039999999</v>
      </c>
      <c r="V94" s="1025"/>
      <c r="W94" s="1025"/>
      <c r="X94" s="1025">
        <f t="shared" si="24"/>
        <v>23176626.039999999</v>
      </c>
      <c r="Y94" s="1025"/>
      <c r="Z94" s="1025"/>
      <c r="AA94" s="1025"/>
      <c r="AB94" s="1025"/>
      <c r="AC94" s="1025"/>
      <c r="AD94" s="1025"/>
      <c r="AE94" s="1025"/>
      <c r="AF94" s="1025">
        <v>23176626.039999999</v>
      </c>
      <c r="AG94" s="1025"/>
      <c r="AH94" s="1025" t="s">
        <v>49</v>
      </c>
      <c r="AI94" s="1025" t="s">
        <v>1299</v>
      </c>
    </row>
    <row r="95" spans="1:35" s="1080" customFormat="1" ht="38.25" customHeight="1">
      <c r="A95" s="294"/>
      <c r="B95" s="294"/>
      <c r="C95" s="1094" t="s">
        <v>930</v>
      </c>
      <c r="D95" s="1095" t="s">
        <v>211</v>
      </c>
      <c r="E95" s="1095" t="s">
        <v>466</v>
      </c>
      <c r="F95" s="1095"/>
      <c r="G95" s="1095"/>
      <c r="H95" s="1095"/>
      <c r="I95" s="1139"/>
      <c r="J95" s="1139"/>
      <c r="K95" s="1139"/>
      <c r="L95" s="1139"/>
      <c r="M95" s="1139"/>
      <c r="N95" s="1183">
        <f t="shared" si="21"/>
        <v>0</v>
      </c>
      <c r="O95" s="1139"/>
      <c r="P95" s="1139">
        <v>5443737.2400000002</v>
      </c>
      <c r="Q95" s="1139"/>
      <c r="R95" s="1139"/>
      <c r="S95" s="1183">
        <f t="shared" si="22"/>
        <v>5443737.2400000002</v>
      </c>
      <c r="T95" s="1727">
        <f t="shared" si="23"/>
        <v>5443737.2400000002</v>
      </c>
      <c r="U95" s="1083">
        <v>5443737.2400000002</v>
      </c>
      <c r="V95" s="1083">
        <v>5443737.2400000002</v>
      </c>
      <c r="W95" s="1083">
        <v>5443737.2400000002</v>
      </c>
      <c r="X95" s="1083">
        <f t="shared" si="24"/>
        <v>0</v>
      </c>
      <c r="Y95" s="1083"/>
      <c r="Z95" s="1083"/>
      <c r="AA95" s="1083"/>
      <c r="AB95" s="1083"/>
      <c r="AC95" s="1083"/>
      <c r="AD95" s="1083"/>
      <c r="AE95" s="1083"/>
      <c r="AF95" s="1083"/>
      <c r="AG95" s="1083"/>
      <c r="AH95" s="1083" t="s">
        <v>49</v>
      </c>
      <c r="AI95" s="1083" t="s">
        <v>1299</v>
      </c>
    </row>
    <row r="96" spans="1:35" s="150" customFormat="1" ht="31.5" customHeight="1">
      <c r="A96" s="294"/>
      <c r="B96" s="294"/>
      <c r="C96" s="5" t="s">
        <v>647</v>
      </c>
      <c r="D96" s="379" t="s">
        <v>211</v>
      </c>
      <c r="E96" s="379" t="s">
        <v>466</v>
      </c>
      <c r="F96" s="379"/>
      <c r="G96" s="379"/>
      <c r="H96" s="379"/>
      <c r="I96" s="213"/>
      <c r="J96" s="213"/>
      <c r="K96" s="213"/>
      <c r="L96" s="213"/>
      <c r="M96" s="213"/>
      <c r="N96" s="421">
        <f t="shared" si="21"/>
        <v>0</v>
      </c>
      <c r="O96" s="213"/>
      <c r="P96" s="213">
        <f>30120602.4/7*5</f>
        <v>21514716</v>
      </c>
      <c r="Q96" s="213"/>
      <c r="R96" s="213"/>
      <c r="S96" s="421">
        <f t="shared" si="22"/>
        <v>21514716</v>
      </c>
      <c r="T96" s="488">
        <f t="shared" si="23"/>
        <v>21514716</v>
      </c>
      <c r="U96" s="1025">
        <v>21514716</v>
      </c>
      <c r="V96" s="1025"/>
      <c r="W96" s="1025"/>
      <c r="X96" s="1025">
        <f t="shared" si="24"/>
        <v>21514716</v>
      </c>
      <c r="Y96" s="1025"/>
      <c r="Z96" s="1025"/>
      <c r="AA96" s="1025"/>
      <c r="AB96" s="1025"/>
      <c r="AC96" s="1025"/>
      <c r="AD96" s="1025"/>
      <c r="AE96" s="1025">
        <v>21514716</v>
      </c>
      <c r="AF96" s="1025"/>
      <c r="AG96" s="1025"/>
      <c r="AH96" s="1025" t="s">
        <v>49</v>
      </c>
      <c r="AI96" s="1025" t="s">
        <v>1299</v>
      </c>
    </row>
    <row r="97" spans="1:35" s="1080" customFormat="1" ht="20.100000000000001" customHeight="1">
      <c r="A97" s="294"/>
      <c r="B97" s="294"/>
      <c r="C97" s="1094" t="s">
        <v>638</v>
      </c>
      <c r="D97" s="1095" t="s">
        <v>211</v>
      </c>
      <c r="E97" s="1095" t="s">
        <v>466</v>
      </c>
      <c r="F97" s="1095" t="s">
        <v>521</v>
      </c>
      <c r="G97" s="1095"/>
      <c r="H97" s="1095"/>
      <c r="I97" s="1139">
        <f>1700000*1.004*5</f>
        <v>8534000</v>
      </c>
      <c r="J97" s="1139"/>
      <c r="K97" s="1139"/>
      <c r="L97" s="1139"/>
      <c r="M97" s="1139"/>
      <c r="N97" s="1183">
        <f t="shared" si="21"/>
        <v>8534000</v>
      </c>
      <c r="O97" s="1139"/>
      <c r="P97" s="1139"/>
      <c r="Q97" s="1139"/>
      <c r="R97" s="1139"/>
      <c r="S97" s="1183">
        <f t="shared" si="22"/>
        <v>0</v>
      </c>
      <c r="T97" s="1727">
        <f t="shared" si="23"/>
        <v>8534000</v>
      </c>
      <c r="U97" s="1083">
        <v>8534000</v>
      </c>
      <c r="V97" s="1083">
        <v>8534000</v>
      </c>
      <c r="W97" s="1083">
        <v>8534000</v>
      </c>
      <c r="X97" s="1083">
        <f t="shared" si="24"/>
        <v>0</v>
      </c>
      <c r="Y97" s="1083"/>
      <c r="Z97" s="1083"/>
      <c r="AA97" s="1083"/>
      <c r="AB97" s="1083"/>
      <c r="AC97" s="1083"/>
      <c r="AD97" s="1083"/>
      <c r="AE97" s="1083"/>
      <c r="AF97" s="1083"/>
      <c r="AG97" s="1083"/>
      <c r="AH97" s="1083" t="s">
        <v>49</v>
      </c>
      <c r="AI97" s="1083" t="s">
        <v>1299</v>
      </c>
    </row>
    <row r="98" spans="1:35" s="1080" customFormat="1" ht="15">
      <c r="A98" s="294"/>
      <c r="B98" s="294"/>
      <c r="C98" s="1094" t="s">
        <v>638</v>
      </c>
      <c r="D98" s="1095" t="s">
        <v>211</v>
      </c>
      <c r="E98" s="1095" t="s">
        <v>466</v>
      </c>
      <c r="F98" s="1095" t="s">
        <v>521</v>
      </c>
      <c r="G98" s="1095"/>
      <c r="H98" s="1095"/>
      <c r="I98" s="1139">
        <v>8534000</v>
      </c>
      <c r="J98" s="1139"/>
      <c r="K98" s="1139"/>
      <c r="L98" s="1139"/>
      <c r="M98" s="1139"/>
      <c r="N98" s="1183">
        <f t="shared" si="21"/>
        <v>8534000</v>
      </c>
      <c r="O98" s="1139"/>
      <c r="P98" s="1139"/>
      <c r="Q98" s="1139"/>
      <c r="R98" s="1139"/>
      <c r="S98" s="1183">
        <f t="shared" si="22"/>
        <v>0</v>
      </c>
      <c r="T98" s="1727">
        <f t="shared" si="23"/>
        <v>8534000</v>
      </c>
      <c r="U98" s="1083">
        <v>8534000</v>
      </c>
      <c r="V98" s="1083">
        <v>8534000</v>
      </c>
      <c r="W98" s="1083">
        <v>8534000</v>
      </c>
      <c r="X98" s="1083">
        <f t="shared" si="24"/>
        <v>0</v>
      </c>
      <c r="Y98" s="1083"/>
      <c r="Z98" s="1083"/>
      <c r="AA98" s="1083"/>
      <c r="AB98" s="1083"/>
      <c r="AC98" s="1083"/>
      <c r="AD98" s="1083"/>
      <c r="AE98" s="1083"/>
      <c r="AF98" s="1083"/>
      <c r="AG98" s="1083"/>
      <c r="AH98" s="1083" t="s">
        <v>49</v>
      </c>
      <c r="AI98" s="1083" t="s">
        <v>1299</v>
      </c>
    </row>
    <row r="99" spans="1:35" s="1080" customFormat="1" ht="15">
      <c r="A99" s="294"/>
      <c r="B99" s="294"/>
      <c r="C99" s="1094" t="s">
        <v>859</v>
      </c>
      <c r="D99" s="1108" t="s">
        <v>211</v>
      </c>
      <c r="E99" s="1095" t="s">
        <v>466</v>
      </c>
      <c r="F99" s="1095"/>
      <c r="G99" s="1095"/>
      <c r="H99" s="1095"/>
      <c r="I99" s="1139">
        <v>1706800</v>
      </c>
      <c r="J99" s="1139"/>
      <c r="K99" s="1139"/>
      <c r="L99" s="1139"/>
      <c r="M99" s="1139"/>
      <c r="N99" s="1183">
        <f t="shared" si="21"/>
        <v>1706800</v>
      </c>
      <c r="O99" s="1139"/>
      <c r="P99" s="1139"/>
      <c r="Q99" s="1139"/>
      <c r="R99" s="1139"/>
      <c r="S99" s="1183">
        <f t="shared" si="22"/>
        <v>0</v>
      </c>
      <c r="T99" s="1727">
        <f t="shared" si="23"/>
        <v>1706800</v>
      </c>
      <c r="U99" s="1083">
        <v>1706800</v>
      </c>
      <c r="V99" s="1083">
        <v>1706800</v>
      </c>
      <c r="W99" s="1083">
        <v>1706800</v>
      </c>
      <c r="X99" s="1083">
        <f t="shared" si="24"/>
        <v>0</v>
      </c>
      <c r="Y99" s="1083"/>
      <c r="Z99" s="1083"/>
      <c r="AA99" s="1083"/>
      <c r="AB99" s="1083"/>
      <c r="AC99" s="1083"/>
      <c r="AD99" s="1083"/>
      <c r="AE99" s="1083"/>
      <c r="AF99" s="1083"/>
      <c r="AG99" s="1083"/>
      <c r="AH99" s="1083" t="s">
        <v>49</v>
      </c>
      <c r="AI99" s="1083" t="s">
        <v>1299</v>
      </c>
    </row>
    <row r="100" spans="1:35" s="1080" customFormat="1" ht="15">
      <c r="A100" s="294"/>
      <c r="B100" s="294"/>
      <c r="C100" s="1094" t="s">
        <v>859</v>
      </c>
      <c r="D100" s="1108" t="s">
        <v>211</v>
      </c>
      <c r="E100" s="1095" t="s">
        <v>466</v>
      </c>
      <c r="F100" s="1095"/>
      <c r="G100" s="1095"/>
      <c r="H100" s="1095"/>
      <c r="I100" s="1139">
        <v>1706800</v>
      </c>
      <c r="J100" s="1139"/>
      <c r="K100" s="1139"/>
      <c r="L100" s="1139"/>
      <c r="M100" s="1139"/>
      <c r="N100" s="1183">
        <f t="shared" si="21"/>
        <v>1706800</v>
      </c>
      <c r="O100" s="1139"/>
      <c r="P100" s="1139"/>
      <c r="Q100" s="1139"/>
      <c r="R100" s="1139"/>
      <c r="S100" s="1183">
        <f t="shared" si="22"/>
        <v>0</v>
      </c>
      <c r="T100" s="1727">
        <f t="shared" si="23"/>
        <v>1706800</v>
      </c>
      <c r="U100" s="1083">
        <v>1706800</v>
      </c>
      <c r="V100" s="1083">
        <v>1706800</v>
      </c>
      <c r="W100" s="1083">
        <v>1706800</v>
      </c>
      <c r="X100" s="1083">
        <f t="shared" si="24"/>
        <v>0</v>
      </c>
      <c r="Y100" s="1083"/>
      <c r="Z100" s="1083"/>
      <c r="AA100" s="1083"/>
      <c r="AB100" s="1083"/>
      <c r="AC100" s="1083"/>
      <c r="AD100" s="1083"/>
      <c r="AE100" s="1083"/>
      <c r="AF100" s="1083"/>
      <c r="AG100" s="1083"/>
      <c r="AH100" s="1083" t="s">
        <v>49</v>
      </c>
      <c r="AI100" s="1083" t="s">
        <v>1299</v>
      </c>
    </row>
    <row r="101" spans="1:35" s="1080" customFormat="1" ht="15">
      <c r="A101" s="294"/>
      <c r="B101" s="294"/>
      <c r="C101" s="1094" t="s">
        <v>639</v>
      </c>
      <c r="D101" s="1095" t="s">
        <v>211</v>
      </c>
      <c r="E101" s="1095">
        <v>83990</v>
      </c>
      <c r="F101" s="1095" t="s">
        <v>521</v>
      </c>
      <c r="G101" s="1095"/>
      <c r="H101" s="1095"/>
      <c r="I101" s="1139"/>
      <c r="J101" s="1139"/>
      <c r="K101" s="1139"/>
      <c r="L101" s="1139"/>
      <c r="M101" s="1139">
        <v>8605904.472000001</v>
      </c>
      <c r="N101" s="1183">
        <f t="shared" si="21"/>
        <v>8605904.472000001</v>
      </c>
      <c r="O101" s="1139"/>
      <c r="P101" s="1110"/>
      <c r="Q101" s="1139"/>
      <c r="R101" s="1139"/>
      <c r="S101" s="1183">
        <f t="shared" si="22"/>
        <v>0</v>
      </c>
      <c r="T101" s="1727">
        <f t="shared" si="23"/>
        <v>8605904.472000001</v>
      </c>
      <c r="U101" s="1083">
        <v>8605904.472000001</v>
      </c>
      <c r="V101" s="1083">
        <v>8605904.472000001</v>
      </c>
      <c r="W101" s="1083">
        <v>8605904.472000001</v>
      </c>
      <c r="X101" s="1083">
        <f t="shared" si="24"/>
        <v>0</v>
      </c>
      <c r="Y101" s="1083"/>
      <c r="Z101" s="1083"/>
      <c r="AA101" s="1083"/>
      <c r="AB101" s="1083"/>
      <c r="AC101" s="1083"/>
      <c r="AD101" s="1083"/>
      <c r="AE101" s="1083"/>
      <c r="AF101" s="1083"/>
      <c r="AG101" s="1083"/>
      <c r="AH101" s="1083" t="s">
        <v>49</v>
      </c>
      <c r="AI101" s="1083" t="s">
        <v>1299</v>
      </c>
    </row>
    <row r="102" spans="1:35" s="150" customFormat="1" ht="15">
      <c r="A102" s="294"/>
      <c r="B102" s="294"/>
      <c r="C102" s="5" t="s">
        <v>639</v>
      </c>
      <c r="D102" s="379" t="s">
        <v>211</v>
      </c>
      <c r="E102" s="379" t="s">
        <v>466</v>
      </c>
      <c r="F102" s="379" t="s">
        <v>521</v>
      </c>
      <c r="G102" s="379"/>
      <c r="H102" s="379"/>
      <c r="I102" s="213"/>
      <c r="J102" s="213"/>
      <c r="K102" s="213"/>
      <c r="L102" s="213"/>
      <c r="M102" s="213">
        <f>8605904.472-8605904.472</f>
        <v>0</v>
      </c>
      <c r="N102" s="421">
        <f t="shared" si="21"/>
        <v>0</v>
      </c>
      <c r="O102" s="213"/>
      <c r="P102" s="213"/>
      <c r="Q102" s="213"/>
      <c r="R102" s="213"/>
      <c r="S102" s="421">
        <f t="shared" si="22"/>
        <v>0</v>
      </c>
      <c r="T102" s="488">
        <f t="shared" si="23"/>
        <v>0</v>
      </c>
      <c r="U102" s="1025">
        <v>0</v>
      </c>
      <c r="V102" s="1025">
        <v>0</v>
      </c>
      <c r="W102" s="1025">
        <v>0</v>
      </c>
      <c r="X102" s="1025">
        <f t="shared" si="24"/>
        <v>0</v>
      </c>
      <c r="Y102" s="1025"/>
      <c r="Z102" s="1025"/>
      <c r="AA102" s="1025"/>
      <c r="AB102" s="1025"/>
      <c r="AC102" s="1025"/>
      <c r="AD102" s="1025"/>
      <c r="AE102" s="1025"/>
      <c r="AF102" s="1025"/>
      <c r="AG102" s="1025"/>
      <c r="AH102" s="1025" t="s">
        <v>49</v>
      </c>
      <c r="AI102" s="1025" t="s">
        <v>1299</v>
      </c>
    </row>
    <row r="103" spans="1:35" s="1080" customFormat="1" ht="15">
      <c r="A103" s="294"/>
      <c r="B103" s="294"/>
      <c r="C103" s="1094" t="s">
        <v>640</v>
      </c>
      <c r="D103" s="1095" t="s">
        <v>211</v>
      </c>
      <c r="E103" s="1095" t="s">
        <v>466</v>
      </c>
      <c r="F103" s="1095" t="s">
        <v>521</v>
      </c>
      <c r="G103" s="1095"/>
      <c r="H103" s="1095"/>
      <c r="I103" s="1139"/>
      <c r="J103" s="1139"/>
      <c r="K103" s="1139"/>
      <c r="L103" s="1139"/>
      <c r="M103" s="1139">
        <v>8605904.472000001</v>
      </c>
      <c r="N103" s="1183">
        <f t="shared" si="21"/>
        <v>8605904.472000001</v>
      </c>
      <c r="O103" s="1139"/>
      <c r="P103" s="1139"/>
      <c r="Q103" s="1139"/>
      <c r="R103" s="1139"/>
      <c r="S103" s="1183">
        <f t="shared" si="22"/>
        <v>0</v>
      </c>
      <c r="T103" s="1727">
        <f t="shared" si="23"/>
        <v>8605904.472000001</v>
      </c>
      <c r="U103" s="1083">
        <v>8605904.472000001</v>
      </c>
      <c r="V103" s="1083">
        <v>8605904.472000001</v>
      </c>
      <c r="W103" s="1083">
        <v>8605904.472000001</v>
      </c>
      <c r="X103" s="1083">
        <f t="shared" si="24"/>
        <v>0</v>
      </c>
      <c r="Y103" s="1083"/>
      <c r="Z103" s="1083"/>
      <c r="AA103" s="1083"/>
      <c r="AB103" s="1083"/>
      <c r="AC103" s="1083"/>
      <c r="AD103" s="1083"/>
      <c r="AE103" s="1083"/>
      <c r="AF103" s="1083"/>
      <c r="AG103" s="1083"/>
      <c r="AH103" s="1083" t="s">
        <v>49</v>
      </c>
      <c r="AI103" s="1083" t="s">
        <v>1299</v>
      </c>
    </row>
    <row r="104" spans="1:35" s="1080" customFormat="1" ht="15">
      <c r="A104" s="294"/>
      <c r="B104" s="294"/>
      <c r="C104" s="1729" t="s">
        <v>640</v>
      </c>
      <c r="D104" s="1095" t="s">
        <v>211</v>
      </c>
      <c r="E104" s="1095" t="s">
        <v>466</v>
      </c>
      <c r="F104" s="1095" t="s">
        <v>521</v>
      </c>
      <c r="G104" s="1095"/>
      <c r="H104" s="1095"/>
      <c r="I104" s="1139"/>
      <c r="J104" s="1139"/>
      <c r="K104" s="1139"/>
      <c r="L104" s="1139"/>
      <c r="M104" s="1139">
        <v>8605904.472000001</v>
      </c>
      <c r="N104" s="1183">
        <f t="shared" si="21"/>
        <v>8605904.472000001</v>
      </c>
      <c r="O104" s="1139"/>
      <c r="P104" s="1139"/>
      <c r="Q104" s="1139"/>
      <c r="R104" s="1139"/>
      <c r="S104" s="1183">
        <f t="shared" si="22"/>
        <v>0</v>
      </c>
      <c r="T104" s="1727">
        <f t="shared" si="23"/>
        <v>8605904.472000001</v>
      </c>
      <c r="U104" s="1083">
        <v>8605904.472000001</v>
      </c>
      <c r="V104" s="1083">
        <v>8605904.472000001</v>
      </c>
      <c r="W104" s="1083">
        <v>8605904.472000001</v>
      </c>
      <c r="X104" s="1083">
        <f t="shared" si="24"/>
        <v>0</v>
      </c>
      <c r="Y104" s="1083"/>
      <c r="Z104" s="1083"/>
      <c r="AA104" s="1083"/>
      <c r="AB104" s="1083"/>
      <c r="AC104" s="1083"/>
      <c r="AD104" s="1083"/>
      <c r="AE104" s="1083"/>
      <c r="AF104" s="1083"/>
      <c r="AG104" s="1083"/>
      <c r="AH104" s="1083" t="s">
        <v>49</v>
      </c>
      <c r="AI104" s="1083" t="s">
        <v>1299</v>
      </c>
    </row>
    <row r="105" spans="1:35" s="1080" customFormat="1" ht="20.100000000000001" customHeight="1">
      <c r="A105" s="294"/>
      <c r="B105" s="294"/>
      <c r="C105" s="1729" t="s">
        <v>640</v>
      </c>
      <c r="D105" s="1095" t="s">
        <v>211</v>
      </c>
      <c r="E105" s="1095" t="s">
        <v>466</v>
      </c>
      <c r="F105" s="1095"/>
      <c r="G105" s="1095"/>
      <c r="H105" s="1095"/>
      <c r="I105" s="1139"/>
      <c r="J105" s="1139"/>
      <c r="K105" s="1139"/>
      <c r="L105" s="1139"/>
      <c r="M105" s="1139"/>
      <c r="N105" s="1183">
        <f t="shared" si="21"/>
        <v>0</v>
      </c>
      <c r="O105" s="1139"/>
      <c r="P105" s="1139"/>
      <c r="Q105" s="1183">
        <v>15441520</v>
      </c>
      <c r="R105" s="1139"/>
      <c r="S105" s="1183">
        <f t="shared" si="22"/>
        <v>15441520</v>
      </c>
      <c r="T105" s="1727">
        <f t="shared" si="23"/>
        <v>15441520</v>
      </c>
      <c r="U105" s="1083">
        <v>17211772.800000001</v>
      </c>
      <c r="V105" s="1083">
        <v>15441520</v>
      </c>
      <c r="W105" s="1083">
        <v>15441520</v>
      </c>
      <c r="X105" s="1083">
        <f>+U105-W105</f>
        <v>1770252.8000000007</v>
      </c>
      <c r="Y105" s="1083"/>
      <c r="Z105" s="1083"/>
      <c r="AA105" s="1083"/>
      <c r="AB105" s="1083"/>
      <c r="AC105" s="1083"/>
      <c r="AD105" s="1083"/>
      <c r="AE105" s="1083"/>
      <c r="AF105" s="1083">
        <v>1770252.8000000007</v>
      </c>
      <c r="AG105" s="1083"/>
      <c r="AH105" s="1083" t="s">
        <v>49</v>
      </c>
      <c r="AI105" s="1083" t="s">
        <v>1299</v>
      </c>
    </row>
    <row r="106" spans="1:35" s="1084" customFormat="1" ht="20.100000000000001" customHeight="1">
      <c r="A106" s="294"/>
      <c r="B106" s="294"/>
      <c r="C106" s="1731" t="s">
        <v>640</v>
      </c>
      <c r="D106" s="1089" t="s">
        <v>211</v>
      </c>
      <c r="E106" s="1089" t="s">
        <v>466</v>
      </c>
      <c r="F106" s="1089"/>
      <c r="G106" s="1089"/>
      <c r="H106" s="1089"/>
      <c r="I106" s="1231"/>
      <c r="J106" s="1231"/>
      <c r="K106" s="1231"/>
      <c r="L106" s="1231"/>
      <c r="M106" s="1231"/>
      <c r="N106" s="1306">
        <f t="shared" ref="N106" si="25">+SUM(I106:M106)</f>
        <v>0</v>
      </c>
      <c r="O106" s="1231"/>
      <c r="P106" s="1231"/>
      <c r="Q106" s="1231">
        <f>17211772.8-Q105</f>
        <v>1770252.8000000007</v>
      </c>
      <c r="R106" s="1231"/>
      <c r="S106" s="1306">
        <f t="shared" si="22"/>
        <v>1770252.8000000007</v>
      </c>
      <c r="T106" s="1728">
        <f t="shared" ref="T106" si="26">+S106+N106</f>
        <v>1770252.8000000007</v>
      </c>
      <c r="U106" s="1085">
        <v>17211772.800000001</v>
      </c>
      <c r="V106" s="1085">
        <v>15441520</v>
      </c>
      <c r="W106" s="1085">
        <v>15441520</v>
      </c>
      <c r="X106" s="1085">
        <f>+U106-W106</f>
        <v>1770252.8000000007</v>
      </c>
      <c r="Y106" s="1085"/>
      <c r="Z106" s="1085"/>
      <c r="AA106" s="1085"/>
      <c r="AB106" s="1085"/>
      <c r="AC106" s="1085"/>
      <c r="AD106" s="1085"/>
      <c r="AE106" s="1085"/>
      <c r="AF106" s="1085">
        <v>1770252.8000000007</v>
      </c>
      <c r="AG106" s="1085"/>
      <c r="AH106" s="1085" t="s">
        <v>49</v>
      </c>
      <c r="AI106" s="1085" t="s">
        <v>1299</v>
      </c>
    </row>
    <row r="107" spans="1:35" s="1080" customFormat="1" ht="15">
      <c r="A107" s="294"/>
      <c r="B107" s="294"/>
      <c r="C107" s="1729" t="s">
        <v>677</v>
      </c>
      <c r="D107" s="1095" t="s">
        <v>211</v>
      </c>
      <c r="E107" s="1095" t="s">
        <v>466</v>
      </c>
      <c r="F107" s="1095" t="s">
        <v>521</v>
      </c>
      <c r="G107" s="1095"/>
      <c r="H107" s="1095"/>
      <c r="I107" s="1139">
        <v>6608127.2000000002</v>
      </c>
      <c r="J107" s="1139"/>
      <c r="K107" s="1139"/>
      <c r="L107" s="1139"/>
      <c r="M107" s="1139"/>
      <c r="N107" s="1183">
        <f t="shared" si="21"/>
        <v>6608127.2000000002</v>
      </c>
      <c r="O107" s="1139"/>
      <c r="P107" s="1139"/>
      <c r="Q107" s="1139"/>
      <c r="R107" s="1139"/>
      <c r="S107" s="1183">
        <f t="shared" si="22"/>
        <v>0</v>
      </c>
      <c r="T107" s="1727">
        <f t="shared" si="23"/>
        <v>6608127.2000000002</v>
      </c>
      <c r="U107" s="1083">
        <v>6608127.2000000002</v>
      </c>
      <c r="V107" s="1083">
        <v>6608127.2000000002</v>
      </c>
      <c r="W107" s="1083">
        <v>6608127.2000000002</v>
      </c>
      <c r="X107" s="1083">
        <f t="shared" ref="X107:X140" si="27">+U107-W107</f>
        <v>0</v>
      </c>
      <c r="Y107" s="1083"/>
      <c r="Z107" s="1083"/>
      <c r="AA107" s="1083"/>
      <c r="AB107" s="1083"/>
      <c r="AC107" s="1083"/>
      <c r="AD107" s="1083"/>
      <c r="AE107" s="1083"/>
      <c r="AF107" s="1083"/>
      <c r="AG107" s="1083"/>
      <c r="AH107" s="1083" t="s">
        <v>49</v>
      </c>
      <c r="AI107" s="1083" t="s">
        <v>1299</v>
      </c>
    </row>
    <row r="108" spans="1:35" s="1080" customFormat="1" ht="20.100000000000001" customHeight="1">
      <c r="A108" s="294"/>
      <c r="B108" s="294"/>
      <c r="C108" s="1094" t="s">
        <v>793</v>
      </c>
      <c r="D108" s="1095" t="s">
        <v>211</v>
      </c>
      <c r="E108" s="1095" t="s">
        <v>466</v>
      </c>
      <c r="F108" s="1095" t="s">
        <v>521</v>
      </c>
      <c r="G108" s="1095"/>
      <c r="H108" s="1095"/>
      <c r="I108" s="1139"/>
      <c r="J108" s="1139"/>
      <c r="K108" s="1139"/>
      <c r="L108" s="1139"/>
      <c r="M108" s="1117">
        <f>5065100*1.004*8</f>
        <v>40682883.200000003</v>
      </c>
      <c r="N108" s="1183">
        <f t="shared" si="21"/>
        <v>40682883.200000003</v>
      </c>
      <c r="O108" s="1139"/>
      <c r="P108" s="1139"/>
      <c r="Q108" s="1139"/>
      <c r="R108" s="1139"/>
      <c r="S108" s="1183">
        <f t="shared" si="22"/>
        <v>0</v>
      </c>
      <c r="T108" s="1727">
        <f t="shared" si="23"/>
        <v>40682883.200000003</v>
      </c>
      <c r="U108" s="1083">
        <v>40682883.200000003</v>
      </c>
      <c r="V108" s="1083">
        <v>40682883.200000003</v>
      </c>
      <c r="W108" s="1083">
        <v>40682883.200000003</v>
      </c>
      <c r="X108" s="1083">
        <f t="shared" si="27"/>
        <v>0</v>
      </c>
      <c r="Y108" s="1083"/>
      <c r="Z108" s="1083"/>
      <c r="AA108" s="1083"/>
      <c r="AB108" s="1083"/>
      <c r="AC108" s="1083"/>
      <c r="AD108" s="1083"/>
      <c r="AE108" s="1083"/>
      <c r="AF108" s="1083"/>
      <c r="AG108" s="1083"/>
      <c r="AH108" s="1083" t="s">
        <v>49</v>
      </c>
      <c r="AI108" s="1083" t="s">
        <v>1299</v>
      </c>
    </row>
    <row r="109" spans="1:35" s="1080" customFormat="1" ht="25.5" customHeight="1">
      <c r="A109" s="294"/>
      <c r="B109" s="294"/>
      <c r="C109" s="1094" t="s">
        <v>897</v>
      </c>
      <c r="D109" s="1095" t="s">
        <v>211</v>
      </c>
      <c r="E109" s="1095" t="s">
        <v>466</v>
      </c>
      <c r="F109" s="1095"/>
      <c r="G109" s="1095"/>
      <c r="H109" s="1095"/>
      <c r="I109" s="1139"/>
      <c r="J109" s="1139"/>
      <c r="K109" s="1139"/>
      <c r="L109" s="1139"/>
      <c r="M109" s="1117">
        <f>5065100*1.004*1.5</f>
        <v>7628040.6000000006</v>
      </c>
      <c r="N109" s="1183">
        <f t="shared" si="21"/>
        <v>7628040.6000000006</v>
      </c>
      <c r="O109" s="1139"/>
      <c r="P109" s="1139"/>
      <c r="Q109" s="1117">
        <f>5065100*1.004*0.5</f>
        <v>2542680.2000000002</v>
      </c>
      <c r="R109" s="1139"/>
      <c r="S109" s="1183">
        <f t="shared" si="22"/>
        <v>2542680.2000000002</v>
      </c>
      <c r="T109" s="1727">
        <f t="shared" si="23"/>
        <v>10170720.800000001</v>
      </c>
      <c r="U109" s="1083">
        <v>10170720.800000001</v>
      </c>
      <c r="V109" s="1083">
        <v>10170720.800000001</v>
      </c>
      <c r="W109" s="1083">
        <v>10170720.800000001</v>
      </c>
      <c r="X109" s="1083">
        <f t="shared" si="27"/>
        <v>0</v>
      </c>
      <c r="Y109" s="1083"/>
      <c r="Z109" s="1083"/>
      <c r="AA109" s="1083"/>
      <c r="AB109" s="1083"/>
      <c r="AC109" s="1083"/>
      <c r="AD109" s="1083"/>
      <c r="AE109" s="1083"/>
      <c r="AF109" s="1083"/>
      <c r="AG109" s="1083"/>
      <c r="AH109" s="1083" t="s">
        <v>49</v>
      </c>
      <c r="AI109" s="1083" t="s">
        <v>1299</v>
      </c>
    </row>
    <row r="110" spans="1:35" s="1080" customFormat="1" ht="21" customHeight="1">
      <c r="A110" s="294"/>
      <c r="B110" s="294"/>
      <c r="C110" s="1094" t="s">
        <v>641</v>
      </c>
      <c r="D110" s="1095" t="s">
        <v>211</v>
      </c>
      <c r="E110" s="1095" t="s">
        <v>466</v>
      </c>
      <c r="F110" s="1095" t="s">
        <v>521</v>
      </c>
      <c r="G110" s="1095"/>
      <c r="H110" s="1095"/>
      <c r="I110" s="1139">
        <f>56503312.8-3107028.59999999-2542680.20000001</f>
        <v>50853604</v>
      </c>
      <c r="J110" s="1139"/>
      <c r="K110" s="1139"/>
      <c r="L110" s="1139"/>
      <c r="M110" s="1139"/>
      <c r="N110" s="1183">
        <f t="shared" si="21"/>
        <v>50853604</v>
      </c>
      <c r="O110" s="1139"/>
      <c r="P110" s="1139"/>
      <c r="Q110" s="1139"/>
      <c r="R110" s="1139"/>
      <c r="S110" s="1183">
        <f t="shared" si="22"/>
        <v>0</v>
      </c>
      <c r="T110" s="1727">
        <f t="shared" si="23"/>
        <v>50853604</v>
      </c>
      <c r="U110" s="1083">
        <v>50853604</v>
      </c>
      <c r="V110" s="1083">
        <v>50853604</v>
      </c>
      <c r="W110" s="1083">
        <v>50853604</v>
      </c>
      <c r="X110" s="1083">
        <f t="shared" si="27"/>
        <v>0</v>
      </c>
      <c r="Y110" s="1083"/>
      <c r="Z110" s="1083"/>
      <c r="AA110" s="1083"/>
      <c r="AB110" s="1083"/>
      <c r="AC110" s="1083"/>
      <c r="AD110" s="1083"/>
      <c r="AE110" s="1083"/>
      <c r="AF110" s="1083"/>
      <c r="AG110" s="1083"/>
      <c r="AH110" s="1083" t="s">
        <v>49</v>
      </c>
      <c r="AI110" s="1083" t="s">
        <v>1299</v>
      </c>
    </row>
    <row r="111" spans="1:35" s="150" customFormat="1" ht="20.100000000000001" customHeight="1">
      <c r="A111" s="294"/>
      <c r="B111" s="294"/>
      <c r="C111" s="5" t="s">
        <v>641</v>
      </c>
      <c r="D111" s="379" t="s">
        <v>211</v>
      </c>
      <c r="E111" s="379" t="s">
        <v>466</v>
      </c>
      <c r="F111" s="379" t="s">
        <v>521</v>
      </c>
      <c r="G111" s="379"/>
      <c r="H111" s="379"/>
      <c r="I111" s="1835">
        <f>5065100*1.004*7.5-93062</f>
        <v>38047141</v>
      </c>
      <c r="J111" s="213"/>
      <c r="K111" s="213"/>
      <c r="L111" s="213"/>
      <c r="M111" s="213"/>
      <c r="N111" s="421">
        <f t="shared" si="21"/>
        <v>38047141</v>
      </c>
      <c r="O111" s="482"/>
      <c r="P111" s="482"/>
      <c r="Q111" s="482"/>
      <c r="R111" s="482"/>
      <c r="S111" s="421">
        <f t="shared" si="22"/>
        <v>0</v>
      </c>
      <c r="T111" s="488">
        <f t="shared" si="23"/>
        <v>38047141</v>
      </c>
      <c r="U111" s="1025">
        <v>38140203</v>
      </c>
      <c r="V111" s="1025"/>
      <c r="W111" s="1025"/>
      <c r="X111" s="1025">
        <f t="shared" si="27"/>
        <v>38140203</v>
      </c>
      <c r="Y111" s="1025">
        <v>38140203</v>
      </c>
      <c r="Z111" s="1025"/>
      <c r="AA111" s="1025"/>
      <c r="AB111" s="1025"/>
      <c r="AC111" s="1025"/>
      <c r="AD111" s="1025"/>
      <c r="AE111" s="1025"/>
      <c r="AF111" s="1025"/>
      <c r="AG111" s="1025"/>
      <c r="AH111" s="1025" t="s">
        <v>49</v>
      </c>
      <c r="AI111" s="1025" t="s">
        <v>1299</v>
      </c>
    </row>
    <row r="112" spans="1:35" s="1080" customFormat="1" ht="33" customHeight="1">
      <c r="A112" s="294"/>
      <c r="B112" s="294"/>
      <c r="C112" s="1094" t="s">
        <v>931</v>
      </c>
      <c r="D112" s="1095" t="s">
        <v>211</v>
      </c>
      <c r="E112" s="1095" t="s">
        <v>466</v>
      </c>
      <c r="F112" s="1095"/>
      <c r="G112" s="1095"/>
      <c r="H112" s="1095"/>
      <c r="I112" s="1117">
        <f>5065100*1.004*0.5</f>
        <v>2542680.2000000002</v>
      </c>
      <c r="J112" s="1139"/>
      <c r="K112" s="1139"/>
      <c r="L112" s="1139"/>
      <c r="M112" s="1139"/>
      <c r="N112" s="1183">
        <f t="shared" ref="N112" si="28">+SUM(I112:M112)</f>
        <v>2542680.2000000002</v>
      </c>
      <c r="O112" s="1110"/>
      <c r="P112" s="1117">
        <v>21553320</v>
      </c>
      <c r="Q112" s="1110"/>
      <c r="R112" s="1110"/>
      <c r="S112" s="1183">
        <f t="shared" ref="S112" si="29">+SUM(O112:R112)</f>
        <v>21553320</v>
      </c>
      <c r="T112" s="1727">
        <f t="shared" ref="T112" si="30">+S112+N112</f>
        <v>24096000.199999999</v>
      </c>
      <c r="U112" s="1083">
        <v>44820027.91200003</v>
      </c>
      <c r="V112" s="1083"/>
      <c r="W112" s="1083"/>
      <c r="X112" s="1083">
        <f t="shared" ref="X112" si="31">+U112-W112</f>
        <v>44820027.91200003</v>
      </c>
      <c r="Y112" s="1083">
        <v>2542680.2000000002</v>
      </c>
      <c r="Z112" s="1083"/>
      <c r="AA112" s="1083"/>
      <c r="AB112" s="1083"/>
      <c r="AC112" s="1083"/>
      <c r="AD112" s="1083"/>
      <c r="AE112" s="1083">
        <v>42277347.712000027</v>
      </c>
      <c r="AF112" s="1083"/>
      <c r="AG112" s="1083"/>
      <c r="AH112" s="1083" t="s">
        <v>49</v>
      </c>
      <c r="AI112" s="1083" t="s">
        <v>1299</v>
      </c>
    </row>
    <row r="113" spans="1:35" s="1084" customFormat="1" ht="33" customHeight="1">
      <c r="A113" s="294"/>
      <c r="B113" s="294"/>
      <c r="C113" s="1088" t="s">
        <v>931</v>
      </c>
      <c r="D113" s="1089" t="s">
        <v>211</v>
      </c>
      <c r="E113" s="1089" t="s">
        <v>466</v>
      </c>
      <c r="F113" s="1089"/>
      <c r="G113" s="1089"/>
      <c r="H113" s="1089"/>
      <c r="I113" s="1112"/>
      <c r="J113" s="1231"/>
      <c r="K113" s="1231"/>
      <c r="L113" s="1231"/>
      <c r="M113" s="1231"/>
      <c r="N113" s="1306">
        <f t="shared" si="21"/>
        <v>0</v>
      </c>
      <c r="O113" s="1215"/>
      <c r="P113" s="1112">
        <f>42277347.712-P112</f>
        <v>20724027.711999997</v>
      </c>
      <c r="Q113" s="1215"/>
      <c r="R113" s="1215"/>
      <c r="S113" s="1306">
        <f t="shared" si="22"/>
        <v>20724027.711999997</v>
      </c>
      <c r="T113" s="1728">
        <f t="shared" si="23"/>
        <v>20724027.711999997</v>
      </c>
      <c r="U113" s="1085">
        <v>44820027.91200003</v>
      </c>
      <c r="V113" s="1085"/>
      <c r="W113" s="1085"/>
      <c r="X113" s="1085">
        <f t="shared" si="27"/>
        <v>44820027.91200003</v>
      </c>
      <c r="Y113" s="1085">
        <v>2542680.2000000002</v>
      </c>
      <c r="Z113" s="1085"/>
      <c r="AA113" s="1085"/>
      <c r="AB113" s="1085"/>
      <c r="AC113" s="1085"/>
      <c r="AD113" s="1085"/>
      <c r="AE113" s="1085">
        <v>42277347.712000027</v>
      </c>
      <c r="AF113" s="1085"/>
      <c r="AG113" s="1085"/>
      <c r="AH113" s="1085" t="s">
        <v>49</v>
      </c>
      <c r="AI113" s="1085" t="s">
        <v>1299</v>
      </c>
    </row>
    <row r="114" spans="1:35" s="1080" customFormat="1" ht="18.75" customHeight="1">
      <c r="A114" s="294"/>
      <c r="B114" s="294"/>
      <c r="C114" s="1094" t="s">
        <v>892</v>
      </c>
      <c r="D114" s="1095" t="s">
        <v>211</v>
      </c>
      <c r="E114" s="1095" t="s">
        <v>466</v>
      </c>
      <c r="F114" s="1095" t="s">
        <v>521</v>
      </c>
      <c r="G114" s="1095"/>
      <c r="H114" s="1095"/>
      <c r="I114" s="1139">
        <v>19888492.915999889</v>
      </c>
      <c r="J114" s="1139"/>
      <c r="K114" s="1139"/>
      <c r="L114" s="1139"/>
      <c r="M114" s="1139"/>
      <c r="N114" s="1183">
        <f t="shared" si="21"/>
        <v>19888492.915999889</v>
      </c>
      <c r="O114" s="1139"/>
      <c r="P114" s="1139"/>
      <c r="Q114" s="1139"/>
      <c r="R114" s="1139"/>
      <c r="S114" s="1183">
        <f t="shared" si="22"/>
        <v>0</v>
      </c>
      <c r="T114" s="1727">
        <f t="shared" si="23"/>
        <v>19888492.915999889</v>
      </c>
      <c r="U114" s="1083">
        <v>19888492.915999889</v>
      </c>
      <c r="V114" s="1083">
        <v>19888492.915999889</v>
      </c>
      <c r="W114" s="1083">
        <v>19888492.915999889</v>
      </c>
      <c r="X114" s="1083">
        <f t="shared" si="27"/>
        <v>0</v>
      </c>
      <c r="Y114" s="1083"/>
      <c r="Z114" s="1083"/>
      <c r="AA114" s="1083"/>
      <c r="AB114" s="1083"/>
      <c r="AC114" s="1083"/>
      <c r="AD114" s="1083"/>
      <c r="AE114" s="1083"/>
      <c r="AF114" s="1083"/>
      <c r="AG114" s="1083"/>
      <c r="AH114" s="1083" t="s">
        <v>49</v>
      </c>
      <c r="AI114" s="1083" t="s">
        <v>1299</v>
      </c>
    </row>
    <row r="115" spans="1:35" s="1080" customFormat="1" ht="31.5" customHeight="1">
      <c r="A115" s="294"/>
      <c r="B115" s="294"/>
      <c r="C115" s="1094" t="s">
        <v>855</v>
      </c>
      <c r="D115" s="1095" t="s">
        <v>211</v>
      </c>
      <c r="E115" s="1095" t="s">
        <v>466</v>
      </c>
      <c r="F115" s="1095" t="s">
        <v>521</v>
      </c>
      <c r="G115" s="1095"/>
      <c r="H115" s="1095"/>
      <c r="I115" s="1139">
        <f>5065100*1.004*2.5</f>
        <v>12713401</v>
      </c>
      <c r="J115" s="1139"/>
      <c r="K115" s="1139"/>
      <c r="L115" s="1139"/>
      <c r="M115" s="1139"/>
      <c r="N115" s="1183">
        <f t="shared" si="21"/>
        <v>12713401</v>
      </c>
      <c r="O115" s="1139"/>
      <c r="P115" s="1139"/>
      <c r="Q115" s="1139"/>
      <c r="R115" s="1139"/>
      <c r="S115" s="1183">
        <f t="shared" si="22"/>
        <v>0</v>
      </c>
      <c r="T115" s="1727">
        <f t="shared" si="23"/>
        <v>12713401</v>
      </c>
      <c r="U115" s="1083">
        <v>12713401</v>
      </c>
      <c r="V115" s="1083">
        <v>12713401</v>
      </c>
      <c r="W115" s="1083">
        <v>12713401</v>
      </c>
      <c r="X115" s="1083">
        <f t="shared" si="27"/>
        <v>0</v>
      </c>
      <c r="Y115" s="1083"/>
      <c r="Z115" s="1083"/>
      <c r="AA115" s="1083"/>
      <c r="AB115" s="1083"/>
      <c r="AC115" s="1083"/>
      <c r="AD115" s="1083"/>
      <c r="AE115" s="1083"/>
      <c r="AF115" s="1083"/>
      <c r="AG115" s="1083"/>
      <c r="AH115" s="1083" t="s">
        <v>49</v>
      </c>
      <c r="AI115" s="1083" t="s">
        <v>1299</v>
      </c>
    </row>
    <row r="116" spans="1:35" s="1080" customFormat="1" ht="21.75" customHeight="1">
      <c r="A116" s="294"/>
      <c r="B116" s="294"/>
      <c r="C116" s="1094" t="s">
        <v>887</v>
      </c>
      <c r="D116" s="1095" t="s">
        <v>211</v>
      </c>
      <c r="E116" s="1095" t="s">
        <v>501</v>
      </c>
      <c r="F116" s="1095" t="s">
        <v>521</v>
      </c>
      <c r="G116" s="1095"/>
      <c r="H116" s="1095"/>
      <c r="I116" s="1139">
        <f>3865250*2*1.004</f>
        <v>7761422</v>
      </c>
      <c r="J116" s="1139"/>
      <c r="K116" s="1139"/>
      <c r="L116" s="1139"/>
      <c r="M116" s="1139"/>
      <c r="N116" s="1183">
        <f t="shared" si="21"/>
        <v>7761422</v>
      </c>
      <c r="O116" s="1110"/>
      <c r="P116" s="1110"/>
      <c r="Q116" s="1139"/>
      <c r="R116" s="1139"/>
      <c r="S116" s="1183">
        <f t="shared" si="22"/>
        <v>0</v>
      </c>
      <c r="T116" s="1727">
        <f t="shared" si="23"/>
        <v>7761422</v>
      </c>
      <c r="U116" s="1083">
        <v>7761422</v>
      </c>
      <c r="V116" s="1083">
        <v>7761422</v>
      </c>
      <c r="W116" s="1083">
        <v>7761422</v>
      </c>
      <c r="X116" s="1083">
        <f t="shared" si="27"/>
        <v>0</v>
      </c>
      <c r="Y116" s="1083"/>
      <c r="Z116" s="1083"/>
      <c r="AA116" s="1083"/>
      <c r="AB116" s="1083"/>
      <c r="AC116" s="1083"/>
      <c r="AD116" s="1083"/>
      <c r="AE116" s="1083"/>
      <c r="AF116" s="1083"/>
      <c r="AG116" s="1083"/>
      <c r="AH116" s="1083" t="s">
        <v>49</v>
      </c>
      <c r="AI116" s="1083" t="s">
        <v>1299</v>
      </c>
    </row>
    <row r="117" spans="1:35" s="1080" customFormat="1" ht="25.5">
      <c r="A117" s="294"/>
      <c r="B117" s="294"/>
      <c r="C117" s="1094" t="s">
        <v>852</v>
      </c>
      <c r="D117" s="1095" t="s">
        <v>211</v>
      </c>
      <c r="E117" s="1095" t="s">
        <v>466</v>
      </c>
      <c r="F117" s="1095" t="s">
        <v>521</v>
      </c>
      <c r="G117" s="1095"/>
      <c r="H117" s="1095"/>
      <c r="I117" s="1139">
        <v>3012903.6</v>
      </c>
      <c r="J117" s="1139"/>
      <c r="K117" s="1139"/>
      <c r="L117" s="1139"/>
      <c r="M117" s="1139"/>
      <c r="N117" s="1183">
        <f t="shared" si="21"/>
        <v>3012903.6</v>
      </c>
      <c r="O117" s="1110"/>
      <c r="P117" s="1110"/>
      <c r="Q117" s="1139"/>
      <c r="R117" s="1139"/>
      <c r="S117" s="1183">
        <f t="shared" si="22"/>
        <v>0</v>
      </c>
      <c r="T117" s="1727">
        <f t="shared" si="23"/>
        <v>3012903.6</v>
      </c>
      <c r="U117" s="1083">
        <v>3012903.6</v>
      </c>
      <c r="V117" s="1083">
        <v>3012903.6</v>
      </c>
      <c r="W117" s="1083">
        <v>3012903.6</v>
      </c>
      <c r="X117" s="1083">
        <f t="shared" si="27"/>
        <v>0</v>
      </c>
      <c r="Y117" s="1083"/>
      <c r="Z117" s="1083"/>
      <c r="AA117" s="1083"/>
      <c r="AB117" s="1083"/>
      <c r="AC117" s="1083"/>
      <c r="AD117" s="1083"/>
      <c r="AE117" s="1083"/>
      <c r="AF117" s="1083"/>
      <c r="AG117" s="1083"/>
      <c r="AH117" s="1083" t="s">
        <v>49</v>
      </c>
      <c r="AI117" s="1083" t="s">
        <v>1299</v>
      </c>
    </row>
    <row r="118" spans="1:35" s="1080" customFormat="1" ht="38.25">
      <c r="A118" s="294"/>
      <c r="B118" s="294"/>
      <c r="C118" s="1094" t="s">
        <v>642</v>
      </c>
      <c r="D118" s="1095" t="s">
        <v>211</v>
      </c>
      <c r="E118" s="1095" t="s">
        <v>466</v>
      </c>
      <c r="F118" s="1095" t="s">
        <v>521</v>
      </c>
      <c r="G118" s="1095"/>
      <c r="H118" s="1095"/>
      <c r="I118" s="1117">
        <f>26078498.4-6853849.17200001</f>
        <v>19224649.227999989</v>
      </c>
      <c r="J118" s="1139"/>
      <c r="K118" s="1139"/>
      <c r="L118" s="1139"/>
      <c r="M118" s="1139"/>
      <c r="N118" s="1183">
        <f t="shared" si="21"/>
        <v>19224649.227999989</v>
      </c>
      <c r="O118" s="1139"/>
      <c r="P118" s="1139"/>
      <c r="Q118" s="1139"/>
      <c r="R118" s="1139"/>
      <c r="S118" s="1183">
        <f t="shared" si="22"/>
        <v>0</v>
      </c>
      <c r="T118" s="1727">
        <f t="shared" si="23"/>
        <v>19224649.227999989</v>
      </c>
      <c r="U118" s="1083">
        <v>19224649.227999989</v>
      </c>
      <c r="V118" s="1083">
        <v>19224649.227999989</v>
      </c>
      <c r="W118" s="1083">
        <v>19224649.227999989</v>
      </c>
      <c r="X118" s="1083">
        <f t="shared" si="27"/>
        <v>0</v>
      </c>
      <c r="Y118" s="1083"/>
      <c r="Z118" s="1083"/>
      <c r="AA118" s="1083"/>
      <c r="AB118" s="1083"/>
      <c r="AC118" s="1083"/>
      <c r="AD118" s="1083"/>
      <c r="AE118" s="1083"/>
      <c r="AF118" s="1083"/>
      <c r="AG118" s="1083"/>
      <c r="AH118" s="1083" t="s">
        <v>49</v>
      </c>
      <c r="AI118" s="1083" t="s">
        <v>1299</v>
      </c>
    </row>
    <row r="119" spans="1:35" s="1080" customFormat="1" ht="24.75" customHeight="1">
      <c r="A119" s="294"/>
      <c r="B119" s="294"/>
      <c r="C119" s="1094" t="s">
        <v>643</v>
      </c>
      <c r="D119" s="1095" t="s">
        <v>211</v>
      </c>
      <c r="E119" s="1095" t="s">
        <v>466</v>
      </c>
      <c r="F119" s="1095" t="s">
        <v>521</v>
      </c>
      <c r="G119" s="1095"/>
      <c r="H119" s="1095"/>
      <c r="I119" s="1117">
        <f>53423825.2-734426.276000001</f>
        <v>52689398.924000002</v>
      </c>
      <c r="J119" s="1139"/>
      <c r="K119" s="1139"/>
      <c r="L119" s="1139"/>
      <c r="M119" s="1139"/>
      <c r="N119" s="1183">
        <f t="shared" si="21"/>
        <v>52689398.924000002</v>
      </c>
      <c r="O119" s="1139"/>
      <c r="P119" s="1139"/>
      <c r="Q119" s="1139"/>
      <c r="R119" s="1139"/>
      <c r="S119" s="1183">
        <f t="shared" si="22"/>
        <v>0</v>
      </c>
      <c r="T119" s="1727">
        <f t="shared" si="23"/>
        <v>52689398.924000002</v>
      </c>
      <c r="U119" s="1083">
        <v>52689398.924000002</v>
      </c>
      <c r="V119" s="1083">
        <v>52689398.924000002</v>
      </c>
      <c r="W119" s="1083">
        <v>52689398.924000002</v>
      </c>
      <c r="X119" s="1083">
        <f t="shared" si="27"/>
        <v>0</v>
      </c>
      <c r="Y119" s="1083"/>
      <c r="Z119" s="1083"/>
      <c r="AA119" s="1083"/>
      <c r="AB119" s="1083"/>
      <c r="AC119" s="1083"/>
      <c r="AD119" s="1083"/>
      <c r="AE119" s="1083"/>
      <c r="AF119" s="1083"/>
      <c r="AG119" s="1083"/>
      <c r="AH119" s="1083" t="s">
        <v>49</v>
      </c>
      <c r="AI119" s="1083" t="s">
        <v>1299</v>
      </c>
    </row>
    <row r="120" spans="1:35" s="150" customFormat="1" ht="24.75" customHeight="1">
      <c r="A120" s="294"/>
      <c r="B120" s="294"/>
      <c r="C120" s="5" t="s">
        <v>853</v>
      </c>
      <c r="D120" s="379" t="s">
        <v>211</v>
      </c>
      <c r="E120" s="379" t="s">
        <v>466</v>
      </c>
      <c r="F120" s="379" t="s">
        <v>521</v>
      </c>
      <c r="G120" s="379"/>
      <c r="H120" s="379"/>
      <c r="I120" s="547">
        <f>9906721.6500001-9906721.6500001</f>
        <v>0</v>
      </c>
      <c r="J120" s="213"/>
      <c r="K120" s="213"/>
      <c r="L120" s="213"/>
      <c r="M120" s="213"/>
      <c r="N120" s="421">
        <f t="shared" si="21"/>
        <v>0</v>
      </c>
      <c r="O120" s="213"/>
      <c r="P120" s="213"/>
      <c r="Q120" s="213"/>
      <c r="R120" s="213"/>
      <c r="S120" s="421">
        <f t="shared" si="22"/>
        <v>0</v>
      </c>
      <c r="T120" s="488">
        <f t="shared" si="23"/>
        <v>0</v>
      </c>
      <c r="U120" s="1025">
        <v>0</v>
      </c>
      <c r="V120" s="1025"/>
      <c r="W120" s="1025"/>
      <c r="X120" s="1025">
        <f t="shared" si="27"/>
        <v>0</v>
      </c>
      <c r="Y120" s="1025"/>
      <c r="Z120" s="1025"/>
      <c r="AA120" s="1025"/>
      <c r="AB120" s="1025"/>
      <c r="AC120" s="1025"/>
      <c r="AD120" s="1025"/>
      <c r="AE120" s="1025"/>
      <c r="AF120" s="1025"/>
      <c r="AG120" s="1025"/>
      <c r="AH120" s="1025" t="s">
        <v>49</v>
      </c>
      <c r="AI120" s="1025" t="s">
        <v>1299</v>
      </c>
    </row>
    <row r="121" spans="1:35" s="1080" customFormat="1" ht="43.5" customHeight="1">
      <c r="A121" s="294"/>
      <c r="B121" s="294"/>
      <c r="C121" s="1094" t="s">
        <v>883</v>
      </c>
      <c r="D121" s="1095" t="s">
        <v>211</v>
      </c>
      <c r="E121" s="1095" t="s">
        <v>466</v>
      </c>
      <c r="F121" s="1095" t="s">
        <v>521</v>
      </c>
      <c r="G121" s="1095"/>
      <c r="H121" s="1095"/>
      <c r="I121" s="1139">
        <f>9906721.6500001+315080</f>
        <v>10221801.650000099</v>
      </c>
      <c r="J121" s="1117"/>
      <c r="K121" s="1117"/>
      <c r="L121" s="1139"/>
      <c r="M121" s="1139"/>
      <c r="N121" s="1183">
        <f t="shared" ref="N121:N153" si="32">+SUM(I121:M121)</f>
        <v>10221801.650000099</v>
      </c>
      <c r="O121" s="1139"/>
      <c r="P121" s="1139"/>
      <c r="Q121" s="1139"/>
      <c r="R121" s="1139"/>
      <c r="S121" s="1183">
        <f t="shared" si="22"/>
        <v>0</v>
      </c>
      <c r="T121" s="1727">
        <f t="shared" si="23"/>
        <v>10221801.650000099</v>
      </c>
      <c r="U121" s="1083">
        <v>10221801.650000099</v>
      </c>
      <c r="V121" s="1083">
        <v>10221801.650000099</v>
      </c>
      <c r="W121" s="1083">
        <v>10221801.650000099</v>
      </c>
      <c r="X121" s="1083">
        <f t="shared" si="27"/>
        <v>0</v>
      </c>
      <c r="Y121" s="1083"/>
      <c r="Z121" s="1083"/>
      <c r="AA121" s="1083"/>
      <c r="AB121" s="1083"/>
      <c r="AC121" s="1083"/>
      <c r="AD121" s="1083"/>
      <c r="AE121" s="1083"/>
      <c r="AF121" s="1083"/>
      <c r="AG121" s="1083"/>
      <c r="AH121" s="1083" t="s">
        <v>49</v>
      </c>
      <c r="AI121" s="1083" t="s">
        <v>1299</v>
      </c>
    </row>
    <row r="122" spans="1:35" s="1080" customFormat="1" ht="25.5">
      <c r="A122" s="294"/>
      <c r="B122" s="294"/>
      <c r="C122" s="1094" t="s">
        <v>644</v>
      </c>
      <c r="D122" s="1095" t="s">
        <v>211</v>
      </c>
      <c r="E122" s="1095" t="s">
        <v>466</v>
      </c>
      <c r="F122" s="1095" t="s">
        <v>521</v>
      </c>
      <c r="G122" s="1095"/>
      <c r="H122" s="1095"/>
      <c r="I122" s="1117">
        <f>28251656.4-282174.199999996</f>
        <v>27969482.200000003</v>
      </c>
      <c r="J122" s="1139"/>
      <c r="K122" s="1139"/>
      <c r="L122" s="1139"/>
      <c r="M122" s="1139"/>
      <c r="N122" s="1183">
        <f t="shared" si="32"/>
        <v>27969482.200000003</v>
      </c>
      <c r="O122" s="1139"/>
      <c r="P122" s="1110"/>
      <c r="Q122" s="1139"/>
      <c r="R122" s="1139"/>
      <c r="S122" s="1183">
        <f t="shared" si="22"/>
        <v>0</v>
      </c>
      <c r="T122" s="1727">
        <f t="shared" si="23"/>
        <v>27969482.200000003</v>
      </c>
      <c r="U122" s="1083">
        <v>27969482.200000003</v>
      </c>
      <c r="V122" s="1083">
        <v>27969482.200000003</v>
      </c>
      <c r="W122" s="1083">
        <v>27969482.200000003</v>
      </c>
      <c r="X122" s="1083">
        <f t="shared" si="27"/>
        <v>0</v>
      </c>
      <c r="Y122" s="1083"/>
      <c r="Z122" s="1083"/>
      <c r="AA122" s="1083"/>
      <c r="AB122" s="1083"/>
      <c r="AC122" s="1083"/>
      <c r="AD122" s="1083"/>
      <c r="AE122" s="1083"/>
      <c r="AF122" s="1083"/>
      <c r="AG122" s="1083"/>
      <c r="AH122" s="1083" t="s">
        <v>49</v>
      </c>
      <c r="AI122" s="1083" t="s">
        <v>1299</v>
      </c>
    </row>
    <row r="123" spans="1:35" s="1080" customFormat="1" ht="25.5">
      <c r="A123" s="294"/>
      <c r="B123" s="294"/>
      <c r="C123" s="1094" t="s">
        <v>644</v>
      </c>
      <c r="D123" s="1095" t="s">
        <v>211</v>
      </c>
      <c r="E123" s="1095" t="s">
        <v>466</v>
      </c>
      <c r="F123" s="1095" t="s">
        <v>521</v>
      </c>
      <c r="G123" s="1095"/>
      <c r="H123" s="1095"/>
      <c r="I123" s="1117">
        <f>28251656.4-2824854.4</f>
        <v>25426802</v>
      </c>
      <c r="J123" s="1139"/>
      <c r="K123" s="1139"/>
      <c r="L123" s="1139"/>
      <c r="M123" s="1139"/>
      <c r="N123" s="1183">
        <f t="shared" si="32"/>
        <v>25426802</v>
      </c>
      <c r="O123" s="1139"/>
      <c r="P123" s="1139"/>
      <c r="Q123" s="1139"/>
      <c r="R123" s="1139"/>
      <c r="S123" s="1183">
        <f t="shared" si="22"/>
        <v>0</v>
      </c>
      <c r="T123" s="1727">
        <f t="shared" si="23"/>
        <v>25426802</v>
      </c>
      <c r="U123" s="1083">
        <v>25426802</v>
      </c>
      <c r="V123" s="1083">
        <v>25426802</v>
      </c>
      <c r="W123" s="1083">
        <v>25426802</v>
      </c>
      <c r="X123" s="1083">
        <f t="shared" si="27"/>
        <v>0</v>
      </c>
      <c r="Y123" s="1083"/>
      <c r="Z123" s="1083"/>
      <c r="AA123" s="1083"/>
      <c r="AB123" s="1083"/>
      <c r="AC123" s="1083"/>
      <c r="AD123" s="1083"/>
      <c r="AE123" s="1083"/>
      <c r="AF123" s="1083"/>
      <c r="AG123" s="1083"/>
      <c r="AH123" s="1083" t="s">
        <v>49</v>
      </c>
      <c r="AI123" s="1083" t="s">
        <v>1299</v>
      </c>
    </row>
    <row r="124" spans="1:35" s="1080" customFormat="1" ht="38.25">
      <c r="A124" s="294"/>
      <c r="B124" s="294"/>
      <c r="C124" s="1094" t="s">
        <v>794</v>
      </c>
      <c r="D124" s="1095" t="s">
        <v>211</v>
      </c>
      <c r="E124" s="1095" t="s">
        <v>466</v>
      </c>
      <c r="F124" s="1095" t="s">
        <v>521</v>
      </c>
      <c r="G124" s="1095"/>
      <c r="H124" s="1095"/>
      <c r="I124" s="1139">
        <f>23180888/2</f>
        <v>11590444</v>
      </c>
      <c r="J124" s="1139"/>
      <c r="K124" s="1139"/>
      <c r="L124" s="1139"/>
      <c r="M124" s="1139"/>
      <c r="N124" s="1183">
        <f t="shared" si="32"/>
        <v>11590444</v>
      </c>
      <c r="O124" s="1139"/>
      <c r="P124" s="1139"/>
      <c r="Q124" s="1139"/>
      <c r="R124" s="1139"/>
      <c r="S124" s="1183">
        <f t="shared" si="22"/>
        <v>0</v>
      </c>
      <c r="T124" s="1727">
        <f t="shared" si="23"/>
        <v>11590444</v>
      </c>
      <c r="U124" s="1083">
        <v>11590444</v>
      </c>
      <c r="V124" s="1083">
        <v>11590444</v>
      </c>
      <c r="W124" s="1083">
        <v>11590444</v>
      </c>
      <c r="X124" s="1083">
        <f t="shared" si="27"/>
        <v>0</v>
      </c>
      <c r="Y124" s="1083"/>
      <c r="Z124" s="1083"/>
      <c r="AA124" s="1083"/>
      <c r="AB124" s="1083"/>
      <c r="AC124" s="1083"/>
      <c r="AD124" s="1083"/>
      <c r="AE124" s="1083"/>
      <c r="AF124" s="1083"/>
      <c r="AG124" s="1083"/>
      <c r="AH124" s="1083" t="s">
        <v>49</v>
      </c>
      <c r="AI124" s="1083" t="s">
        <v>1299</v>
      </c>
    </row>
    <row r="125" spans="1:35" s="1080" customFormat="1" ht="38.25">
      <c r="A125" s="294"/>
      <c r="B125" s="294"/>
      <c r="C125" s="1094" t="s">
        <v>794</v>
      </c>
      <c r="D125" s="1095" t="s">
        <v>211</v>
      </c>
      <c r="E125" s="1095" t="s">
        <v>466</v>
      </c>
      <c r="F125" s="1095" t="s">
        <v>521</v>
      </c>
      <c r="G125" s="1095"/>
      <c r="H125" s="1095"/>
      <c r="I125" s="1139">
        <f>23180888/2</f>
        <v>11590444</v>
      </c>
      <c r="J125" s="1139"/>
      <c r="K125" s="1139"/>
      <c r="L125" s="1139"/>
      <c r="M125" s="1139"/>
      <c r="N125" s="1183">
        <f t="shared" si="32"/>
        <v>11590444</v>
      </c>
      <c r="O125" s="1139"/>
      <c r="P125" s="1139"/>
      <c r="Q125" s="1139"/>
      <c r="R125" s="1139"/>
      <c r="S125" s="1183">
        <f t="shared" si="22"/>
        <v>0</v>
      </c>
      <c r="T125" s="1727">
        <f t="shared" si="23"/>
        <v>11590444</v>
      </c>
      <c r="U125" s="1083">
        <v>11590444</v>
      </c>
      <c r="V125" s="1083">
        <v>11590444</v>
      </c>
      <c r="W125" s="1083">
        <v>11590444</v>
      </c>
      <c r="X125" s="1083">
        <f t="shared" si="27"/>
        <v>0</v>
      </c>
      <c r="Y125" s="1083"/>
      <c r="Z125" s="1083"/>
      <c r="AA125" s="1083"/>
      <c r="AB125" s="1083"/>
      <c r="AC125" s="1083"/>
      <c r="AD125" s="1083"/>
      <c r="AE125" s="1083"/>
      <c r="AF125" s="1083"/>
      <c r="AG125" s="1083"/>
      <c r="AH125" s="1083" t="s">
        <v>49</v>
      </c>
      <c r="AI125" s="1083" t="s">
        <v>1299</v>
      </c>
    </row>
    <row r="126" spans="1:35" s="1080" customFormat="1" ht="38.25">
      <c r="A126" s="294"/>
      <c r="B126" s="294"/>
      <c r="C126" s="1094" t="s">
        <v>794</v>
      </c>
      <c r="D126" s="1095" t="s">
        <v>211</v>
      </c>
      <c r="E126" s="1095" t="s">
        <v>466</v>
      </c>
      <c r="F126" s="1095" t="s">
        <v>521</v>
      </c>
      <c r="G126" s="1095"/>
      <c r="H126" s="1095"/>
      <c r="I126" s="1139">
        <f>23180888/2-102+102</f>
        <v>11590444</v>
      </c>
      <c r="J126" s="1139"/>
      <c r="K126" s="1139"/>
      <c r="L126" s="1139"/>
      <c r="M126" s="1139"/>
      <c r="N126" s="1183">
        <f t="shared" si="32"/>
        <v>11590444</v>
      </c>
      <c r="O126" s="1139"/>
      <c r="P126" s="1139"/>
      <c r="Q126" s="1139"/>
      <c r="R126" s="1139"/>
      <c r="S126" s="1183">
        <f t="shared" si="22"/>
        <v>0</v>
      </c>
      <c r="T126" s="1727">
        <f t="shared" si="23"/>
        <v>11590444</v>
      </c>
      <c r="U126" s="1083">
        <v>11590444</v>
      </c>
      <c r="V126" s="1083">
        <v>11590444</v>
      </c>
      <c r="W126" s="1083">
        <v>11590444</v>
      </c>
      <c r="X126" s="1083">
        <f t="shared" si="27"/>
        <v>0</v>
      </c>
      <c r="Y126" s="1083"/>
      <c r="Z126" s="1083"/>
      <c r="AA126" s="1083"/>
      <c r="AB126" s="1083"/>
      <c r="AC126" s="1083"/>
      <c r="AD126" s="1083"/>
      <c r="AE126" s="1083"/>
      <c r="AF126" s="1083"/>
      <c r="AG126" s="1083"/>
      <c r="AH126" s="1083" t="s">
        <v>49</v>
      </c>
      <c r="AI126" s="1083" t="s">
        <v>1299</v>
      </c>
    </row>
    <row r="127" spans="1:35" s="1080" customFormat="1" ht="38.25">
      <c r="A127" s="294"/>
      <c r="B127" s="294"/>
      <c r="C127" s="1094" t="s">
        <v>794</v>
      </c>
      <c r="D127" s="1095" t="s">
        <v>211</v>
      </c>
      <c r="E127" s="1095" t="s">
        <v>466</v>
      </c>
      <c r="F127" s="1095" t="s">
        <v>521</v>
      </c>
      <c r="G127" s="1095"/>
      <c r="H127" s="1095"/>
      <c r="I127" s="1117">
        <f>30424914.8/2-3622013.4</f>
        <v>11590444</v>
      </c>
      <c r="J127" s="1139"/>
      <c r="K127" s="1139"/>
      <c r="L127" s="1139"/>
      <c r="M127" s="1139"/>
      <c r="N127" s="1183">
        <f t="shared" si="32"/>
        <v>11590444</v>
      </c>
      <c r="O127" s="1139"/>
      <c r="P127" s="1139"/>
      <c r="Q127" s="1139"/>
      <c r="R127" s="1139"/>
      <c r="S127" s="1183">
        <f t="shared" si="22"/>
        <v>0</v>
      </c>
      <c r="T127" s="1727">
        <f t="shared" si="23"/>
        <v>11590444</v>
      </c>
      <c r="U127" s="1083">
        <v>11590444</v>
      </c>
      <c r="V127" s="1083">
        <v>11590444</v>
      </c>
      <c r="W127" s="1083">
        <v>11590444</v>
      </c>
      <c r="X127" s="1083">
        <f t="shared" si="27"/>
        <v>0</v>
      </c>
      <c r="Y127" s="1083"/>
      <c r="Z127" s="1083"/>
      <c r="AA127" s="1083"/>
      <c r="AB127" s="1083"/>
      <c r="AC127" s="1083"/>
      <c r="AD127" s="1083"/>
      <c r="AE127" s="1083"/>
      <c r="AF127" s="1083"/>
      <c r="AG127" s="1083"/>
      <c r="AH127" s="1083" t="s">
        <v>49</v>
      </c>
      <c r="AI127" s="1083" t="s">
        <v>1299</v>
      </c>
    </row>
    <row r="128" spans="1:35" s="1080" customFormat="1" ht="30.75" customHeight="1">
      <c r="A128" s="294"/>
      <c r="B128" s="294"/>
      <c r="C128" s="1380" t="s">
        <v>646</v>
      </c>
      <c r="D128" s="1095" t="s">
        <v>211</v>
      </c>
      <c r="E128" s="1095" t="s">
        <v>466</v>
      </c>
      <c r="F128" s="1095" t="s">
        <v>521</v>
      </c>
      <c r="G128" s="1095"/>
      <c r="H128" s="1095"/>
      <c r="I128" s="1117">
        <v>48310923.800000004</v>
      </c>
      <c r="J128" s="1139"/>
      <c r="K128" s="1139"/>
      <c r="L128" s="1139"/>
      <c r="M128" s="1139"/>
      <c r="N128" s="1183">
        <f t="shared" si="32"/>
        <v>48310923.800000004</v>
      </c>
      <c r="O128" s="1110"/>
      <c r="P128" s="1110"/>
      <c r="Q128" s="1110"/>
      <c r="R128" s="1110"/>
      <c r="S128" s="1183">
        <f t="shared" si="22"/>
        <v>0</v>
      </c>
      <c r="T128" s="1347">
        <f t="shared" si="23"/>
        <v>48310923.800000004</v>
      </c>
      <c r="U128" s="1083">
        <v>48310923.800000004</v>
      </c>
      <c r="V128" s="1083">
        <v>48310923.800000004</v>
      </c>
      <c r="W128" s="1083">
        <v>48310923.800000004</v>
      </c>
      <c r="X128" s="1083">
        <f t="shared" si="27"/>
        <v>0</v>
      </c>
      <c r="Y128" s="1083"/>
      <c r="Z128" s="1083"/>
      <c r="AA128" s="1083"/>
      <c r="AB128" s="1083"/>
      <c r="AC128" s="1083"/>
      <c r="AD128" s="1083"/>
      <c r="AE128" s="1083"/>
      <c r="AF128" s="1083"/>
      <c r="AG128" s="1083"/>
      <c r="AH128" s="1083" t="s">
        <v>49</v>
      </c>
      <c r="AI128" s="1083" t="s">
        <v>1299</v>
      </c>
    </row>
    <row r="129" spans="1:35" s="150" customFormat="1" ht="25.5">
      <c r="A129" s="294"/>
      <c r="B129" s="294"/>
      <c r="C129" s="35" t="s">
        <v>656</v>
      </c>
      <c r="D129" s="379" t="s">
        <v>211</v>
      </c>
      <c r="E129" s="379" t="s">
        <v>466</v>
      </c>
      <c r="F129" s="379" t="s">
        <v>521</v>
      </c>
      <c r="G129" s="379"/>
      <c r="H129" s="379"/>
      <c r="I129" s="547">
        <v>0</v>
      </c>
      <c r="J129" s="213"/>
      <c r="K129" s="213"/>
      <c r="L129" s="213"/>
      <c r="M129" s="213"/>
      <c r="N129" s="421">
        <f t="shared" si="32"/>
        <v>0</v>
      </c>
      <c r="O129" s="482"/>
      <c r="P129" s="482"/>
      <c r="Q129" s="482"/>
      <c r="R129" s="482"/>
      <c r="S129" s="421">
        <f t="shared" si="22"/>
        <v>0</v>
      </c>
      <c r="T129" s="761">
        <f t="shared" si="23"/>
        <v>0</v>
      </c>
      <c r="U129" s="1025">
        <v>0</v>
      </c>
      <c r="V129" s="1025"/>
      <c r="W129" s="1025"/>
      <c r="X129" s="1025">
        <f t="shared" si="27"/>
        <v>0</v>
      </c>
      <c r="Y129" s="1025"/>
      <c r="Z129" s="1025"/>
      <c r="AA129" s="1025"/>
      <c r="AB129" s="1025"/>
      <c r="AC129" s="1025"/>
      <c r="AD129" s="1025"/>
      <c r="AE129" s="1025"/>
      <c r="AF129" s="1025"/>
      <c r="AG129" s="1025"/>
      <c r="AH129" s="1025" t="s">
        <v>49</v>
      </c>
      <c r="AI129" s="1025" t="s">
        <v>1299</v>
      </c>
    </row>
    <row r="130" spans="1:35" s="1080" customFormat="1" ht="38.25">
      <c r="A130" s="294"/>
      <c r="B130" s="294"/>
      <c r="C130" s="1380" t="s">
        <v>854</v>
      </c>
      <c r="D130" s="1095" t="s">
        <v>211</v>
      </c>
      <c r="E130" s="1095" t="s">
        <v>466</v>
      </c>
      <c r="F130" s="1095" t="s">
        <v>521</v>
      </c>
      <c r="G130" s="1095"/>
      <c r="H130" s="1095"/>
      <c r="I130" s="1117">
        <v>12913046</v>
      </c>
      <c r="J130" s="1139"/>
      <c r="K130" s="1139"/>
      <c r="L130" s="1139"/>
      <c r="M130" s="1139"/>
      <c r="N130" s="1183">
        <f t="shared" si="32"/>
        <v>12913046</v>
      </c>
      <c r="O130" s="1110"/>
      <c r="P130" s="1110"/>
      <c r="Q130" s="1110"/>
      <c r="R130" s="1110"/>
      <c r="S130" s="1183">
        <f t="shared" si="22"/>
        <v>0</v>
      </c>
      <c r="T130" s="1347">
        <f t="shared" si="23"/>
        <v>12913046</v>
      </c>
      <c r="U130" s="1083">
        <v>12913046</v>
      </c>
      <c r="V130" s="1083">
        <v>12913046</v>
      </c>
      <c r="W130" s="1083">
        <v>12913046</v>
      </c>
      <c r="X130" s="1083">
        <f t="shared" si="27"/>
        <v>0</v>
      </c>
      <c r="Y130" s="1083"/>
      <c r="Z130" s="1083"/>
      <c r="AA130" s="1083"/>
      <c r="AB130" s="1083"/>
      <c r="AC130" s="1083"/>
      <c r="AD130" s="1083"/>
      <c r="AE130" s="1083"/>
      <c r="AF130" s="1083"/>
      <c r="AG130" s="1083"/>
      <c r="AH130" s="1083" t="s">
        <v>49</v>
      </c>
      <c r="AI130" s="1083" t="s">
        <v>1299</v>
      </c>
    </row>
    <row r="131" spans="1:35" s="1080" customFormat="1" ht="28.5" customHeight="1">
      <c r="A131" s="294"/>
      <c r="B131" s="294"/>
      <c r="C131" s="1094" t="s">
        <v>680</v>
      </c>
      <c r="D131" s="1671" t="s">
        <v>211</v>
      </c>
      <c r="E131" s="1096" t="s">
        <v>466</v>
      </c>
      <c r="F131" s="1095" t="s">
        <v>521</v>
      </c>
      <c r="G131" s="1095"/>
      <c r="H131" s="1095"/>
      <c r="I131" s="1139">
        <f>4346416.4-43473.2000000001</f>
        <v>4302943.2</v>
      </c>
      <c r="J131" s="1139"/>
      <c r="K131" s="1139"/>
      <c r="L131" s="1139"/>
      <c r="M131" s="1139"/>
      <c r="N131" s="1183">
        <f t="shared" si="32"/>
        <v>4302943.2</v>
      </c>
      <c r="O131" s="1110"/>
      <c r="P131" s="1110"/>
      <c r="Q131" s="1110"/>
      <c r="R131" s="1110"/>
      <c r="S131" s="1183">
        <f t="shared" si="22"/>
        <v>0</v>
      </c>
      <c r="T131" s="1347">
        <f t="shared" si="23"/>
        <v>4302943.2</v>
      </c>
      <c r="U131" s="1083">
        <v>4302943.2</v>
      </c>
      <c r="V131" s="1083">
        <v>4302943.2</v>
      </c>
      <c r="W131" s="1083">
        <v>4302943.2</v>
      </c>
      <c r="X131" s="1083">
        <f t="shared" si="27"/>
        <v>0</v>
      </c>
      <c r="Y131" s="1083"/>
      <c r="Z131" s="1083"/>
      <c r="AA131" s="1083"/>
      <c r="AB131" s="1083"/>
      <c r="AC131" s="1083"/>
      <c r="AD131" s="1083"/>
      <c r="AE131" s="1083"/>
      <c r="AF131" s="1083"/>
      <c r="AG131" s="1083"/>
      <c r="AH131" s="1083" t="s">
        <v>49</v>
      </c>
      <c r="AI131" s="1083" t="s">
        <v>1299</v>
      </c>
    </row>
    <row r="132" spans="1:35" s="1080" customFormat="1" ht="25.5">
      <c r="A132" s="294"/>
      <c r="B132" s="294"/>
      <c r="C132" s="1094" t="s">
        <v>473</v>
      </c>
      <c r="D132" s="1095" t="s">
        <v>211</v>
      </c>
      <c r="E132" s="1095" t="s">
        <v>466</v>
      </c>
      <c r="F132" s="1095" t="s">
        <v>521</v>
      </c>
      <c r="G132" s="1095"/>
      <c r="H132" s="1095"/>
      <c r="I132" s="1117">
        <f>21732082-6356700.5-315080.300000001</f>
        <v>15060301.199999999</v>
      </c>
      <c r="J132" s="1139"/>
      <c r="K132" s="1139"/>
      <c r="L132" s="1139"/>
      <c r="M132" s="1139"/>
      <c r="N132" s="1183">
        <f t="shared" si="32"/>
        <v>15060301.199999999</v>
      </c>
      <c r="O132" s="1110"/>
      <c r="P132" s="1110"/>
      <c r="Q132" s="1110"/>
      <c r="R132" s="1110"/>
      <c r="S132" s="1183">
        <f t="shared" si="22"/>
        <v>0</v>
      </c>
      <c r="T132" s="1347">
        <f t="shared" si="23"/>
        <v>15060301.199999999</v>
      </c>
      <c r="U132" s="1083">
        <v>15060301.199999999</v>
      </c>
      <c r="V132" s="1083">
        <v>15060301.199999999</v>
      </c>
      <c r="W132" s="1083">
        <v>15060301.199999999</v>
      </c>
      <c r="X132" s="1083">
        <f t="shared" si="27"/>
        <v>0</v>
      </c>
      <c r="Y132" s="1083"/>
      <c r="Z132" s="1083"/>
      <c r="AA132" s="1083"/>
      <c r="AB132" s="1083"/>
      <c r="AC132" s="1083"/>
      <c r="AD132" s="1083"/>
      <c r="AE132" s="1083"/>
      <c r="AF132" s="1083"/>
      <c r="AG132" s="1083"/>
      <c r="AH132" s="1083" t="s">
        <v>49</v>
      </c>
      <c r="AI132" s="1083" t="s">
        <v>1299</v>
      </c>
    </row>
    <row r="133" spans="1:35" s="1080" customFormat="1" ht="25.5">
      <c r="A133" s="294"/>
      <c r="B133" s="294"/>
      <c r="C133" s="1094" t="s">
        <v>474</v>
      </c>
      <c r="D133" s="1095" t="s">
        <v>211</v>
      </c>
      <c r="E133" s="1095" t="s">
        <v>466</v>
      </c>
      <c r="F133" s="1095" t="s">
        <v>521</v>
      </c>
      <c r="G133" s="1095"/>
      <c r="H133" s="1095"/>
      <c r="I133" s="1117">
        <f>21732082-6356700.5-315080.300000001</f>
        <v>15060301.199999999</v>
      </c>
      <c r="J133" s="1139"/>
      <c r="K133" s="1139"/>
      <c r="L133" s="1139"/>
      <c r="M133" s="1139"/>
      <c r="N133" s="1183">
        <f t="shared" si="32"/>
        <v>15060301.199999999</v>
      </c>
      <c r="O133" s="1110"/>
      <c r="P133" s="1110"/>
      <c r="Q133" s="1110"/>
      <c r="R133" s="1110"/>
      <c r="S133" s="1183">
        <f t="shared" si="22"/>
        <v>0</v>
      </c>
      <c r="T133" s="1347">
        <f t="shared" si="23"/>
        <v>15060301.199999999</v>
      </c>
      <c r="U133" s="1083">
        <v>15060301.199999999</v>
      </c>
      <c r="V133" s="1083">
        <v>15060301.199999999</v>
      </c>
      <c r="W133" s="1083">
        <v>15060301.199999999</v>
      </c>
      <c r="X133" s="1083">
        <f t="shared" si="27"/>
        <v>0</v>
      </c>
      <c r="Y133" s="1083"/>
      <c r="Z133" s="1083"/>
      <c r="AA133" s="1083"/>
      <c r="AB133" s="1083"/>
      <c r="AC133" s="1083"/>
      <c r="AD133" s="1083"/>
      <c r="AE133" s="1083"/>
      <c r="AF133" s="1083"/>
      <c r="AG133" s="1083"/>
      <c r="AH133" s="1083" t="s">
        <v>49</v>
      </c>
      <c r="AI133" s="1083" t="s">
        <v>1299</v>
      </c>
    </row>
    <row r="134" spans="1:35" s="1080" customFormat="1" ht="25.5">
      <c r="A134" s="294"/>
      <c r="B134" s="294"/>
      <c r="C134" s="1094" t="s">
        <v>648</v>
      </c>
      <c r="D134" s="1095" t="s">
        <v>211</v>
      </c>
      <c r="E134" s="1095" t="s">
        <v>466</v>
      </c>
      <c r="F134" s="1095" t="s">
        <v>521</v>
      </c>
      <c r="G134" s="1095"/>
      <c r="H134" s="1095"/>
      <c r="I134" s="1117">
        <f>11952645.1-239102.600000001</f>
        <v>11713542.499999998</v>
      </c>
      <c r="J134" s="1139"/>
      <c r="K134" s="1139"/>
      <c r="L134" s="1139"/>
      <c r="M134" s="1139"/>
      <c r="N134" s="1183">
        <f t="shared" si="32"/>
        <v>11713542.499999998</v>
      </c>
      <c r="O134" s="1139"/>
      <c r="P134" s="1139"/>
      <c r="Q134" s="1139"/>
      <c r="R134" s="1139"/>
      <c r="S134" s="1183">
        <f t="shared" si="22"/>
        <v>0</v>
      </c>
      <c r="T134" s="1347">
        <f t="shared" si="23"/>
        <v>11713542.499999998</v>
      </c>
      <c r="U134" s="1083">
        <v>11713542.499999998</v>
      </c>
      <c r="V134" s="1083">
        <v>11713542.499999998</v>
      </c>
      <c r="W134" s="1083">
        <v>11713542.499999998</v>
      </c>
      <c r="X134" s="1083">
        <f t="shared" si="27"/>
        <v>0</v>
      </c>
      <c r="Y134" s="1083"/>
      <c r="Z134" s="1083"/>
      <c r="AA134" s="1083"/>
      <c r="AB134" s="1083"/>
      <c r="AC134" s="1083"/>
      <c r="AD134" s="1083"/>
      <c r="AE134" s="1083"/>
      <c r="AF134" s="1083"/>
      <c r="AG134" s="1083"/>
      <c r="AH134" s="1083" t="s">
        <v>49</v>
      </c>
      <c r="AI134" s="1083" t="s">
        <v>1299</v>
      </c>
    </row>
    <row r="135" spans="1:35" s="1080" customFormat="1" ht="15">
      <c r="A135" s="294"/>
      <c r="B135" s="294"/>
      <c r="C135" s="1094" t="s">
        <v>681</v>
      </c>
      <c r="D135" s="1095" t="s">
        <v>471</v>
      </c>
      <c r="E135" s="1095" t="s">
        <v>466</v>
      </c>
      <c r="F135" s="1095" t="s">
        <v>521</v>
      </c>
      <c r="G135" s="1095"/>
      <c r="H135" s="1095"/>
      <c r="I135" s="1117">
        <v>12713401.000000002</v>
      </c>
      <c r="J135" s="1139"/>
      <c r="K135" s="1139"/>
      <c r="L135" s="1139"/>
      <c r="M135" s="1139"/>
      <c r="N135" s="1183">
        <f t="shared" si="32"/>
        <v>12713401.000000002</v>
      </c>
      <c r="O135" s="1139"/>
      <c r="P135" s="1139"/>
      <c r="Q135" s="1139"/>
      <c r="R135" s="1139"/>
      <c r="S135" s="1183">
        <f t="shared" si="22"/>
        <v>0</v>
      </c>
      <c r="T135" s="1347">
        <f t="shared" si="23"/>
        <v>12713401.000000002</v>
      </c>
      <c r="U135" s="1083">
        <v>12713401.000000002</v>
      </c>
      <c r="V135" s="1083">
        <v>12713401.000000002</v>
      </c>
      <c r="W135" s="1083">
        <v>12713401.000000002</v>
      </c>
      <c r="X135" s="1083">
        <f t="shared" si="27"/>
        <v>0</v>
      </c>
      <c r="Y135" s="1083"/>
      <c r="Z135" s="1083"/>
      <c r="AA135" s="1083"/>
      <c r="AB135" s="1083"/>
      <c r="AC135" s="1083"/>
      <c r="AD135" s="1083"/>
      <c r="AE135" s="1083"/>
      <c r="AF135" s="1083"/>
      <c r="AG135" s="1083"/>
      <c r="AH135" s="1083" t="s">
        <v>49</v>
      </c>
      <c r="AI135" s="1083" t="s">
        <v>1299</v>
      </c>
    </row>
    <row r="136" spans="1:35" s="150" customFormat="1" ht="19.5" customHeight="1">
      <c r="A136" s="294"/>
      <c r="B136" s="294"/>
      <c r="C136" s="5" t="s">
        <v>898</v>
      </c>
      <c r="D136" s="379" t="s">
        <v>471</v>
      </c>
      <c r="E136" s="379" t="s">
        <v>466</v>
      </c>
      <c r="F136" s="379"/>
      <c r="G136" s="379"/>
      <c r="H136" s="379"/>
      <c r="I136" s="547"/>
      <c r="J136" s="213"/>
      <c r="K136" s="213"/>
      <c r="L136" s="213"/>
      <c r="M136" s="213"/>
      <c r="N136" s="421">
        <f t="shared" si="32"/>
        <v>0</v>
      </c>
      <c r="O136" s="213"/>
      <c r="P136" s="213">
        <v>10240800</v>
      </c>
      <c r="Q136" s="213"/>
      <c r="R136" s="213"/>
      <c r="S136" s="421">
        <f t="shared" si="22"/>
        <v>10240800</v>
      </c>
      <c r="T136" s="761">
        <f t="shared" si="23"/>
        <v>10240800</v>
      </c>
      <c r="U136" s="1025">
        <v>10240800</v>
      </c>
      <c r="V136" s="1025"/>
      <c r="W136" s="1025"/>
      <c r="X136" s="1025">
        <f t="shared" si="27"/>
        <v>10240800</v>
      </c>
      <c r="Y136" s="1025"/>
      <c r="Z136" s="1025"/>
      <c r="AA136" s="1025"/>
      <c r="AB136" s="1025"/>
      <c r="AC136" s="1025"/>
      <c r="AD136" s="1025"/>
      <c r="AE136" s="1025">
        <v>10240800</v>
      </c>
      <c r="AF136" s="1025"/>
      <c r="AG136" s="1025"/>
      <c r="AH136" s="1025" t="s">
        <v>49</v>
      </c>
      <c r="AI136" s="1025" t="s">
        <v>1299</v>
      </c>
    </row>
    <row r="137" spans="1:35" s="1080" customFormat="1" ht="25.5">
      <c r="A137" s="294"/>
      <c r="B137" s="294"/>
      <c r="C137" s="1094" t="s">
        <v>516</v>
      </c>
      <c r="D137" s="1095" t="s">
        <v>211</v>
      </c>
      <c r="E137" s="1095" t="s">
        <v>466</v>
      </c>
      <c r="F137" s="1095" t="s">
        <v>521</v>
      </c>
      <c r="G137" s="1095"/>
      <c r="H137" s="1095"/>
      <c r="I137" s="1117">
        <v>40046598</v>
      </c>
      <c r="J137" s="1139"/>
      <c r="K137" s="1139"/>
      <c r="L137" s="1139"/>
      <c r="M137" s="1139"/>
      <c r="N137" s="1183">
        <f t="shared" si="32"/>
        <v>40046598</v>
      </c>
      <c r="O137" s="1139"/>
      <c r="P137" s="1139"/>
      <c r="Q137" s="1139"/>
      <c r="R137" s="1139"/>
      <c r="S137" s="1183">
        <f t="shared" si="22"/>
        <v>0</v>
      </c>
      <c r="T137" s="1347">
        <f t="shared" si="23"/>
        <v>40046598</v>
      </c>
      <c r="U137" s="1083">
        <v>40046598</v>
      </c>
      <c r="V137" s="1083">
        <v>40046598</v>
      </c>
      <c r="W137" s="1083">
        <v>40046598</v>
      </c>
      <c r="X137" s="1083">
        <f t="shared" si="27"/>
        <v>0</v>
      </c>
      <c r="Y137" s="1083"/>
      <c r="Z137" s="1083"/>
      <c r="AA137" s="1083"/>
      <c r="AB137" s="1083"/>
      <c r="AC137" s="1083"/>
      <c r="AD137" s="1083"/>
      <c r="AE137" s="1083"/>
      <c r="AF137" s="1083"/>
      <c r="AG137" s="1083"/>
      <c r="AH137" s="1083" t="s">
        <v>49</v>
      </c>
      <c r="AI137" s="1083" t="s">
        <v>1299</v>
      </c>
    </row>
    <row r="138" spans="1:35" s="1080" customFormat="1" ht="22.5" customHeight="1">
      <c r="A138" s="294"/>
      <c r="B138" s="294"/>
      <c r="C138" s="1094" t="s">
        <v>899</v>
      </c>
      <c r="D138" s="1095" t="s">
        <v>211</v>
      </c>
      <c r="E138" s="1095" t="s">
        <v>466</v>
      </c>
      <c r="F138" s="1095"/>
      <c r="G138" s="1095"/>
      <c r="H138" s="1132"/>
      <c r="I138" s="1139"/>
      <c r="J138" s="1139"/>
      <c r="K138" s="1139"/>
      <c r="L138" s="1139"/>
      <c r="M138" s="1139"/>
      <c r="N138" s="1183">
        <f t="shared" si="32"/>
        <v>0</v>
      </c>
      <c r="O138" s="1139"/>
      <c r="P138" s="1139">
        <f>4285800*4*1.004-10000000</f>
        <v>7211772.8000000007</v>
      </c>
      <c r="Q138" s="1139"/>
      <c r="R138" s="1139"/>
      <c r="S138" s="1183">
        <f t="shared" si="22"/>
        <v>7211772.8000000007</v>
      </c>
      <c r="T138" s="1347">
        <f t="shared" si="23"/>
        <v>7211772.8000000007</v>
      </c>
      <c r="U138" s="1083">
        <v>7211772.8000000007</v>
      </c>
      <c r="V138" s="1083">
        <v>7211772.8000000007</v>
      </c>
      <c r="W138" s="1083">
        <v>7211772.8000000007</v>
      </c>
      <c r="X138" s="1083">
        <f t="shared" si="27"/>
        <v>0</v>
      </c>
      <c r="Y138" s="1083"/>
      <c r="Z138" s="1083"/>
      <c r="AA138" s="1083"/>
      <c r="AB138" s="1083"/>
      <c r="AC138" s="1083"/>
      <c r="AD138" s="1083"/>
      <c r="AE138" s="1083"/>
      <c r="AF138" s="1083"/>
      <c r="AG138" s="1083"/>
      <c r="AH138" s="1083" t="s">
        <v>49</v>
      </c>
      <c r="AI138" s="1083" t="s">
        <v>1299</v>
      </c>
    </row>
    <row r="139" spans="1:35" s="1080" customFormat="1" ht="25.5">
      <c r="A139" s="294"/>
      <c r="B139" s="294"/>
      <c r="C139" s="1094" t="s">
        <v>884</v>
      </c>
      <c r="D139" s="1095" t="s">
        <v>471</v>
      </c>
      <c r="E139" s="1095" t="s">
        <v>475</v>
      </c>
      <c r="F139" s="1095" t="s">
        <v>521</v>
      </c>
      <c r="G139" s="1095"/>
      <c r="H139" s="1095"/>
      <c r="I139" s="1117"/>
      <c r="J139" s="1139">
        <f>13705804.8+4253546</f>
        <v>17959350.800000001</v>
      </c>
      <c r="K139" s="1139"/>
      <c r="L139" s="1139"/>
      <c r="M139" s="1139"/>
      <c r="N139" s="1183">
        <f t="shared" si="32"/>
        <v>17959350.800000001</v>
      </c>
      <c r="O139" s="1139"/>
      <c r="P139" s="1139"/>
      <c r="Q139" s="1139"/>
      <c r="R139" s="1139"/>
      <c r="S139" s="1183">
        <f t="shared" si="22"/>
        <v>0</v>
      </c>
      <c r="T139" s="1347">
        <f t="shared" si="23"/>
        <v>17959350.800000001</v>
      </c>
      <c r="U139" s="1083">
        <v>17959350.800000001</v>
      </c>
      <c r="V139" s="1083">
        <v>17959350.800000001</v>
      </c>
      <c r="W139" s="1083">
        <v>17959350.800000001</v>
      </c>
      <c r="X139" s="1083">
        <f t="shared" si="27"/>
        <v>0</v>
      </c>
      <c r="Y139" s="1083"/>
      <c r="Z139" s="1083"/>
      <c r="AA139" s="1083"/>
      <c r="AB139" s="1083"/>
      <c r="AC139" s="1083"/>
      <c r="AD139" s="1083"/>
      <c r="AE139" s="1083"/>
      <c r="AF139" s="1083"/>
      <c r="AG139" s="1083"/>
      <c r="AH139" s="1083" t="s">
        <v>49</v>
      </c>
      <c r="AI139" s="1083" t="s">
        <v>1299</v>
      </c>
    </row>
    <row r="140" spans="1:35" s="1080" customFormat="1" ht="21.75" customHeight="1">
      <c r="A140" s="294"/>
      <c r="B140" s="294"/>
      <c r="C140" s="1094" t="s">
        <v>654</v>
      </c>
      <c r="D140" s="1095" t="s">
        <v>471</v>
      </c>
      <c r="E140" s="1095" t="s">
        <v>475</v>
      </c>
      <c r="F140" s="1095" t="s">
        <v>521</v>
      </c>
      <c r="G140" s="1095"/>
      <c r="H140" s="1095"/>
      <c r="I140" s="1117"/>
      <c r="J140" s="1139">
        <v>10660070.4</v>
      </c>
      <c r="K140" s="1139"/>
      <c r="L140" s="1139"/>
      <c r="M140" s="1139"/>
      <c r="N140" s="1183">
        <f t="shared" si="32"/>
        <v>10660070.4</v>
      </c>
      <c r="O140" s="1139"/>
      <c r="P140" s="1139"/>
      <c r="Q140" s="1139"/>
      <c r="R140" s="1139"/>
      <c r="S140" s="1183">
        <f t="shared" si="22"/>
        <v>0</v>
      </c>
      <c r="T140" s="1347">
        <f t="shared" si="23"/>
        <v>10660070.4</v>
      </c>
      <c r="U140" s="1083">
        <v>10660070.4</v>
      </c>
      <c r="V140" s="1083">
        <v>10660070.4</v>
      </c>
      <c r="W140" s="1083">
        <v>10660070.4</v>
      </c>
      <c r="X140" s="1083">
        <f t="shared" si="27"/>
        <v>0</v>
      </c>
      <c r="Y140" s="1083"/>
      <c r="Z140" s="1083"/>
      <c r="AA140" s="1083"/>
      <c r="AB140" s="1083"/>
      <c r="AC140" s="1083"/>
      <c r="AD140" s="1083"/>
      <c r="AE140" s="1083"/>
      <c r="AF140" s="1083"/>
      <c r="AG140" s="1083"/>
      <c r="AH140" s="1083" t="s">
        <v>49</v>
      </c>
      <c r="AI140" s="1083" t="s">
        <v>1299</v>
      </c>
    </row>
    <row r="141" spans="1:35" s="1641" customFormat="1" ht="35.25" customHeight="1">
      <c r="A141" s="294"/>
      <c r="B141" s="294"/>
      <c r="C141" s="1634" t="s">
        <v>883</v>
      </c>
      <c r="D141" s="1639" t="s">
        <v>211</v>
      </c>
      <c r="E141" s="1640" t="s">
        <v>466</v>
      </c>
      <c r="F141" s="1635" t="s">
        <v>521</v>
      </c>
      <c r="G141" s="1635"/>
      <c r="H141" s="1635"/>
      <c r="I141" s="1636">
        <v>15205000.349999901</v>
      </c>
      <c r="J141" s="1636"/>
      <c r="K141" s="1636"/>
      <c r="L141" s="1636"/>
      <c r="M141" s="1636"/>
      <c r="N141" s="1642">
        <f t="shared" si="32"/>
        <v>15205000.349999901</v>
      </c>
      <c r="O141" s="1636"/>
      <c r="P141" s="1636"/>
      <c r="Q141" s="1636"/>
      <c r="R141" s="1636"/>
      <c r="S141" s="1642">
        <f t="shared" si="22"/>
        <v>0</v>
      </c>
      <c r="T141" s="1643">
        <f t="shared" si="23"/>
        <v>15205000.349999901</v>
      </c>
      <c r="U141" s="1644">
        <v>15205000</v>
      </c>
      <c r="V141" s="1644">
        <v>15205000</v>
      </c>
      <c r="W141" s="1644">
        <v>15205000</v>
      </c>
      <c r="X141" s="1644">
        <f>+U141-W141</f>
        <v>0</v>
      </c>
      <c r="Y141" s="1644"/>
      <c r="Z141" s="1644"/>
      <c r="AA141" s="1644"/>
      <c r="AB141" s="1644"/>
      <c r="AC141" s="1644"/>
      <c r="AD141" s="1644"/>
      <c r="AE141" s="1644"/>
      <c r="AF141" s="1644"/>
      <c r="AG141" s="1644"/>
      <c r="AH141" s="1644" t="s">
        <v>58</v>
      </c>
      <c r="AI141" s="1644" t="s">
        <v>1348</v>
      </c>
    </row>
    <row r="142" spans="1:35" s="1641" customFormat="1" ht="31.5" customHeight="1">
      <c r="A142" s="294"/>
      <c r="B142" s="294"/>
      <c r="C142" s="1634" t="s">
        <v>888</v>
      </c>
      <c r="D142" s="1639" t="s">
        <v>211</v>
      </c>
      <c r="E142" s="1640" t="s">
        <v>466</v>
      </c>
      <c r="F142" s="1635" t="s">
        <v>521</v>
      </c>
      <c r="G142" s="1635"/>
      <c r="H142" s="1635"/>
      <c r="I142" s="1636">
        <v>19276800</v>
      </c>
      <c r="J142" s="1636"/>
      <c r="K142" s="1636"/>
      <c r="L142" s="1636"/>
      <c r="M142" s="1636"/>
      <c r="N142" s="1642">
        <f t="shared" si="32"/>
        <v>19276800</v>
      </c>
      <c r="O142" s="1636"/>
      <c r="P142" s="1636"/>
      <c r="Q142" s="1636"/>
      <c r="R142" s="1636"/>
      <c r="S142" s="1642">
        <f t="shared" si="22"/>
        <v>0</v>
      </c>
      <c r="T142" s="1643">
        <f t="shared" si="23"/>
        <v>19276800</v>
      </c>
      <c r="U142" s="1644">
        <v>19276800</v>
      </c>
      <c r="V142" s="1644">
        <v>19276800</v>
      </c>
      <c r="W142" s="1644">
        <v>19276800</v>
      </c>
      <c r="X142" s="1644">
        <f>+U142-W142</f>
        <v>0</v>
      </c>
      <c r="Y142" s="1644"/>
      <c r="Z142" s="1644"/>
      <c r="AA142" s="1644"/>
      <c r="AB142" s="1644"/>
      <c r="AC142" s="1644"/>
      <c r="AD142" s="1644"/>
      <c r="AE142" s="1644"/>
      <c r="AF142" s="1644"/>
      <c r="AG142" s="1644"/>
      <c r="AH142" s="1644" t="s">
        <v>58</v>
      </c>
      <c r="AI142" s="1644" t="s">
        <v>1348</v>
      </c>
    </row>
    <row r="143" spans="1:35" s="1641" customFormat="1" ht="30" customHeight="1">
      <c r="A143" s="294"/>
      <c r="B143" s="294"/>
      <c r="C143" s="1634" t="s">
        <v>676</v>
      </c>
      <c r="D143" s="1639" t="s">
        <v>211</v>
      </c>
      <c r="E143" s="1640" t="s">
        <v>466</v>
      </c>
      <c r="F143" s="1635" t="s">
        <v>521</v>
      </c>
      <c r="G143" s="1635"/>
      <c r="H143" s="1635"/>
      <c r="I143" s="1636">
        <v>55938964.400000006</v>
      </c>
      <c r="J143" s="1636"/>
      <c r="K143" s="1636"/>
      <c r="L143" s="1636"/>
      <c r="M143" s="1636"/>
      <c r="N143" s="1642">
        <f t="shared" si="32"/>
        <v>55938964.400000006</v>
      </c>
      <c r="O143" s="1636"/>
      <c r="P143" s="1636"/>
      <c r="Q143" s="1636"/>
      <c r="R143" s="1636"/>
      <c r="S143" s="1642">
        <f t="shared" si="22"/>
        <v>0</v>
      </c>
      <c r="T143" s="1643">
        <f t="shared" si="23"/>
        <v>55938964.400000006</v>
      </c>
      <c r="U143" s="1644">
        <v>55938964.400000006</v>
      </c>
      <c r="V143" s="1644">
        <v>55938965</v>
      </c>
      <c r="W143" s="1644"/>
      <c r="X143" s="1644">
        <f>+U143-V143</f>
        <v>-0.59999999403953552</v>
      </c>
      <c r="Y143" s="1644"/>
      <c r="Z143" s="1644"/>
      <c r="AA143" s="1644"/>
      <c r="AB143" s="1644"/>
      <c r="AC143" s="1644"/>
      <c r="AD143" s="1644"/>
      <c r="AE143" s="1644"/>
      <c r="AF143" s="1644"/>
      <c r="AG143" s="1644"/>
      <c r="AH143" s="1644" t="s">
        <v>58</v>
      </c>
      <c r="AI143" s="1644" t="s">
        <v>1348</v>
      </c>
    </row>
    <row r="144" spans="1:35" s="1641" customFormat="1" ht="21.75" customHeight="1">
      <c r="A144" s="294"/>
      <c r="B144" s="294"/>
      <c r="C144" s="1634" t="s">
        <v>677</v>
      </c>
      <c r="D144" s="1639" t="s">
        <v>211</v>
      </c>
      <c r="E144" s="1640" t="s">
        <v>466</v>
      </c>
      <c r="F144" s="1635" t="s">
        <v>521</v>
      </c>
      <c r="G144" s="1635"/>
      <c r="H144" s="1635"/>
      <c r="I144" s="1636">
        <v>59473144.799999997</v>
      </c>
      <c r="J144" s="1636"/>
      <c r="K144" s="1636"/>
      <c r="L144" s="1636"/>
      <c r="M144" s="1636"/>
      <c r="N144" s="1642">
        <f t="shared" si="32"/>
        <v>59473144.799999997</v>
      </c>
      <c r="O144" s="1636"/>
      <c r="P144" s="1636"/>
      <c r="Q144" s="1636"/>
      <c r="R144" s="1636"/>
      <c r="S144" s="1642">
        <f t="shared" si="22"/>
        <v>0</v>
      </c>
      <c r="T144" s="1643">
        <f t="shared" si="23"/>
        <v>59473144.799999997</v>
      </c>
      <c r="U144" s="1644">
        <v>59473144.799999997</v>
      </c>
      <c r="V144" s="1644">
        <v>59473144.799999997</v>
      </c>
      <c r="W144" s="1644">
        <v>59473144.799999997</v>
      </c>
      <c r="X144" s="1644">
        <f>+U144-W144</f>
        <v>0</v>
      </c>
      <c r="Y144" s="1644"/>
      <c r="Z144" s="1644"/>
      <c r="AA144" s="1644"/>
      <c r="AB144" s="1644"/>
      <c r="AC144" s="1644"/>
      <c r="AD144" s="1644"/>
      <c r="AE144" s="1644"/>
      <c r="AF144" s="1644"/>
      <c r="AG144" s="1644"/>
      <c r="AH144" s="1644" t="s">
        <v>58</v>
      </c>
      <c r="AI144" s="1644" t="s">
        <v>1348</v>
      </c>
    </row>
    <row r="145" spans="1:35" s="1641" customFormat="1" ht="42.75" customHeight="1">
      <c r="A145" s="294"/>
      <c r="B145" s="294"/>
      <c r="C145" s="1634" t="s">
        <v>794</v>
      </c>
      <c r="D145" s="1639" t="s">
        <v>211</v>
      </c>
      <c r="E145" s="1640" t="s">
        <v>466</v>
      </c>
      <c r="F145" s="1635" t="s">
        <v>521</v>
      </c>
      <c r="G145" s="1635"/>
      <c r="H145" s="1635"/>
      <c r="I145" s="1636"/>
      <c r="J145" s="1636"/>
      <c r="K145" s="1636">
        <v>4346416</v>
      </c>
      <c r="L145" s="1636"/>
      <c r="M145" s="1636"/>
      <c r="N145" s="1642">
        <f t="shared" si="32"/>
        <v>4346416</v>
      </c>
      <c r="O145" s="1636"/>
      <c r="P145" s="1636"/>
      <c r="Q145" s="1636"/>
      <c r="R145" s="1636"/>
      <c r="S145" s="1642">
        <f t="shared" si="22"/>
        <v>0</v>
      </c>
      <c r="T145" s="1643">
        <f t="shared" si="23"/>
        <v>4346416</v>
      </c>
      <c r="U145" s="1644">
        <v>4346416</v>
      </c>
      <c r="V145" s="1644">
        <v>4346416</v>
      </c>
      <c r="W145" s="1644"/>
      <c r="X145" s="1644">
        <f t="shared" ref="X145:X147" si="33">+U145-V145</f>
        <v>0</v>
      </c>
      <c r="Y145" s="1644"/>
      <c r="Z145" s="1644"/>
      <c r="AA145" s="1644"/>
      <c r="AB145" s="1644"/>
      <c r="AC145" s="1644"/>
      <c r="AD145" s="1644"/>
      <c r="AE145" s="1644"/>
      <c r="AF145" s="1644"/>
      <c r="AG145" s="1644"/>
      <c r="AH145" s="1644" t="s">
        <v>58</v>
      </c>
      <c r="AI145" s="1644" t="s">
        <v>1348</v>
      </c>
    </row>
    <row r="146" spans="1:35" s="1641" customFormat="1" ht="45" customHeight="1">
      <c r="A146" s="294"/>
      <c r="B146" s="294"/>
      <c r="C146" s="1634" t="s">
        <v>794</v>
      </c>
      <c r="D146" s="1639" t="s">
        <v>211</v>
      </c>
      <c r="E146" s="1640" t="s">
        <v>466</v>
      </c>
      <c r="F146" s="1635" t="s">
        <v>521</v>
      </c>
      <c r="G146" s="1635"/>
      <c r="H146" s="1635"/>
      <c r="I146" s="1636">
        <v>13039248</v>
      </c>
      <c r="J146" s="1636"/>
      <c r="K146" s="1636"/>
      <c r="L146" s="1636"/>
      <c r="M146" s="1636"/>
      <c r="N146" s="1642">
        <f t="shared" si="32"/>
        <v>13039248</v>
      </c>
      <c r="O146" s="1636"/>
      <c r="P146" s="1636"/>
      <c r="Q146" s="1636"/>
      <c r="R146" s="1636"/>
      <c r="S146" s="1642">
        <f t="shared" si="22"/>
        <v>0</v>
      </c>
      <c r="T146" s="1643">
        <f t="shared" si="23"/>
        <v>13039248</v>
      </c>
      <c r="U146" s="1644">
        <v>13039248</v>
      </c>
      <c r="V146" s="1644">
        <v>13039248</v>
      </c>
      <c r="W146" s="1644"/>
      <c r="X146" s="1644">
        <f t="shared" si="33"/>
        <v>0</v>
      </c>
      <c r="Y146" s="1644"/>
      <c r="Z146" s="1644"/>
      <c r="AA146" s="1644"/>
      <c r="AB146" s="1644"/>
      <c r="AC146" s="1644"/>
      <c r="AD146" s="1644"/>
      <c r="AE146" s="1644"/>
      <c r="AF146" s="1644"/>
      <c r="AG146" s="1644"/>
      <c r="AH146" s="1644" t="s">
        <v>58</v>
      </c>
      <c r="AI146" s="1644" t="s">
        <v>1348</v>
      </c>
    </row>
    <row r="147" spans="1:35" s="1641" customFormat="1" ht="39" customHeight="1">
      <c r="A147" s="294"/>
      <c r="B147" s="294"/>
      <c r="C147" s="1634" t="s">
        <v>794</v>
      </c>
      <c r="D147" s="1639" t="s">
        <v>211</v>
      </c>
      <c r="E147" s="1640" t="s">
        <v>466</v>
      </c>
      <c r="F147" s="1635" t="s">
        <v>521</v>
      </c>
      <c r="G147" s="1635"/>
      <c r="H147" s="1635"/>
      <c r="I147" s="1636">
        <v>13039248</v>
      </c>
      <c r="J147" s="1636"/>
      <c r="K147" s="1636"/>
      <c r="L147" s="1636"/>
      <c r="M147" s="1636"/>
      <c r="N147" s="1642">
        <f t="shared" si="32"/>
        <v>13039248</v>
      </c>
      <c r="O147" s="1636"/>
      <c r="P147" s="1636"/>
      <c r="Q147" s="1636"/>
      <c r="R147" s="1636"/>
      <c r="S147" s="1642">
        <f t="shared" si="22"/>
        <v>0</v>
      </c>
      <c r="T147" s="1643">
        <f t="shared" si="23"/>
        <v>13039248</v>
      </c>
      <c r="U147" s="1644">
        <v>13039248</v>
      </c>
      <c r="V147" s="1644">
        <v>13039248</v>
      </c>
      <c r="W147" s="1644"/>
      <c r="X147" s="1644">
        <f t="shared" si="33"/>
        <v>0</v>
      </c>
      <c r="Y147" s="1644"/>
      <c r="Z147" s="1644"/>
      <c r="AA147" s="1644"/>
      <c r="AB147" s="1644"/>
      <c r="AC147" s="1644"/>
      <c r="AD147" s="1644"/>
      <c r="AE147" s="1644"/>
      <c r="AF147" s="1644"/>
      <c r="AG147" s="1644"/>
      <c r="AH147" s="1644" t="s">
        <v>58</v>
      </c>
      <c r="AI147" s="1644" t="s">
        <v>1348</v>
      </c>
    </row>
    <row r="148" spans="1:35" s="1641" customFormat="1" ht="28.5" customHeight="1">
      <c r="A148" s="294"/>
      <c r="B148" s="294"/>
      <c r="C148" s="1634" t="s">
        <v>645</v>
      </c>
      <c r="D148" s="1639" t="s">
        <v>211</v>
      </c>
      <c r="E148" s="1640" t="s">
        <v>466</v>
      </c>
      <c r="F148" s="1635" t="s">
        <v>521</v>
      </c>
      <c r="G148" s="1635"/>
      <c r="H148" s="1635"/>
      <c r="I148" s="1636">
        <v>13039248</v>
      </c>
      <c r="J148" s="1636"/>
      <c r="K148" s="1636"/>
      <c r="L148" s="1636"/>
      <c r="M148" s="1636"/>
      <c r="N148" s="1642">
        <f t="shared" si="32"/>
        <v>13039248</v>
      </c>
      <c r="O148" s="1636"/>
      <c r="P148" s="1636"/>
      <c r="Q148" s="1636"/>
      <c r="R148" s="1636"/>
      <c r="S148" s="1642">
        <f t="shared" si="22"/>
        <v>0</v>
      </c>
      <c r="T148" s="1643">
        <f t="shared" si="23"/>
        <v>13039248</v>
      </c>
      <c r="U148" s="1644">
        <v>13039248</v>
      </c>
      <c r="V148" s="1644">
        <v>13039248</v>
      </c>
      <c r="W148" s="1644"/>
      <c r="X148" s="1644">
        <f>+U148-V148</f>
        <v>0</v>
      </c>
      <c r="Y148" s="1644"/>
      <c r="Z148" s="1644"/>
      <c r="AA148" s="1644"/>
      <c r="AB148" s="1644"/>
      <c r="AC148" s="1644"/>
      <c r="AD148" s="1644"/>
      <c r="AE148" s="1644"/>
      <c r="AF148" s="1644"/>
      <c r="AG148" s="1644"/>
      <c r="AH148" s="1644" t="s">
        <v>58</v>
      </c>
      <c r="AI148" s="1644" t="s">
        <v>1348</v>
      </c>
    </row>
    <row r="149" spans="1:35" s="1641" customFormat="1" ht="21.75" customHeight="1">
      <c r="A149" s="294"/>
      <c r="B149" s="294"/>
      <c r="C149" s="1634" t="s">
        <v>859</v>
      </c>
      <c r="D149" s="1656" t="s">
        <v>211</v>
      </c>
      <c r="E149" s="1635" t="s">
        <v>466</v>
      </c>
      <c r="F149" s="1635"/>
      <c r="G149" s="1635"/>
      <c r="H149" s="1635"/>
      <c r="I149" s="1636">
        <v>3413600</v>
      </c>
      <c r="J149" s="1636"/>
      <c r="K149" s="1636"/>
      <c r="L149" s="1636"/>
      <c r="M149" s="1636"/>
      <c r="N149" s="1642">
        <f t="shared" ref="N149" si="34">+SUM(I149:M149)</f>
        <v>3413600</v>
      </c>
      <c r="O149" s="1636"/>
      <c r="P149" s="1636"/>
      <c r="Q149" s="1636"/>
      <c r="R149" s="1636"/>
      <c r="S149" s="1642">
        <f t="shared" ref="S149" si="35">+SUM(O149:R149)</f>
        <v>0</v>
      </c>
      <c r="T149" s="1643">
        <f t="shared" ref="T149" si="36">+S149+N149</f>
        <v>3413600</v>
      </c>
      <c r="U149" s="1644">
        <v>3597533.0000000005</v>
      </c>
      <c r="V149" s="1644">
        <v>3413600</v>
      </c>
      <c r="W149" s="1644">
        <v>3413600</v>
      </c>
      <c r="X149" s="1644">
        <f>+U149-W149</f>
        <v>183933.00000000047</v>
      </c>
      <c r="Y149" s="1644">
        <v>183933.00000000047</v>
      </c>
      <c r="Z149" s="1644"/>
      <c r="AA149" s="1644"/>
      <c r="AB149" s="1644"/>
      <c r="AC149" s="1644"/>
      <c r="AD149" s="1644"/>
      <c r="AE149" s="1644"/>
      <c r="AF149" s="1644"/>
      <c r="AG149" s="1644"/>
      <c r="AH149" s="1644" t="s">
        <v>58</v>
      </c>
      <c r="AI149" s="1644" t="s">
        <v>1348</v>
      </c>
    </row>
    <row r="150" spans="1:35" s="1661" customFormat="1" ht="21.75" customHeight="1">
      <c r="A150" s="294"/>
      <c r="B150" s="294"/>
      <c r="C150" s="1662" t="s">
        <v>859</v>
      </c>
      <c r="D150" s="1663" t="s">
        <v>211</v>
      </c>
      <c r="E150" s="1664" t="s">
        <v>466</v>
      </c>
      <c r="F150" s="1664"/>
      <c r="G150" s="1664"/>
      <c r="H150" s="1664"/>
      <c r="I150" s="1838">
        <f>3597533-I149-183933</f>
        <v>0</v>
      </c>
      <c r="J150" s="1665"/>
      <c r="K150" s="1665"/>
      <c r="L150" s="1665"/>
      <c r="M150" s="1665"/>
      <c r="N150" s="1666">
        <f t="shared" si="32"/>
        <v>0</v>
      </c>
      <c r="O150" s="1665"/>
      <c r="P150" s="1665"/>
      <c r="Q150" s="1665"/>
      <c r="R150" s="1665"/>
      <c r="S150" s="1666">
        <f t="shared" si="22"/>
        <v>0</v>
      </c>
      <c r="T150" s="1667">
        <f t="shared" si="23"/>
        <v>0</v>
      </c>
      <c r="U150" s="1668">
        <v>3597533.0000000005</v>
      </c>
      <c r="V150" s="1668">
        <v>3413600</v>
      </c>
      <c r="W150" s="1668">
        <v>3413600</v>
      </c>
      <c r="X150" s="1668">
        <f>+U150-W150</f>
        <v>183933.00000000047</v>
      </c>
      <c r="Y150" s="1668">
        <v>183933.00000000047</v>
      </c>
      <c r="Z150" s="1668"/>
      <c r="AA150" s="1668"/>
      <c r="AB150" s="1668"/>
      <c r="AC150" s="1668"/>
      <c r="AD150" s="1668"/>
      <c r="AE150" s="1668"/>
      <c r="AF150" s="1668"/>
      <c r="AG150" s="1668"/>
      <c r="AH150" s="1668" t="s">
        <v>58</v>
      </c>
      <c r="AI150" s="1668" t="s">
        <v>1348</v>
      </c>
    </row>
    <row r="151" spans="1:35" s="1641" customFormat="1" ht="21.75" customHeight="1">
      <c r="A151" s="294"/>
      <c r="B151" s="294"/>
      <c r="C151" s="1634" t="s">
        <v>859</v>
      </c>
      <c r="D151" s="1656" t="s">
        <v>211</v>
      </c>
      <c r="E151" s="1635" t="s">
        <v>466</v>
      </c>
      <c r="F151" s="1635"/>
      <c r="G151" s="1635"/>
      <c r="H151" s="1635"/>
      <c r="I151" s="1636">
        <v>1706800.0000000002</v>
      </c>
      <c r="J151" s="1636"/>
      <c r="K151" s="1636"/>
      <c r="L151" s="1636"/>
      <c r="M151" s="1636"/>
      <c r="N151" s="1642">
        <f t="shared" si="32"/>
        <v>1706800.0000000002</v>
      </c>
      <c r="O151" s="1636"/>
      <c r="P151" s="1636"/>
      <c r="Q151" s="1636"/>
      <c r="R151" s="1636"/>
      <c r="S151" s="1642">
        <f t="shared" si="22"/>
        <v>0</v>
      </c>
      <c r="T151" s="1643">
        <f t="shared" si="23"/>
        <v>1706800.0000000002</v>
      </c>
      <c r="U151" s="1644">
        <v>1706800</v>
      </c>
      <c r="V151" s="1644">
        <v>1706800</v>
      </c>
      <c r="W151" s="1644">
        <v>1706800</v>
      </c>
      <c r="X151" s="1644">
        <f t="shared" ref="X151:X155" si="37">+U151-W151</f>
        <v>0</v>
      </c>
      <c r="Y151" s="1644"/>
      <c r="Z151" s="1644"/>
      <c r="AA151" s="1644"/>
      <c r="AB151" s="1644"/>
      <c r="AC151" s="1644"/>
      <c r="AD151" s="1644"/>
      <c r="AE151" s="1644"/>
      <c r="AF151" s="1644"/>
      <c r="AG151" s="1644"/>
      <c r="AH151" s="1644" t="s">
        <v>58</v>
      </c>
      <c r="AI151" s="1644" t="s">
        <v>1348</v>
      </c>
    </row>
    <row r="152" spans="1:35" s="1641" customFormat="1" ht="21.75" customHeight="1">
      <c r="A152" s="294"/>
      <c r="B152" s="294"/>
      <c r="C152" s="1634" t="s">
        <v>860</v>
      </c>
      <c r="D152" s="1639" t="s">
        <v>211</v>
      </c>
      <c r="E152" s="1640" t="s">
        <v>466</v>
      </c>
      <c r="F152" s="1635" t="s">
        <v>521</v>
      </c>
      <c r="G152" s="1635"/>
      <c r="H152" s="1635"/>
      <c r="I152" s="1636">
        <v>38726488.799999997</v>
      </c>
      <c r="J152" s="1636"/>
      <c r="K152" s="1657"/>
      <c r="L152" s="1636"/>
      <c r="M152" s="1636"/>
      <c r="N152" s="1642">
        <f t="shared" si="32"/>
        <v>38726488.799999997</v>
      </c>
      <c r="O152" s="1636"/>
      <c r="P152" s="1636"/>
      <c r="Q152" s="1636"/>
      <c r="R152" s="1636"/>
      <c r="S152" s="1642">
        <f t="shared" si="22"/>
        <v>0</v>
      </c>
      <c r="T152" s="1643">
        <f t="shared" si="23"/>
        <v>38726488.799999997</v>
      </c>
      <c r="U152" s="1644">
        <v>38726488.799999997</v>
      </c>
      <c r="V152" s="1644">
        <v>38726489</v>
      </c>
      <c r="W152" s="1644">
        <v>38726489</v>
      </c>
      <c r="X152" s="1644">
        <f t="shared" si="37"/>
        <v>-0.20000000298023224</v>
      </c>
      <c r="Y152" s="1644"/>
      <c r="Z152" s="1644"/>
      <c r="AA152" s="1644"/>
      <c r="AB152" s="1644"/>
      <c r="AC152" s="1644"/>
      <c r="AD152" s="1644"/>
      <c r="AE152" s="1644"/>
      <c r="AF152" s="1644"/>
      <c r="AG152" s="1644"/>
      <c r="AH152" s="1644" t="s">
        <v>58</v>
      </c>
      <c r="AI152" s="1644" t="s">
        <v>1348</v>
      </c>
    </row>
    <row r="153" spans="1:35" s="1641" customFormat="1" ht="21.75" customHeight="1">
      <c r="A153" s="294"/>
      <c r="B153" s="294"/>
      <c r="C153" s="1634" t="s">
        <v>860</v>
      </c>
      <c r="D153" s="1639" t="s">
        <v>211</v>
      </c>
      <c r="E153" s="1640" t="s">
        <v>466</v>
      </c>
      <c r="F153" s="1635" t="s">
        <v>521</v>
      </c>
      <c r="G153" s="1635"/>
      <c r="H153" s="1635"/>
      <c r="I153" s="1636"/>
      <c r="J153" s="1636"/>
      <c r="K153" s="1657"/>
      <c r="L153" s="1636"/>
      <c r="M153" s="1636"/>
      <c r="N153" s="1642">
        <f t="shared" si="32"/>
        <v>0</v>
      </c>
      <c r="O153" s="1636"/>
      <c r="P153" s="1636">
        <v>30120602.400000002</v>
      </c>
      <c r="Q153" s="1636"/>
      <c r="R153" s="1636"/>
      <c r="S153" s="1642">
        <f t="shared" si="22"/>
        <v>30120602.400000002</v>
      </c>
      <c r="T153" s="1643">
        <f t="shared" si="23"/>
        <v>30120602.400000002</v>
      </c>
      <c r="U153" s="1644">
        <v>30120602.400000002</v>
      </c>
      <c r="V153" s="1644"/>
      <c r="W153" s="1644"/>
      <c r="X153" s="1644">
        <f t="shared" si="37"/>
        <v>30120602.400000002</v>
      </c>
      <c r="Y153" s="1644"/>
      <c r="Z153" s="1644"/>
      <c r="AA153" s="1644"/>
      <c r="AB153" s="1644"/>
      <c r="AC153" s="1644"/>
      <c r="AD153" s="1644"/>
      <c r="AE153" s="1644">
        <v>30120602.400000002</v>
      </c>
      <c r="AF153" s="1644"/>
      <c r="AG153" s="1644"/>
      <c r="AH153" s="1644" t="s">
        <v>58</v>
      </c>
      <c r="AI153" s="1644" t="s">
        <v>1348</v>
      </c>
    </row>
    <row r="154" spans="1:35" s="1641" customFormat="1" ht="21.75" customHeight="1">
      <c r="A154" s="294"/>
      <c r="B154" s="294"/>
      <c r="C154" s="1634" t="s">
        <v>860</v>
      </c>
      <c r="D154" s="1639" t="s">
        <v>211</v>
      </c>
      <c r="E154" s="1640" t="s">
        <v>466</v>
      </c>
      <c r="F154" s="1635" t="s">
        <v>521</v>
      </c>
      <c r="G154" s="1635"/>
      <c r="H154" s="1635"/>
      <c r="I154" s="1636">
        <v>1004000</v>
      </c>
      <c r="J154" s="1636"/>
      <c r="K154" s="1636">
        <v>6131682.5035999101</v>
      </c>
      <c r="L154" s="1636"/>
      <c r="M154" s="1636"/>
      <c r="N154" s="1642">
        <f t="shared" ref="N154:N161" si="38">+SUM(I154:M154)</f>
        <v>7135682.5035999101</v>
      </c>
      <c r="O154" s="1636"/>
      <c r="P154" s="1636">
        <v>22984919.896400094</v>
      </c>
      <c r="Q154" s="1636"/>
      <c r="R154" s="1636"/>
      <c r="S154" s="1642">
        <f t="shared" ref="S154:S161" si="39">+SUM(O154:R154)</f>
        <v>22984919.896400094</v>
      </c>
      <c r="T154" s="1643">
        <f t="shared" ref="T154:T162" si="40">+S154+N154</f>
        <v>30120602.400000006</v>
      </c>
      <c r="U154" s="1644">
        <v>30120602.400000006</v>
      </c>
      <c r="V154" s="1644"/>
      <c r="W154" s="1644"/>
      <c r="X154" s="1644">
        <f t="shared" si="37"/>
        <v>30120602.400000006</v>
      </c>
      <c r="Y154" s="1644">
        <v>1004000</v>
      </c>
      <c r="Z154" s="1644"/>
      <c r="AA154" s="1644">
        <v>6131682.5035999101</v>
      </c>
      <c r="AB154" s="1644"/>
      <c r="AC154" s="1644"/>
      <c r="AD154" s="1644"/>
      <c r="AE154" s="1644">
        <v>22984919.896400094</v>
      </c>
      <c r="AF154" s="1644"/>
      <c r="AG154" s="1644"/>
      <c r="AH154" s="1644" t="s">
        <v>58</v>
      </c>
      <c r="AI154" s="1644" t="s">
        <v>1348</v>
      </c>
    </row>
    <row r="155" spans="1:35" s="1641" customFormat="1" ht="32.25" customHeight="1">
      <c r="A155" s="294"/>
      <c r="B155" s="294"/>
      <c r="C155" s="1634" t="s">
        <v>795</v>
      </c>
      <c r="D155" s="1639" t="s">
        <v>211</v>
      </c>
      <c r="E155" s="1640" t="s">
        <v>466</v>
      </c>
      <c r="F155" s="1635" t="s">
        <v>521</v>
      </c>
      <c r="G155" s="1635"/>
      <c r="H155" s="1635"/>
      <c r="I155" s="1636">
        <v>7079486.7999999505</v>
      </c>
      <c r="J155" s="1636"/>
      <c r="K155" s="1636">
        <v>4207462.8000000715</v>
      </c>
      <c r="L155" s="1636"/>
      <c r="M155" s="1636"/>
      <c r="N155" s="1642">
        <f t="shared" si="38"/>
        <v>11286949.600000022</v>
      </c>
      <c r="O155" s="1636"/>
      <c r="P155" s="1636"/>
      <c r="Q155" s="1636"/>
      <c r="R155" s="1636"/>
      <c r="S155" s="1642">
        <f t="shared" si="39"/>
        <v>0</v>
      </c>
      <c r="T155" s="1643">
        <f t="shared" si="40"/>
        <v>11286949.600000022</v>
      </c>
      <c r="U155" s="1644">
        <v>11286949.600000022</v>
      </c>
      <c r="V155" s="1644">
        <v>11286950</v>
      </c>
      <c r="W155" s="1644">
        <v>11286950</v>
      </c>
      <c r="X155" s="1644">
        <f t="shared" si="37"/>
        <v>-0.39999997802078724</v>
      </c>
      <c r="Y155" s="1644"/>
      <c r="Z155" s="1644"/>
      <c r="AA155" s="1644"/>
      <c r="AB155" s="1644"/>
      <c r="AC155" s="1644"/>
      <c r="AD155" s="1644"/>
      <c r="AE155" s="1644"/>
      <c r="AF155" s="1644"/>
      <c r="AG155" s="1644"/>
      <c r="AH155" s="1644" t="s">
        <v>58</v>
      </c>
      <c r="AI155" s="1644" t="s">
        <v>1348</v>
      </c>
    </row>
    <row r="156" spans="1:35" s="1641" customFormat="1" ht="21.75" customHeight="1">
      <c r="A156" s="294"/>
      <c r="B156" s="294"/>
      <c r="C156" s="1634" t="s">
        <v>683</v>
      </c>
      <c r="D156" s="1639" t="s">
        <v>211</v>
      </c>
      <c r="E156" s="1640" t="s">
        <v>466</v>
      </c>
      <c r="F156" s="1635" t="s">
        <v>521</v>
      </c>
      <c r="G156" s="1635"/>
      <c r="H156" s="1635"/>
      <c r="I156" s="1636">
        <v>47332375.200000003</v>
      </c>
      <c r="J156" s="1636"/>
      <c r="K156" s="1636"/>
      <c r="L156" s="1636"/>
      <c r="M156" s="1636"/>
      <c r="N156" s="1642">
        <f t="shared" si="38"/>
        <v>47332375.200000003</v>
      </c>
      <c r="O156" s="1636"/>
      <c r="P156" s="1636"/>
      <c r="Q156" s="1636"/>
      <c r="R156" s="1636"/>
      <c r="S156" s="1642">
        <f t="shared" si="39"/>
        <v>0</v>
      </c>
      <c r="T156" s="1643">
        <f t="shared" si="40"/>
        <v>47332375.200000003</v>
      </c>
      <c r="U156" s="1644">
        <v>47332375.200000003</v>
      </c>
      <c r="V156" s="1644">
        <v>47332375.200000003</v>
      </c>
      <c r="W156" s="1644"/>
      <c r="X156" s="1644">
        <f>+U156-V156</f>
        <v>0</v>
      </c>
      <c r="Y156" s="1644"/>
      <c r="Z156" s="1644"/>
      <c r="AA156" s="1644"/>
      <c r="AB156" s="1644"/>
      <c r="AC156" s="1644"/>
      <c r="AD156" s="1644"/>
      <c r="AE156" s="1644"/>
      <c r="AF156" s="1644"/>
      <c r="AG156" s="1644"/>
      <c r="AH156" s="1644" t="s">
        <v>58</v>
      </c>
      <c r="AI156" s="1644" t="s">
        <v>1348</v>
      </c>
    </row>
    <row r="157" spans="1:35" s="1641" customFormat="1" ht="21.75" customHeight="1">
      <c r="A157" s="294"/>
      <c r="B157" s="294"/>
      <c r="C157" s="1634" t="s">
        <v>684</v>
      </c>
      <c r="D157" s="1639" t="s">
        <v>211</v>
      </c>
      <c r="E157" s="1640" t="s">
        <v>466</v>
      </c>
      <c r="F157" s="1635" t="s">
        <v>521</v>
      </c>
      <c r="G157" s="1635"/>
      <c r="H157" s="1635"/>
      <c r="I157" s="1636">
        <v>47332375.200000003</v>
      </c>
      <c r="J157" s="1636"/>
      <c r="K157" s="1636"/>
      <c r="L157" s="1636"/>
      <c r="M157" s="1636"/>
      <c r="N157" s="1642">
        <f t="shared" si="38"/>
        <v>47332375.200000003</v>
      </c>
      <c r="O157" s="1636"/>
      <c r="P157" s="1636"/>
      <c r="Q157" s="1636"/>
      <c r="R157" s="1636"/>
      <c r="S157" s="1642">
        <f t="shared" si="39"/>
        <v>0</v>
      </c>
      <c r="T157" s="1643">
        <f t="shared" si="40"/>
        <v>47332375.200000003</v>
      </c>
      <c r="U157" s="1644">
        <v>47332375.200000003</v>
      </c>
      <c r="V157" s="1644">
        <v>47332375.200000003</v>
      </c>
      <c r="W157" s="1644"/>
      <c r="X157" s="1644">
        <f>+U157-V157</f>
        <v>0</v>
      </c>
      <c r="Y157" s="1644"/>
      <c r="Z157" s="1644"/>
      <c r="AA157" s="1644"/>
      <c r="AB157" s="1644"/>
      <c r="AC157" s="1644"/>
      <c r="AD157" s="1644"/>
      <c r="AE157" s="1644"/>
      <c r="AF157" s="1644"/>
      <c r="AG157" s="1644"/>
      <c r="AH157" s="1644" t="s">
        <v>58</v>
      </c>
      <c r="AI157" s="1644" t="s">
        <v>1348</v>
      </c>
    </row>
    <row r="158" spans="1:35" s="1628" customFormat="1" ht="21.75" customHeight="1">
      <c r="A158" s="294"/>
      <c r="B158" s="294"/>
      <c r="C158" s="1624" t="s">
        <v>691</v>
      </c>
      <c r="D158" s="1626" t="s">
        <v>211</v>
      </c>
      <c r="E158" s="1625" t="s">
        <v>466</v>
      </c>
      <c r="F158" s="1626" t="s">
        <v>521</v>
      </c>
      <c r="G158" s="1626"/>
      <c r="H158" s="1626"/>
      <c r="I158" s="1627">
        <v>11689070</v>
      </c>
      <c r="J158" s="1627"/>
      <c r="K158" s="1627"/>
      <c r="L158" s="1627"/>
      <c r="M158" s="1627"/>
      <c r="N158" s="1629">
        <f t="shared" si="38"/>
        <v>11689070</v>
      </c>
      <c r="O158" s="1627"/>
      <c r="P158" s="1627"/>
      <c r="Q158" s="1627"/>
      <c r="R158" s="1627"/>
      <c r="S158" s="1629">
        <f t="shared" si="39"/>
        <v>0</v>
      </c>
      <c r="T158" s="1630">
        <f t="shared" si="40"/>
        <v>11689070</v>
      </c>
      <c r="U158" s="1631">
        <v>11689070</v>
      </c>
      <c r="V158" s="1631"/>
      <c r="W158" s="1631"/>
      <c r="X158" s="1631">
        <f t="shared" ref="X158" si="41">+U158-V158</f>
        <v>11689070</v>
      </c>
      <c r="Y158" s="1631">
        <v>11689070</v>
      </c>
      <c r="Z158" s="1631"/>
      <c r="AA158" s="1631"/>
      <c r="AB158" s="1631"/>
      <c r="AC158" s="1631"/>
      <c r="AD158" s="1631"/>
      <c r="AE158" s="1631"/>
      <c r="AF158" s="1631"/>
      <c r="AG158" s="1631"/>
      <c r="AH158" s="1631" t="s">
        <v>58</v>
      </c>
      <c r="AI158" s="1631" t="s">
        <v>1348</v>
      </c>
    </row>
    <row r="159" spans="1:35" s="1641" customFormat="1" ht="27" customHeight="1">
      <c r="A159" s="294"/>
      <c r="B159" s="294"/>
      <c r="C159" s="1660" t="s">
        <v>862</v>
      </c>
      <c r="D159" s="1639" t="s">
        <v>211</v>
      </c>
      <c r="E159" s="1640" t="s">
        <v>466</v>
      </c>
      <c r="F159" s="1635" t="s">
        <v>521</v>
      </c>
      <c r="G159" s="1635"/>
      <c r="H159" s="1635"/>
      <c r="I159" s="1636">
        <v>1566240</v>
      </c>
      <c r="J159" s="1636"/>
      <c r="K159" s="1636"/>
      <c r="L159" s="1636"/>
      <c r="M159" s="1636"/>
      <c r="N159" s="1642">
        <f t="shared" si="38"/>
        <v>1566240</v>
      </c>
      <c r="O159" s="1636"/>
      <c r="P159" s="1636"/>
      <c r="Q159" s="1636"/>
      <c r="R159" s="1636"/>
      <c r="S159" s="1642">
        <f t="shared" si="39"/>
        <v>0</v>
      </c>
      <c r="T159" s="1643">
        <f t="shared" si="40"/>
        <v>1566240</v>
      </c>
      <c r="U159" s="1644">
        <v>1566240</v>
      </c>
      <c r="V159" s="1644">
        <v>1566240</v>
      </c>
      <c r="W159" s="1644"/>
      <c r="X159" s="1644">
        <f>+U159-V159</f>
        <v>0</v>
      </c>
      <c r="Y159" s="1644"/>
      <c r="Z159" s="1644"/>
      <c r="AA159" s="1644"/>
      <c r="AB159" s="1644"/>
      <c r="AC159" s="1644"/>
      <c r="AD159" s="1644"/>
      <c r="AE159" s="1644"/>
      <c r="AF159" s="1644"/>
      <c r="AG159" s="1644"/>
      <c r="AH159" s="1644" t="s">
        <v>58</v>
      </c>
      <c r="AI159" s="1644" t="s">
        <v>1348</v>
      </c>
    </row>
    <row r="160" spans="1:35" s="1628" customFormat="1" ht="29.25" customHeight="1">
      <c r="A160" s="294"/>
      <c r="B160" s="294"/>
      <c r="C160" s="1624" t="s">
        <v>920</v>
      </c>
      <c r="D160" s="1626" t="s">
        <v>923</v>
      </c>
      <c r="E160" s="1626" t="s">
        <v>925</v>
      </c>
      <c r="F160" s="1626" t="s">
        <v>924</v>
      </c>
      <c r="G160" s="1626"/>
      <c r="H160" s="1626"/>
      <c r="I160" s="1633"/>
      <c r="J160" s="1633"/>
      <c r="K160" s="1632"/>
      <c r="L160" s="1627"/>
      <c r="M160" s="1627"/>
      <c r="N160" s="1629">
        <f t="shared" si="38"/>
        <v>0</v>
      </c>
      <c r="O160" s="1627"/>
      <c r="P160" s="1627">
        <v>104908800</v>
      </c>
      <c r="Q160" s="1627"/>
      <c r="R160" s="1627"/>
      <c r="S160" s="1629">
        <f t="shared" si="39"/>
        <v>104908800</v>
      </c>
      <c r="T160" s="1630">
        <f t="shared" si="40"/>
        <v>104908800</v>
      </c>
      <c r="U160" s="1631">
        <v>104908800</v>
      </c>
      <c r="V160" s="1631"/>
      <c r="W160" s="1631"/>
      <c r="X160" s="1631">
        <f>+U160-V160</f>
        <v>104908800</v>
      </c>
      <c r="Y160" s="1631"/>
      <c r="Z160" s="1631"/>
      <c r="AA160" s="1631"/>
      <c r="AB160" s="1631"/>
      <c r="AC160" s="1631"/>
      <c r="AD160" s="1631"/>
      <c r="AE160" s="1631">
        <v>104908800</v>
      </c>
      <c r="AF160" s="1631"/>
      <c r="AG160" s="1631"/>
      <c r="AH160" s="1631" t="s">
        <v>58</v>
      </c>
      <c r="AI160" s="1631" t="s">
        <v>1348</v>
      </c>
    </row>
    <row r="161" spans="1:35" s="1080" customFormat="1" ht="33" customHeight="1">
      <c r="A161" s="294"/>
      <c r="B161" s="294"/>
      <c r="C161" s="1273" t="s">
        <v>1117</v>
      </c>
      <c r="D161" s="1178" t="s">
        <v>211</v>
      </c>
      <c r="E161" s="1178" t="s">
        <v>466</v>
      </c>
      <c r="F161" s="1178"/>
      <c r="G161" s="1178"/>
      <c r="H161" s="1178"/>
      <c r="I161" s="1180">
        <v>4302943.2</v>
      </c>
      <c r="J161" s="1724"/>
      <c r="K161" s="1725"/>
      <c r="L161" s="1274"/>
      <c r="M161" s="1274"/>
      <c r="N161" s="1341">
        <f t="shared" si="38"/>
        <v>4302943.2</v>
      </c>
      <c r="O161" s="1274"/>
      <c r="P161" s="1179"/>
      <c r="Q161" s="1274"/>
      <c r="R161" s="1274"/>
      <c r="S161" s="1341">
        <f t="shared" si="39"/>
        <v>0</v>
      </c>
      <c r="T161" s="1726">
        <f t="shared" si="40"/>
        <v>4302943.2</v>
      </c>
      <c r="U161" s="1083">
        <v>4302943</v>
      </c>
      <c r="V161" s="1083">
        <v>4302943</v>
      </c>
      <c r="W161" s="1083">
        <v>4302943</v>
      </c>
      <c r="X161" s="1083">
        <f>+U161-V161</f>
        <v>0</v>
      </c>
      <c r="Y161" s="1083"/>
      <c r="Z161" s="1083"/>
      <c r="AA161" s="1083"/>
      <c r="AB161" s="1083"/>
      <c r="AC161" s="1083"/>
      <c r="AD161" s="1083"/>
      <c r="AE161" s="1083"/>
      <c r="AF161" s="1083"/>
      <c r="AG161" s="1083"/>
      <c r="AH161" s="1083"/>
      <c r="AI161" s="1083"/>
    </row>
    <row r="162" spans="1:35" s="1080" customFormat="1" ht="21.75" customHeight="1">
      <c r="A162" s="294"/>
      <c r="B162" s="294"/>
      <c r="C162" s="1094" t="s">
        <v>1007</v>
      </c>
      <c r="D162" s="1165" t="s">
        <v>381</v>
      </c>
      <c r="E162" s="1165" t="s">
        <v>489</v>
      </c>
      <c r="F162" s="1165" t="s">
        <v>198</v>
      </c>
      <c r="G162" s="1165"/>
      <c r="H162" s="1165"/>
      <c r="I162" s="1345"/>
      <c r="J162" s="1133">
        <f>50000000+3000000</f>
        <v>53000000</v>
      </c>
      <c r="K162" s="1346"/>
      <c r="L162" s="1139"/>
      <c r="M162" s="1139"/>
      <c r="N162" s="1183">
        <f>+SUM(I162:M162)</f>
        <v>53000000</v>
      </c>
      <c r="O162" s="1139">
        <v>21117998</v>
      </c>
      <c r="P162" s="1133"/>
      <c r="Q162" s="1139"/>
      <c r="R162" s="1139"/>
      <c r="S162" s="1183">
        <f t="shared" ref="S162" si="42">+SUM(O162:R162)</f>
        <v>21117998</v>
      </c>
      <c r="T162" s="1347">
        <f t="shared" si="40"/>
        <v>74117998</v>
      </c>
      <c r="U162" s="1083">
        <v>153000000</v>
      </c>
      <c r="V162" s="1083">
        <v>72028344</v>
      </c>
      <c r="W162" s="1083">
        <v>67208439</v>
      </c>
      <c r="X162" s="1083">
        <f>+U162-V162</f>
        <v>80971656</v>
      </c>
      <c r="Y162" s="1083"/>
      <c r="Z162" s="1083"/>
      <c r="AA162" s="1083"/>
      <c r="AB162" s="1083"/>
      <c r="AC162" s="1083"/>
      <c r="AD162" s="1083">
        <v>80971656</v>
      </c>
      <c r="AE162" s="1083"/>
      <c r="AF162" s="1083"/>
      <c r="AG162" s="1083"/>
      <c r="AH162" s="1083" t="s">
        <v>38</v>
      </c>
      <c r="AI162" s="1083"/>
    </row>
    <row r="163" spans="1:35" s="1084" customFormat="1" ht="21.75" customHeight="1">
      <c r="A163" s="294"/>
      <c r="B163" s="294"/>
      <c r="C163" s="1088" t="s">
        <v>1007</v>
      </c>
      <c r="D163" s="1171" t="s">
        <v>381</v>
      </c>
      <c r="E163" s="1171" t="s">
        <v>489</v>
      </c>
      <c r="F163" s="1171" t="s">
        <v>198</v>
      </c>
      <c r="G163" s="1171"/>
      <c r="H163" s="1171"/>
      <c r="I163" s="1348"/>
      <c r="J163" s="1172"/>
      <c r="K163" s="1349"/>
      <c r="L163" s="1231"/>
      <c r="M163" s="1231"/>
      <c r="N163" s="1306">
        <f>+SUM(I163:M163)</f>
        <v>0</v>
      </c>
      <c r="O163" s="1231">
        <f>100000000-O162</f>
        <v>78882002</v>
      </c>
      <c r="P163" s="1172"/>
      <c r="Q163" s="1231"/>
      <c r="R163" s="1231"/>
      <c r="S163" s="1306">
        <f t="shared" ref="S163:S165" si="43">+SUM(O163:R163)</f>
        <v>78882002</v>
      </c>
      <c r="T163" s="1350">
        <f t="shared" ref="T163:T165" si="44">+S163+N163</f>
        <v>78882002</v>
      </c>
      <c r="U163" s="1085">
        <v>153000000</v>
      </c>
      <c r="V163" s="1085">
        <v>72028344</v>
      </c>
      <c r="W163" s="1085">
        <v>67208439</v>
      </c>
      <c r="X163" s="1085">
        <f>+U163-V163</f>
        <v>80971656</v>
      </c>
      <c r="Y163" s="1085"/>
      <c r="Z163" s="1085"/>
      <c r="AA163" s="1085"/>
      <c r="AB163" s="1085"/>
      <c r="AC163" s="1085"/>
      <c r="AD163" s="1085">
        <v>80971656</v>
      </c>
      <c r="AE163" s="1085"/>
      <c r="AF163" s="1085"/>
      <c r="AG163" s="1085"/>
      <c r="AH163" s="1085" t="s">
        <v>38</v>
      </c>
      <c r="AI163" s="1085"/>
    </row>
    <row r="164" spans="1:35" s="1080" customFormat="1" ht="21.75" customHeight="1">
      <c r="A164" s="294"/>
      <c r="B164" s="294"/>
      <c r="C164" s="1094" t="s">
        <v>204</v>
      </c>
      <c r="D164" s="1165"/>
      <c r="E164" s="1165"/>
      <c r="F164" s="1165"/>
      <c r="G164" s="1165"/>
      <c r="H164" s="1165"/>
      <c r="I164" s="1345"/>
      <c r="J164" s="1839">
        <f>187256704.521954+4097</f>
        <v>187260801.521954</v>
      </c>
      <c r="K164" s="1346"/>
      <c r="L164" s="1139">
        <v>334505359.90565693</v>
      </c>
      <c r="M164" s="1139"/>
      <c r="N164" s="1183">
        <f t="shared" ref="N164:N165" si="45">+SUM(I164:M164)</f>
        <v>521766161.42761093</v>
      </c>
      <c r="O164" s="1139"/>
      <c r="P164" s="1133"/>
      <c r="Q164" s="1139"/>
      <c r="R164" s="1139"/>
      <c r="S164" s="1183">
        <f t="shared" si="43"/>
        <v>0</v>
      </c>
      <c r="T164" s="1347">
        <f t="shared" si="44"/>
        <v>521766161.42761093</v>
      </c>
      <c r="U164" s="1083"/>
      <c r="V164" s="1083"/>
      <c r="W164" s="1083"/>
      <c r="X164" s="1083"/>
      <c r="Y164" s="1083"/>
      <c r="Z164" s="1083"/>
      <c r="AA164" s="1083"/>
      <c r="AB164" s="1083"/>
      <c r="AC164" s="1083"/>
      <c r="AD164" s="1083"/>
      <c r="AE164" s="1083"/>
      <c r="AF164" s="1083"/>
      <c r="AG164" s="1083"/>
      <c r="AH164" s="1083"/>
      <c r="AI164" s="1083"/>
    </row>
    <row r="165" spans="1:35" s="1084" customFormat="1" ht="21.75" customHeight="1" thickBot="1">
      <c r="A165" s="294"/>
      <c r="B165" s="294"/>
      <c r="C165" s="1088" t="s">
        <v>204</v>
      </c>
      <c r="D165" s="1171"/>
      <c r="E165" s="1171"/>
      <c r="F165" s="1171"/>
      <c r="G165" s="1171"/>
      <c r="H165" s="1171"/>
      <c r="I165" s="1348"/>
      <c r="J165" s="1839">
        <f>1005490985-J164</f>
        <v>818230183.47804594</v>
      </c>
      <c r="K165" s="1349"/>
      <c r="L165" s="1231">
        <f>694753020-L164</f>
        <v>360247660.09434307</v>
      </c>
      <c r="M165" s="1231"/>
      <c r="N165" s="1306">
        <f t="shared" si="45"/>
        <v>1178477843.5723891</v>
      </c>
      <c r="O165" s="1231"/>
      <c r="P165" s="1172"/>
      <c r="Q165" s="1231"/>
      <c r="R165" s="1231"/>
      <c r="S165" s="1306">
        <f t="shared" si="43"/>
        <v>0</v>
      </c>
      <c r="T165" s="1350">
        <f t="shared" si="44"/>
        <v>1178477843.5723891</v>
      </c>
      <c r="U165" s="1085"/>
      <c r="V165" s="1085"/>
      <c r="W165" s="1085"/>
      <c r="X165" s="1085"/>
      <c r="Y165" s="1085"/>
      <c r="Z165" s="1085"/>
      <c r="AA165" s="1085"/>
      <c r="AB165" s="1085"/>
      <c r="AC165" s="1085"/>
      <c r="AD165" s="1085"/>
      <c r="AE165" s="1085"/>
      <c r="AF165" s="1085"/>
      <c r="AG165" s="1085"/>
      <c r="AH165" s="1085"/>
      <c r="AI165" s="1085"/>
    </row>
    <row r="166" spans="1:35" s="150" customFormat="1" ht="26.25" thickBot="1">
      <c r="A166" s="1861">
        <v>233</v>
      </c>
      <c r="B166" s="1862"/>
      <c r="C166" s="166" t="s">
        <v>1443</v>
      </c>
      <c r="D166" s="842"/>
      <c r="E166" s="843"/>
      <c r="F166" s="844" t="s">
        <v>1098</v>
      </c>
      <c r="G166" s="844">
        <v>100</v>
      </c>
      <c r="H166" s="844"/>
      <c r="I166" s="824">
        <f t="shared" ref="I166:S166" si="46">+I167</f>
        <v>0</v>
      </c>
      <c r="J166" s="824">
        <f t="shared" si="46"/>
        <v>718131808.0079999</v>
      </c>
      <c r="K166" s="824">
        <f t="shared" si="46"/>
        <v>0</v>
      </c>
      <c r="L166" s="824">
        <f t="shared" si="46"/>
        <v>230655408</v>
      </c>
      <c r="M166" s="824">
        <f t="shared" si="46"/>
        <v>0</v>
      </c>
      <c r="N166" s="824">
        <f t="shared" si="46"/>
        <v>948787216.0079999</v>
      </c>
      <c r="O166" s="824">
        <f t="shared" si="46"/>
        <v>0</v>
      </c>
      <c r="P166" s="824">
        <f t="shared" si="46"/>
        <v>0</v>
      </c>
      <c r="Q166" s="824">
        <f t="shared" si="46"/>
        <v>0</v>
      </c>
      <c r="R166" s="824">
        <f t="shared" si="46"/>
        <v>198524010.70000005</v>
      </c>
      <c r="S166" s="824">
        <f t="shared" si="46"/>
        <v>198524010.70000005</v>
      </c>
      <c r="T166" s="825">
        <f>+T167</f>
        <v>1147311226.7079997</v>
      </c>
      <c r="U166" s="1025"/>
      <c r="V166" s="1025"/>
      <c r="W166" s="1025"/>
      <c r="X166" s="1025"/>
      <c r="Y166" s="1025"/>
      <c r="Z166" s="1025"/>
      <c r="AA166" s="1025"/>
      <c r="AB166" s="1025"/>
      <c r="AC166" s="1025"/>
      <c r="AD166" s="1025"/>
      <c r="AE166" s="1025"/>
      <c r="AF166" s="1025"/>
      <c r="AG166" s="1025"/>
      <c r="AH166" s="1025"/>
      <c r="AI166" s="1025"/>
    </row>
    <row r="167" spans="1:35" s="150" customFormat="1" ht="38.25">
      <c r="A167" s="1861"/>
      <c r="B167" s="1862" t="s">
        <v>1512</v>
      </c>
      <c r="C167" s="196" t="s">
        <v>1087</v>
      </c>
      <c r="D167" s="194"/>
      <c r="E167" s="197"/>
      <c r="F167" s="197" t="s">
        <v>1098</v>
      </c>
      <c r="G167" s="197">
        <v>30</v>
      </c>
      <c r="H167" s="197"/>
      <c r="I167" s="837">
        <f t="shared" ref="I167:T167" si="47">SUM(I168:I213)</f>
        <v>0</v>
      </c>
      <c r="J167" s="837">
        <f t="shared" si="47"/>
        <v>718131808.0079999</v>
      </c>
      <c r="K167" s="837">
        <f t="shared" si="47"/>
        <v>0</v>
      </c>
      <c r="L167" s="837">
        <f t="shared" si="47"/>
        <v>230655408</v>
      </c>
      <c r="M167" s="837">
        <f t="shared" si="47"/>
        <v>0</v>
      </c>
      <c r="N167" s="837">
        <f t="shared" si="47"/>
        <v>948787216.0079999</v>
      </c>
      <c r="O167" s="837">
        <f t="shared" si="47"/>
        <v>0</v>
      </c>
      <c r="P167" s="837">
        <f t="shared" si="47"/>
        <v>0</v>
      </c>
      <c r="Q167" s="837">
        <f t="shared" si="47"/>
        <v>0</v>
      </c>
      <c r="R167" s="837">
        <f t="shared" si="47"/>
        <v>198524010.70000005</v>
      </c>
      <c r="S167" s="837">
        <f t="shared" si="47"/>
        <v>198524010.70000005</v>
      </c>
      <c r="T167" s="838">
        <f t="shared" si="47"/>
        <v>1147311226.7079997</v>
      </c>
      <c r="U167" s="1025"/>
      <c r="V167" s="1025"/>
      <c r="W167" s="1025"/>
      <c r="X167" s="1025"/>
      <c r="Y167" s="1025"/>
      <c r="Z167" s="1025"/>
      <c r="AA167" s="1025"/>
      <c r="AB167" s="1025"/>
      <c r="AC167" s="1025"/>
      <c r="AD167" s="1025"/>
      <c r="AE167" s="1025"/>
      <c r="AF167" s="1025"/>
      <c r="AG167" s="1025"/>
      <c r="AH167" s="1025"/>
      <c r="AI167" s="1025"/>
    </row>
    <row r="168" spans="1:35" s="1080" customFormat="1" ht="15">
      <c r="A168" s="294"/>
      <c r="B168" s="294"/>
      <c r="C168" s="1094" t="s">
        <v>650</v>
      </c>
      <c r="D168" s="1095" t="s">
        <v>471</v>
      </c>
      <c r="E168" s="1095" t="s">
        <v>475</v>
      </c>
      <c r="F168" s="1095" t="s">
        <v>521</v>
      </c>
      <c r="G168" s="1095"/>
      <c r="H168" s="1095"/>
      <c r="I168" s="1139"/>
      <c r="J168" s="1139">
        <f>34414208.4-2024365.2</f>
        <v>32389843.199999999</v>
      </c>
      <c r="K168" s="1139"/>
      <c r="L168" s="1139"/>
      <c r="M168" s="1139"/>
      <c r="N168" s="1183">
        <f t="shared" ref="N168:N210" si="48">+SUM(I168:M168)</f>
        <v>32389843.199999999</v>
      </c>
      <c r="O168" s="1139"/>
      <c r="P168" s="1139"/>
      <c r="Q168" s="1139"/>
      <c r="R168" s="1139"/>
      <c r="S168" s="1183">
        <f t="shared" ref="S168:S210" si="49">+SUM(O168:R168)</f>
        <v>0</v>
      </c>
      <c r="T168" s="1727">
        <f t="shared" ref="T168:T210" si="50">+S168+N168</f>
        <v>32389843.199999999</v>
      </c>
      <c r="U168" s="1083">
        <v>32389843.199999999</v>
      </c>
      <c r="V168" s="1083">
        <v>32389843.199999999</v>
      </c>
      <c r="W168" s="1083">
        <v>32389843.199999999</v>
      </c>
      <c r="X168" s="1083">
        <f>+U168-W168</f>
        <v>0</v>
      </c>
      <c r="Y168" s="1083"/>
      <c r="Z168" s="1083"/>
      <c r="AA168" s="1083"/>
      <c r="AB168" s="1083"/>
      <c r="AC168" s="1083"/>
      <c r="AD168" s="1083"/>
      <c r="AE168" s="1083"/>
      <c r="AF168" s="1083"/>
      <c r="AG168" s="1083"/>
      <c r="AH168" s="1083" t="s">
        <v>52</v>
      </c>
      <c r="AI168" s="1083" t="s">
        <v>1319</v>
      </c>
    </row>
    <row r="169" spans="1:35" s="1080" customFormat="1" ht="18" customHeight="1">
      <c r="A169" s="294"/>
      <c r="B169" s="294"/>
      <c r="C169" s="1094" t="s">
        <v>650</v>
      </c>
      <c r="D169" s="1095" t="s">
        <v>471</v>
      </c>
      <c r="E169" s="1095" t="s">
        <v>475</v>
      </c>
      <c r="F169" s="1095" t="s">
        <v>521</v>
      </c>
      <c r="G169" s="1095"/>
      <c r="H169" s="1095"/>
      <c r="I169" s="1139"/>
      <c r="J169" s="1139">
        <f>34414208.4-2024365.2</f>
        <v>32389843.199999999</v>
      </c>
      <c r="K169" s="1139"/>
      <c r="L169" s="1139"/>
      <c r="M169" s="1139"/>
      <c r="N169" s="1183">
        <f t="shared" si="48"/>
        <v>32389843.199999999</v>
      </c>
      <c r="O169" s="1139"/>
      <c r="P169" s="1139"/>
      <c r="Q169" s="1139"/>
      <c r="R169" s="1139"/>
      <c r="S169" s="1183">
        <f t="shared" si="49"/>
        <v>0</v>
      </c>
      <c r="T169" s="1727">
        <f t="shared" si="50"/>
        <v>32389843.199999999</v>
      </c>
      <c r="U169" s="1083">
        <v>32389843.199999999</v>
      </c>
      <c r="V169" s="1083">
        <v>32389843.199999999</v>
      </c>
      <c r="W169" s="1083">
        <v>32389843.199999999</v>
      </c>
      <c r="X169" s="1083">
        <f t="shared" ref="X169:X200" si="51">+U169-W169</f>
        <v>0</v>
      </c>
      <c r="Y169" s="1083"/>
      <c r="Z169" s="1083"/>
      <c r="AA169" s="1083"/>
      <c r="AB169" s="1083"/>
      <c r="AC169" s="1083"/>
      <c r="AD169" s="1083"/>
      <c r="AE169" s="1083"/>
      <c r="AF169" s="1083"/>
      <c r="AG169" s="1083"/>
      <c r="AH169" s="1083" t="s">
        <v>52</v>
      </c>
      <c r="AI169" s="1083" t="s">
        <v>1319</v>
      </c>
    </row>
    <row r="170" spans="1:35" s="1080" customFormat="1" ht="16.5" customHeight="1">
      <c r="A170" s="294"/>
      <c r="B170" s="294"/>
      <c r="C170" s="1094" t="s">
        <v>650</v>
      </c>
      <c r="D170" s="1095" t="s">
        <v>471</v>
      </c>
      <c r="E170" s="1095" t="s">
        <v>475</v>
      </c>
      <c r="F170" s="1095" t="s">
        <v>521</v>
      </c>
      <c r="G170" s="1095"/>
      <c r="H170" s="1095"/>
      <c r="I170" s="1139"/>
      <c r="J170" s="1139"/>
      <c r="K170" s="1139"/>
      <c r="L170" s="1139"/>
      <c r="M170" s="1139"/>
      <c r="N170" s="1183">
        <f t="shared" si="48"/>
        <v>0</v>
      </c>
      <c r="O170" s="1139"/>
      <c r="P170" s="1139"/>
      <c r="Q170" s="1139"/>
      <c r="R170" s="1110">
        <f>28341112.8/7*5+1399856</f>
        <v>21643508</v>
      </c>
      <c r="S170" s="1183">
        <f t="shared" si="49"/>
        <v>21643508</v>
      </c>
      <c r="T170" s="1347">
        <f t="shared" si="50"/>
        <v>21643508</v>
      </c>
      <c r="U170" s="1083">
        <v>21643508</v>
      </c>
      <c r="V170" s="1083">
        <v>21643508</v>
      </c>
      <c r="W170" s="1083">
        <v>21643508</v>
      </c>
      <c r="X170" s="1083">
        <f t="shared" si="51"/>
        <v>0</v>
      </c>
      <c r="Y170" s="1083"/>
      <c r="Z170" s="1083"/>
      <c r="AA170" s="1083"/>
      <c r="AB170" s="1083"/>
      <c r="AC170" s="1083"/>
      <c r="AD170" s="1083"/>
      <c r="AE170" s="1083"/>
      <c r="AF170" s="1083"/>
      <c r="AG170" s="1083"/>
      <c r="AH170" s="1083" t="s">
        <v>52</v>
      </c>
      <c r="AI170" s="1083" t="s">
        <v>1319</v>
      </c>
    </row>
    <row r="171" spans="1:35" s="150" customFormat="1" ht="16.5" customHeight="1">
      <c r="A171" s="294"/>
      <c r="B171" s="294"/>
      <c r="C171" s="5" t="s">
        <v>651</v>
      </c>
      <c r="D171" s="379" t="s">
        <v>471</v>
      </c>
      <c r="E171" s="379" t="s">
        <v>475</v>
      </c>
      <c r="F171" s="379" t="s">
        <v>521</v>
      </c>
      <c r="G171" s="379"/>
      <c r="H171" s="379"/>
      <c r="I171" s="213"/>
      <c r="J171" s="213"/>
      <c r="K171" s="213"/>
      <c r="L171" s="213"/>
      <c r="M171" s="213"/>
      <c r="N171" s="421">
        <f t="shared" si="48"/>
        <v>0</v>
      </c>
      <c r="O171" s="213"/>
      <c r="P171" s="213"/>
      <c r="Q171" s="213"/>
      <c r="R171" s="213">
        <f>10274936/7*5</f>
        <v>7339240</v>
      </c>
      <c r="S171" s="421">
        <f t="shared" si="49"/>
        <v>7339240</v>
      </c>
      <c r="T171" s="488">
        <f t="shared" si="50"/>
        <v>7339240</v>
      </c>
      <c r="U171" s="1025">
        <v>7339240</v>
      </c>
      <c r="V171" s="1025"/>
      <c r="W171" s="1025"/>
      <c r="X171" s="1025">
        <f t="shared" si="51"/>
        <v>7339240</v>
      </c>
      <c r="Y171" s="1025"/>
      <c r="Z171" s="1025"/>
      <c r="AA171" s="1025"/>
      <c r="AB171" s="1025"/>
      <c r="AC171" s="1025"/>
      <c r="AD171" s="1025"/>
      <c r="AE171" s="1025"/>
      <c r="AF171" s="1025"/>
      <c r="AG171" s="1025">
        <v>7339240</v>
      </c>
      <c r="AH171" s="1025" t="s">
        <v>52</v>
      </c>
      <c r="AI171" s="1025" t="s">
        <v>1319</v>
      </c>
    </row>
    <row r="172" spans="1:35" s="1080" customFormat="1" ht="15">
      <c r="A172" s="294"/>
      <c r="B172" s="294"/>
      <c r="C172" s="1094" t="s">
        <v>652</v>
      </c>
      <c r="D172" s="1095" t="s">
        <v>471</v>
      </c>
      <c r="E172" s="1095" t="s">
        <v>475</v>
      </c>
      <c r="F172" s="1095" t="s">
        <v>521</v>
      </c>
      <c r="G172" s="1095"/>
      <c r="H172" s="1095"/>
      <c r="I172" s="1139"/>
      <c r="J172" s="1744">
        <v>55020324.479999997</v>
      </c>
      <c r="K172" s="1139"/>
      <c r="L172" s="1139"/>
      <c r="M172" s="1139"/>
      <c r="N172" s="1183">
        <f t="shared" si="48"/>
        <v>55020324.479999997</v>
      </c>
      <c r="O172" s="1139"/>
      <c r="P172" s="1139"/>
      <c r="Q172" s="1139"/>
      <c r="R172" s="1139"/>
      <c r="S172" s="1183">
        <f t="shared" si="49"/>
        <v>0</v>
      </c>
      <c r="T172" s="1727">
        <f t="shared" si="50"/>
        <v>55020324.479999997</v>
      </c>
      <c r="U172" s="1083">
        <v>55020324.479999997</v>
      </c>
      <c r="V172" s="1083">
        <v>55020324.479999997</v>
      </c>
      <c r="W172" s="1083">
        <v>55020324.479999997</v>
      </c>
      <c r="X172" s="1083">
        <f t="shared" si="51"/>
        <v>0</v>
      </c>
      <c r="Y172" s="1083"/>
      <c r="Z172" s="1083"/>
      <c r="AA172" s="1083"/>
      <c r="AB172" s="1083"/>
      <c r="AC172" s="1083"/>
      <c r="AD172" s="1083"/>
      <c r="AE172" s="1083"/>
      <c r="AF172" s="1083"/>
      <c r="AG172" s="1083"/>
      <c r="AH172" s="1083" t="s">
        <v>52</v>
      </c>
      <c r="AI172" s="1083" t="s">
        <v>1319</v>
      </c>
    </row>
    <row r="173" spans="1:35" s="150" customFormat="1" ht="15">
      <c r="A173" s="294"/>
      <c r="B173" s="294"/>
      <c r="C173" s="5" t="s">
        <v>652</v>
      </c>
      <c r="D173" s="379" t="s">
        <v>471</v>
      </c>
      <c r="E173" s="379" t="s">
        <v>475</v>
      </c>
      <c r="F173" s="379" t="s">
        <v>521</v>
      </c>
      <c r="G173" s="379"/>
      <c r="H173" s="379"/>
      <c r="I173" s="213"/>
      <c r="J173" s="828">
        <v>12538982.600000001</v>
      </c>
      <c r="K173" s="213"/>
      <c r="L173" s="213"/>
      <c r="M173" s="213"/>
      <c r="N173" s="421">
        <f t="shared" si="48"/>
        <v>12538982.600000001</v>
      </c>
      <c r="O173" s="213"/>
      <c r="P173" s="213"/>
      <c r="Q173" s="213"/>
      <c r="R173" s="213"/>
      <c r="S173" s="421">
        <f t="shared" si="49"/>
        <v>0</v>
      </c>
      <c r="T173" s="1059">
        <f t="shared" si="50"/>
        <v>12538982.600000001</v>
      </c>
      <c r="U173" s="1025">
        <v>12538982.600000001</v>
      </c>
      <c r="V173" s="1025"/>
      <c r="W173" s="1025"/>
      <c r="X173" s="1025">
        <f t="shared" si="51"/>
        <v>12538982.600000001</v>
      </c>
      <c r="Y173" s="1025"/>
      <c r="Z173" s="1025">
        <v>12538982.600000001</v>
      </c>
      <c r="AA173" s="1025"/>
      <c r="AB173" s="1025"/>
      <c r="AC173" s="1025"/>
      <c r="AD173" s="1025"/>
      <c r="AE173" s="1025"/>
      <c r="AF173" s="1025"/>
      <c r="AG173" s="1025"/>
      <c r="AH173" s="1025" t="s">
        <v>52</v>
      </c>
      <c r="AI173" s="1025" t="s">
        <v>1319</v>
      </c>
    </row>
    <row r="174" spans="1:35" s="1080" customFormat="1" ht="15">
      <c r="A174" s="294"/>
      <c r="B174" s="294"/>
      <c r="C174" s="1094" t="s">
        <v>652</v>
      </c>
      <c r="D174" s="1095" t="s">
        <v>471</v>
      </c>
      <c r="E174" s="1095" t="s">
        <v>475</v>
      </c>
      <c r="F174" s="1095" t="s">
        <v>521</v>
      </c>
      <c r="G174" s="1095"/>
      <c r="H174" s="1095"/>
      <c r="I174" s="1139"/>
      <c r="J174" s="1744">
        <v>43870302.079999998</v>
      </c>
      <c r="K174" s="1139"/>
      <c r="L174" s="1139"/>
      <c r="M174" s="1139"/>
      <c r="N174" s="1183">
        <f t="shared" si="48"/>
        <v>43870302.079999998</v>
      </c>
      <c r="O174" s="1139"/>
      <c r="P174" s="1139"/>
      <c r="Q174" s="1139"/>
      <c r="R174" s="1139"/>
      <c r="S174" s="1183">
        <f t="shared" si="49"/>
        <v>0</v>
      </c>
      <c r="T174" s="1727">
        <f t="shared" si="50"/>
        <v>43870302.079999998</v>
      </c>
      <c r="U174" s="1083">
        <v>43870302.079999998</v>
      </c>
      <c r="V174" s="1083">
        <v>43870302.079999998</v>
      </c>
      <c r="W174" s="1083">
        <v>43870302.079999998</v>
      </c>
      <c r="X174" s="1083">
        <f t="shared" si="51"/>
        <v>0</v>
      </c>
      <c r="Y174" s="1083"/>
      <c r="Z174" s="1083"/>
      <c r="AA174" s="1083"/>
      <c r="AB174" s="1083"/>
      <c r="AC174" s="1083"/>
      <c r="AD174" s="1083"/>
      <c r="AE174" s="1083"/>
      <c r="AF174" s="1083"/>
      <c r="AG174" s="1083"/>
      <c r="AH174" s="1083" t="s">
        <v>52</v>
      </c>
      <c r="AI174" s="1083" t="s">
        <v>1319</v>
      </c>
    </row>
    <row r="175" spans="1:35" s="1080" customFormat="1" ht="15">
      <c r="A175" s="294"/>
      <c r="B175" s="294"/>
      <c r="C175" s="1094" t="s">
        <v>652</v>
      </c>
      <c r="D175" s="1095" t="s">
        <v>471</v>
      </c>
      <c r="E175" s="1095" t="s">
        <v>475</v>
      </c>
      <c r="F175" s="1095" t="s">
        <v>521</v>
      </c>
      <c r="G175" s="1095"/>
      <c r="H175" s="1095"/>
      <c r="I175" s="1139"/>
      <c r="J175" s="1744">
        <v>43870302.079999998</v>
      </c>
      <c r="K175" s="1139"/>
      <c r="L175" s="1139"/>
      <c r="M175" s="1139"/>
      <c r="N175" s="1183">
        <f t="shared" si="48"/>
        <v>43870302.079999998</v>
      </c>
      <c r="O175" s="1139"/>
      <c r="P175" s="1139"/>
      <c r="Q175" s="1139"/>
      <c r="R175" s="1139"/>
      <c r="S175" s="1183">
        <f t="shared" si="49"/>
        <v>0</v>
      </c>
      <c r="T175" s="1727">
        <f t="shared" si="50"/>
        <v>43870302.079999998</v>
      </c>
      <c r="U175" s="1083">
        <v>43870302.079999998</v>
      </c>
      <c r="V175" s="1083">
        <v>43870302.079999998</v>
      </c>
      <c r="W175" s="1083">
        <v>43870302.079999998</v>
      </c>
      <c r="X175" s="1083">
        <f t="shared" si="51"/>
        <v>0</v>
      </c>
      <c r="Y175" s="1083"/>
      <c r="Z175" s="1083"/>
      <c r="AA175" s="1083"/>
      <c r="AB175" s="1083"/>
      <c r="AC175" s="1083"/>
      <c r="AD175" s="1083"/>
      <c r="AE175" s="1083"/>
      <c r="AF175" s="1083"/>
      <c r="AG175" s="1083"/>
      <c r="AH175" s="1083" t="s">
        <v>52</v>
      </c>
      <c r="AI175" s="1083" t="s">
        <v>1319</v>
      </c>
    </row>
    <row r="176" spans="1:35" s="1080" customFormat="1" ht="15">
      <c r="A176" s="294"/>
      <c r="B176" s="294"/>
      <c r="C176" s="1094" t="s">
        <v>653</v>
      </c>
      <c r="D176" s="1095" t="s">
        <v>471</v>
      </c>
      <c r="E176" s="1095" t="s">
        <v>475</v>
      </c>
      <c r="F176" s="1095" t="s">
        <v>521</v>
      </c>
      <c r="G176" s="1095"/>
      <c r="H176" s="1095"/>
      <c r="I176" s="1139"/>
      <c r="J176" s="1744">
        <f>4032600*1.004*3</f>
        <v>12146191.199999999</v>
      </c>
      <c r="K176" s="1139"/>
      <c r="L176" s="1139"/>
      <c r="M176" s="1139"/>
      <c r="N176" s="1183">
        <f t="shared" si="48"/>
        <v>12146191.199999999</v>
      </c>
      <c r="O176" s="1139"/>
      <c r="P176" s="1139"/>
      <c r="Q176" s="1139"/>
      <c r="R176" s="1139"/>
      <c r="S176" s="1183">
        <f t="shared" si="49"/>
        <v>0</v>
      </c>
      <c r="T176" s="1727">
        <f t="shared" si="50"/>
        <v>12146191.199999999</v>
      </c>
      <c r="U176" s="1083">
        <v>12146191.199999999</v>
      </c>
      <c r="V176" s="1083">
        <v>12146191.199999999</v>
      </c>
      <c r="W176" s="1083">
        <v>12146191.199999999</v>
      </c>
      <c r="X176" s="1083">
        <f t="shared" si="51"/>
        <v>0</v>
      </c>
      <c r="Y176" s="1083"/>
      <c r="Z176" s="1083"/>
      <c r="AA176" s="1083"/>
      <c r="AB176" s="1083"/>
      <c r="AC176" s="1083"/>
      <c r="AD176" s="1083"/>
      <c r="AE176" s="1083"/>
      <c r="AF176" s="1083"/>
      <c r="AG176" s="1083"/>
      <c r="AH176" s="1083" t="s">
        <v>52</v>
      </c>
      <c r="AI176" s="1083" t="s">
        <v>1319</v>
      </c>
    </row>
    <row r="177" spans="1:35" s="1080" customFormat="1" ht="15">
      <c r="A177" s="294"/>
      <c r="B177" s="294"/>
      <c r="C177" s="1094" t="s">
        <v>653</v>
      </c>
      <c r="D177" s="1095" t="s">
        <v>471</v>
      </c>
      <c r="E177" s="1095" t="s">
        <v>475</v>
      </c>
      <c r="F177" s="1095" t="s">
        <v>521</v>
      </c>
      <c r="G177" s="1095"/>
      <c r="H177" s="1095"/>
      <c r="I177" s="1139"/>
      <c r="J177" s="1744">
        <f>4032600*1.004*9</f>
        <v>36438573.600000001</v>
      </c>
      <c r="K177" s="1139"/>
      <c r="L177" s="1139"/>
      <c r="M177" s="1139"/>
      <c r="N177" s="1183">
        <f t="shared" si="48"/>
        <v>36438573.600000001</v>
      </c>
      <c r="O177" s="1139"/>
      <c r="P177" s="1139"/>
      <c r="Q177" s="1139"/>
      <c r="R177" s="1139"/>
      <c r="S177" s="1183">
        <f t="shared" si="49"/>
        <v>0</v>
      </c>
      <c r="T177" s="1727">
        <f t="shared" si="50"/>
        <v>36438573.600000001</v>
      </c>
      <c r="U177" s="1083">
        <v>36438573.600000001</v>
      </c>
      <c r="V177" s="1083">
        <v>36438573.600000001</v>
      </c>
      <c r="W177" s="1083">
        <v>36438573.600000001</v>
      </c>
      <c r="X177" s="1083">
        <f t="shared" si="51"/>
        <v>0</v>
      </c>
      <c r="Y177" s="1083"/>
      <c r="Z177" s="1083"/>
      <c r="AA177" s="1083"/>
      <c r="AB177" s="1083"/>
      <c r="AC177" s="1083"/>
      <c r="AD177" s="1083"/>
      <c r="AE177" s="1083"/>
      <c r="AF177" s="1083"/>
      <c r="AG177" s="1083"/>
      <c r="AH177" s="1083" t="s">
        <v>52</v>
      </c>
      <c r="AI177" s="1083" t="s">
        <v>1319</v>
      </c>
    </row>
    <row r="178" spans="1:35" s="1080" customFormat="1" ht="15">
      <c r="A178" s="294"/>
      <c r="B178" s="294"/>
      <c r="C178" s="1094" t="s">
        <v>653</v>
      </c>
      <c r="D178" s="1095" t="s">
        <v>471</v>
      </c>
      <c r="E178" s="1095" t="s">
        <v>475</v>
      </c>
      <c r="F178" s="1095" t="s">
        <v>521</v>
      </c>
      <c r="G178" s="1095"/>
      <c r="H178" s="1095"/>
      <c r="I178" s="1139"/>
      <c r="J178" s="1744">
        <v>17287221.199999809</v>
      </c>
      <c r="K178" s="1139"/>
      <c r="L178" s="1139"/>
      <c r="M178" s="1139"/>
      <c r="N178" s="1183">
        <f t="shared" si="48"/>
        <v>17287221.199999809</v>
      </c>
      <c r="O178" s="1139"/>
      <c r="P178" s="1139"/>
      <c r="Q178" s="1139"/>
      <c r="R178" s="1139"/>
      <c r="S178" s="1183">
        <f t="shared" si="49"/>
        <v>0</v>
      </c>
      <c r="T178" s="1727">
        <f t="shared" si="50"/>
        <v>17287221.199999809</v>
      </c>
      <c r="U178" s="1083">
        <v>17287221.199999802</v>
      </c>
      <c r="V178" s="1083">
        <v>17287221.199999802</v>
      </c>
      <c r="W178" s="1083">
        <v>17287221.199999802</v>
      </c>
      <c r="X178" s="1083">
        <f t="shared" si="51"/>
        <v>0</v>
      </c>
      <c r="Y178" s="1083"/>
      <c r="Z178" s="1083"/>
      <c r="AA178" s="1083"/>
      <c r="AB178" s="1083"/>
      <c r="AC178" s="1083"/>
      <c r="AD178" s="1083"/>
      <c r="AE178" s="1083"/>
      <c r="AF178" s="1083"/>
      <c r="AG178" s="1083"/>
      <c r="AH178" s="1083" t="s">
        <v>52</v>
      </c>
      <c r="AI178" s="1083" t="s">
        <v>1319</v>
      </c>
    </row>
    <row r="179" spans="1:35" s="1080" customFormat="1" ht="15">
      <c r="A179" s="294"/>
      <c r="B179" s="294"/>
      <c r="C179" s="1094" t="s">
        <v>653</v>
      </c>
      <c r="D179" s="1095" t="s">
        <v>471</v>
      </c>
      <c r="E179" s="1095" t="s">
        <v>475</v>
      </c>
      <c r="F179" s="1095" t="s">
        <v>521</v>
      </c>
      <c r="G179" s="1095"/>
      <c r="H179" s="1095"/>
      <c r="I179" s="1139"/>
      <c r="J179" s="1744"/>
      <c r="K179" s="1139"/>
      <c r="L179" s="1139"/>
      <c r="M179" s="1139"/>
      <c r="N179" s="1183">
        <f t="shared" si="48"/>
        <v>0</v>
      </c>
      <c r="O179" s="1139"/>
      <c r="P179" s="1139"/>
      <c r="Q179" s="1139"/>
      <c r="R179" s="1139">
        <f>4048730.4*4.5</f>
        <v>18219286.800000001</v>
      </c>
      <c r="S179" s="1183">
        <f t="shared" si="49"/>
        <v>18219286.800000001</v>
      </c>
      <c r="T179" s="1727">
        <f t="shared" si="50"/>
        <v>18219286.800000001</v>
      </c>
      <c r="U179" s="1083">
        <v>18219286.800000001</v>
      </c>
      <c r="V179" s="1083">
        <v>18219286.800000001</v>
      </c>
      <c r="W179" s="1083">
        <v>18219286.800000001</v>
      </c>
      <c r="X179" s="1083">
        <f t="shared" si="51"/>
        <v>0</v>
      </c>
      <c r="Y179" s="1083"/>
      <c r="Z179" s="1083"/>
      <c r="AA179" s="1083"/>
      <c r="AB179" s="1083"/>
      <c r="AC179" s="1083"/>
      <c r="AD179" s="1083"/>
      <c r="AE179" s="1083"/>
      <c r="AF179" s="1083"/>
      <c r="AG179" s="1083"/>
      <c r="AH179" s="1083" t="s">
        <v>52</v>
      </c>
      <c r="AI179" s="1083" t="s">
        <v>1319</v>
      </c>
    </row>
    <row r="180" spans="1:35" s="1080" customFormat="1" ht="15">
      <c r="A180" s="294"/>
      <c r="B180" s="294"/>
      <c r="C180" s="1094" t="s">
        <v>653</v>
      </c>
      <c r="D180" s="1095" t="s">
        <v>471</v>
      </c>
      <c r="E180" s="1095" t="s">
        <v>475</v>
      </c>
      <c r="F180" s="1095" t="s">
        <v>521</v>
      </c>
      <c r="G180" s="1095"/>
      <c r="H180" s="1095"/>
      <c r="I180" s="1139"/>
      <c r="J180" s="1744">
        <f>6181700*1.004</f>
        <v>6206426.7999999998</v>
      </c>
      <c r="K180" s="1139"/>
      <c r="L180" s="1139"/>
      <c r="M180" s="1139"/>
      <c r="N180" s="1183">
        <f t="shared" si="48"/>
        <v>6206426.7999999998</v>
      </c>
      <c r="O180" s="1139"/>
      <c r="P180" s="1139"/>
      <c r="Q180" s="1139"/>
      <c r="R180" s="1139">
        <f>4048730.4*4.5</f>
        <v>18219286.800000001</v>
      </c>
      <c r="S180" s="1183">
        <f t="shared" si="49"/>
        <v>18219286.800000001</v>
      </c>
      <c r="T180" s="1727">
        <f t="shared" si="50"/>
        <v>24425713.600000001</v>
      </c>
      <c r="U180" s="1083">
        <v>24425713.600000001</v>
      </c>
      <c r="V180" s="1083">
        <v>24425713.600000001</v>
      </c>
      <c r="W180" s="1083">
        <v>24425713.600000001</v>
      </c>
      <c r="X180" s="1083">
        <f t="shared" si="51"/>
        <v>0</v>
      </c>
      <c r="Y180" s="1083"/>
      <c r="Z180" s="1083"/>
      <c r="AA180" s="1083"/>
      <c r="AB180" s="1083"/>
      <c r="AC180" s="1083"/>
      <c r="AD180" s="1083"/>
      <c r="AE180" s="1083"/>
      <c r="AF180" s="1083"/>
      <c r="AG180" s="1083"/>
      <c r="AH180" s="1083" t="s">
        <v>52</v>
      </c>
      <c r="AI180" s="1083" t="s">
        <v>1319</v>
      </c>
    </row>
    <row r="181" spans="1:35" s="1080" customFormat="1" ht="15">
      <c r="A181" s="294"/>
      <c r="B181" s="294"/>
      <c r="C181" s="1094" t="s">
        <v>653</v>
      </c>
      <c r="D181" s="1095" t="s">
        <v>471</v>
      </c>
      <c r="E181" s="1095" t="s">
        <v>475</v>
      </c>
      <c r="F181" s="1095" t="s">
        <v>521</v>
      </c>
      <c r="G181" s="1095"/>
      <c r="H181" s="1095"/>
      <c r="I181" s="1139"/>
      <c r="J181" s="1139"/>
      <c r="K181" s="1139"/>
      <c r="L181" s="1139"/>
      <c r="M181" s="1139"/>
      <c r="N181" s="1183">
        <f t="shared" si="48"/>
        <v>0</v>
      </c>
      <c r="O181" s="1139"/>
      <c r="P181" s="1139"/>
      <c r="Q181" s="1139"/>
      <c r="R181" s="1139">
        <f>4048730.4*4.5</f>
        <v>18219286.800000001</v>
      </c>
      <c r="S181" s="1183">
        <f t="shared" si="49"/>
        <v>18219286.800000001</v>
      </c>
      <c r="T181" s="1727">
        <f t="shared" si="50"/>
        <v>18219286.800000001</v>
      </c>
      <c r="U181" s="1083">
        <v>18219286.800000001</v>
      </c>
      <c r="V181" s="1083"/>
      <c r="W181" s="1083"/>
      <c r="X181" s="1083">
        <f t="shared" si="51"/>
        <v>18219286.800000001</v>
      </c>
      <c r="Y181" s="1083"/>
      <c r="Z181" s="1083"/>
      <c r="AA181" s="1083"/>
      <c r="AB181" s="1083"/>
      <c r="AC181" s="1083"/>
      <c r="AD181" s="1083"/>
      <c r="AE181" s="1083"/>
      <c r="AF181" s="1083"/>
      <c r="AG181" s="1083">
        <v>18219286.800000001</v>
      </c>
      <c r="AH181" s="1083" t="s">
        <v>52</v>
      </c>
      <c r="AI181" s="1083" t="s">
        <v>1319</v>
      </c>
    </row>
    <row r="182" spans="1:35" s="150" customFormat="1" ht="20.25" customHeight="1">
      <c r="A182" s="294"/>
      <c r="B182" s="294"/>
      <c r="C182" s="5" t="s">
        <v>900</v>
      </c>
      <c r="D182" s="379" t="s">
        <v>471</v>
      </c>
      <c r="E182" s="379" t="s">
        <v>475</v>
      </c>
      <c r="F182" s="379" t="s">
        <v>521</v>
      </c>
      <c r="G182" s="379"/>
      <c r="H182" s="379"/>
      <c r="I182" s="213"/>
      <c r="J182" s="213"/>
      <c r="K182" s="213"/>
      <c r="L182" s="213"/>
      <c r="M182" s="213"/>
      <c r="N182" s="421">
        <f t="shared" si="48"/>
        <v>0</v>
      </c>
      <c r="O182" s="213"/>
      <c r="P182" s="213"/>
      <c r="Q182" s="213"/>
      <c r="R182" s="213">
        <f>19481616/7*5</f>
        <v>13915440</v>
      </c>
      <c r="S182" s="421">
        <f t="shared" si="49"/>
        <v>13915440</v>
      </c>
      <c r="T182" s="488">
        <f t="shared" si="50"/>
        <v>13915440</v>
      </c>
      <c r="U182" s="1025">
        <v>13915440</v>
      </c>
      <c r="V182" s="1025"/>
      <c r="W182" s="1025"/>
      <c r="X182" s="1025">
        <f t="shared" si="51"/>
        <v>13915440</v>
      </c>
      <c r="Y182" s="1025"/>
      <c r="Z182" s="1025"/>
      <c r="AA182" s="1025"/>
      <c r="AB182" s="1025"/>
      <c r="AC182" s="1025"/>
      <c r="AD182" s="1025"/>
      <c r="AE182" s="1025"/>
      <c r="AF182" s="1025"/>
      <c r="AG182" s="1025">
        <v>13915440</v>
      </c>
      <c r="AH182" s="1025" t="s">
        <v>52</v>
      </c>
      <c r="AI182" s="1025" t="s">
        <v>1319</v>
      </c>
    </row>
    <row r="183" spans="1:35" s="490" customFormat="1" ht="20.25" customHeight="1">
      <c r="A183" s="294"/>
      <c r="B183" s="294"/>
      <c r="C183" s="5" t="s">
        <v>654</v>
      </c>
      <c r="D183" s="379" t="s">
        <v>471</v>
      </c>
      <c r="E183" s="379" t="s">
        <v>475</v>
      </c>
      <c r="F183" s="379" t="s">
        <v>521</v>
      </c>
      <c r="G183" s="379"/>
      <c r="H183" s="379"/>
      <c r="I183" s="213"/>
      <c r="J183" s="213"/>
      <c r="K183" s="213"/>
      <c r="L183" s="213"/>
      <c r="M183" s="213"/>
      <c r="N183" s="421">
        <f t="shared" si="48"/>
        <v>0</v>
      </c>
      <c r="O183" s="213"/>
      <c r="P183" s="213"/>
      <c r="Q183" s="213"/>
      <c r="R183" s="213">
        <f>10274936/7*5</f>
        <v>7339240</v>
      </c>
      <c r="S183" s="421">
        <f t="shared" si="49"/>
        <v>7339240</v>
      </c>
      <c r="T183" s="488">
        <f t="shared" si="50"/>
        <v>7339240</v>
      </c>
      <c r="U183" s="1057">
        <v>7339240</v>
      </c>
      <c r="V183" s="1025"/>
      <c r="W183" s="1057"/>
      <c r="X183" s="1025">
        <f t="shared" si="51"/>
        <v>7339240</v>
      </c>
      <c r="Y183" s="1057"/>
      <c r="Z183" s="1057"/>
      <c r="AA183" s="1057"/>
      <c r="AB183" s="1057"/>
      <c r="AC183" s="1057"/>
      <c r="AD183" s="1057"/>
      <c r="AE183" s="1057"/>
      <c r="AF183" s="1057"/>
      <c r="AG183" s="1057">
        <v>7339240</v>
      </c>
      <c r="AH183" s="1025" t="s">
        <v>52</v>
      </c>
      <c r="AI183" s="1025" t="s">
        <v>1319</v>
      </c>
    </row>
    <row r="184" spans="1:35" s="1351" customFormat="1" ht="15">
      <c r="A184" s="294"/>
      <c r="B184" s="294"/>
      <c r="C184" s="1094" t="s">
        <v>654</v>
      </c>
      <c r="D184" s="1095" t="s">
        <v>471</v>
      </c>
      <c r="E184" s="1095" t="s">
        <v>475</v>
      </c>
      <c r="F184" s="1095" t="s">
        <v>521</v>
      </c>
      <c r="G184" s="1095"/>
      <c r="H184" s="1095"/>
      <c r="I184" s="1139"/>
      <c r="J184" s="1139">
        <v>4568601.5999999996</v>
      </c>
      <c r="K184" s="1139"/>
      <c r="L184" s="1139"/>
      <c r="M184" s="1139"/>
      <c r="N184" s="1183">
        <f t="shared" si="48"/>
        <v>4568601.5999999996</v>
      </c>
      <c r="O184" s="1139"/>
      <c r="P184" s="1139"/>
      <c r="Q184" s="1139"/>
      <c r="R184" s="1139"/>
      <c r="S184" s="1183">
        <f t="shared" si="49"/>
        <v>0</v>
      </c>
      <c r="T184" s="1727">
        <f t="shared" si="50"/>
        <v>4568601.5999999996</v>
      </c>
      <c r="U184" s="1353">
        <v>4568601.5999999996</v>
      </c>
      <c r="V184" s="1083">
        <v>4568601.5999999996</v>
      </c>
      <c r="W184" s="1353">
        <v>4568601.5999999996</v>
      </c>
      <c r="X184" s="1083">
        <f t="shared" si="51"/>
        <v>0</v>
      </c>
      <c r="Y184" s="1353"/>
      <c r="Z184" s="1353"/>
      <c r="AA184" s="1353"/>
      <c r="AB184" s="1353"/>
      <c r="AC184" s="1353"/>
      <c r="AD184" s="1353"/>
      <c r="AE184" s="1353"/>
      <c r="AF184" s="1353"/>
      <c r="AG184" s="1353"/>
      <c r="AH184" s="1083" t="s">
        <v>52</v>
      </c>
      <c r="AI184" s="1083" t="s">
        <v>1319</v>
      </c>
    </row>
    <row r="185" spans="1:35" s="1080" customFormat="1" ht="15">
      <c r="A185" s="294"/>
      <c r="B185" s="294"/>
      <c r="C185" s="1094" t="s">
        <v>886</v>
      </c>
      <c r="D185" s="1095" t="s">
        <v>471</v>
      </c>
      <c r="E185" s="1095" t="s">
        <v>475</v>
      </c>
      <c r="F185" s="1095" t="s">
        <v>521</v>
      </c>
      <c r="G185" s="1095"/>
      <c r="H185" s="1095"/>
      <c r="I185" s="1139"/>
      <c r="J185" s="1139">
        <v>27762021.768000126</v>
      </c>
      <c r="K185" s="1139"/>
      <c r="L185" s="1139"/>
      <c r="M185" s="1139"/>
      <c r="N185" s="1183">
        <f t="shared" si="48"/>
        <v>27762021.768000126</v>
      </c>
      <c r="O185" s="1139"/>
      <c r="P185" s="1139"/>
      <c r="Q185" s="1139"/>
      <c r="R185" s="1139"/>
      <c r="S185" s="1183">
        <f t="shared" si="49"/>
        <v>0</v>
      </c>
      <c r="T185" s="1727">
        <f t="shared" si="50"/>
        <v>27762021.768000126</v>
      </c>
      <c r="U185" s="1083">
        <v>27762021.768000126</v>
      </c>
      <c r="V185" s="1083">
        <v>27762021.768000126</v>
      </c>
      <c r="W185" s="1083">
        <v>27762021.768000126</v>
      </c>
      <c r="X185" s="1083">
        <f t="shared" si="51"/>
        <v>0</v>
      </c>
      <c r="Y185" s="1083"/>
      <c r="Z185" s="1083"/>
      <c r="AA185" s="1083"/>
      <c r="AB185" s="1083"/>
      <c r="AC185" s="1083"/>
      <c r="AD185" s="1083"/>
      <c r="AE185" s="1083"/>
      <c r="AF185" s="1083"/>
      <c r="AG185" s="1083"/>
      <c r="AH185" s="1083" t="s">
        <v>52</v>
      </c>
      <c r="AI185" s="1083" t="s">
        <v>1319</v>
      </c>
    </row>
    <row r="186" spans="1:35" s="1080" customFormat="1" ht="15">
      <c r="A186" s="294"/>
      <c r="B186" s="294"/>
      <c r="C186" s="1094" t="s">
        <v>655</v>
      </c>
      <c r="D186" s="1095" t="s">
        <v>471</v>
      </c>
      <c r="E186" s="1095" t="s">
        <v>475</v>
      </c>
      <c r="F186" s="1095" t="s">
        <v>521</v>
      </c>
      <c r="G186" s="1095"/>
      <c r="H186" s="1095"/>
      <c r="I186" s="1139"/>
      <c r="J186" s="1139">
        <f>34414208.4-14170556.4</f>
        <v>20243652</v>
      </c>
      <c r="K186" s="1139"/>
      <c r="L186" s="1139"/>
      <c r="M186" s="1139"/>
      <c r="N186" s="1183">
        <f t="shared" si="48"/>
        <v>20243652</v>
      </c>
      <c r="O186" s="1139"/>
      <c r="P186" s="1139"/>
      <c r="Q186" s="1139"/>
      <c r="R186" s="1139"/>
      <c r="S186" s="1183">
        <f t="shared" si="49"/>
        <v>0</v>
      </c>
      <c r="T186" s="1727">
        <f t="shared" si="50"/>
        <v>20243652</v>
      </c>
      <c r="U186" s="1083">
        <v>32389843.199999999</v>
      </c>
      <c r="V186" s="1083">
        <v>20243652</v>
      </c>
      <c r="W186" s="1083">
        <v>20243652</v>
      </c>
      <c r="X186" s="1083">
        <f t="shared" si="51"/>
        <v>12146191.199999999</v>
      </c>
      <c r="Y186" s="1083"/>
      <c r="Z186" s="1083"/>
      <c r="AA186" s="1083"/>
      <c r="AB186" s="1083"/>
      <c r="AC186" s="1083"/>
      <c r="AD186" s="1083"/>
      <c r="AE186" s="1083"/>
      <c r="AF186" s="1083"/>
      <c r="AG186" s="1083">
        <v>12146191.199999999</v>
      </c>
      <c r="AH186" s="1083" t="s">
        <v>52</v>
      </c>
      <c r="AI186" s="1083" t="s">
        <v>1319</v>
      </c>
    </row>
    <row r="187" spans="1:35" s="1084" customFormat="1" ht="15">
      <c r="A187" s="294"/>
      <c r="B187" s="294"/>
      <c r="C187" s="1088" t="s">
        <v>655</v>
      </c>
      <c r="D187" s="1089" t="s">
        <v>471</v>
      </c>
      <c r="E187" s="1089" t="s">
        <v>475</v>
      </c>
      <c r="F187" s="1089" t="s">
        <v>521</v>
      </c>
      <c r="G187" s="1089"/>
      <c r="H187" s="1089"/>
      <c r="I187" s="1231"/>
      <c r="J187" s="1231"/>
      <c r="K187" s="1231"/>
      <c r="L187" s="1231"/>
      <c r="M187" s="1231"/>
      <c r="N187" s="1306">
        <f t="shared" ref="N187:N188" si="52">+SUM(I187:M187)</f>
        <v>0</v>
      </c>
      <c r="O187" s="1231"/>
      <c r="P187" s="1231"/>
      <c r="Q187" s="1231"/>
      <c r="R187" s="1231">
        <v>12146191.199999999</v>
      </c>
      <c r="S187" s="1306">
        <f t="shared" ref="S187:S188" si="53">+SUM(O187:R187)</f>
        <v>12146191.199999999</v>
      </c>
      <c r="T187" s="1728">
        <f t="shared" ref="T187:T188" si="54">+S187+N187</f>
        <v>12146191.199999999</v>
      </c>
      <c r="U187" s="1085">
        <v>32389843.199999999</v>
      </c>
      <c r="V187" s="1085">
        <v>20243652</v>
      </c>
      <c r="W187" s="1085">
        <v>20243652</v>
      </c>
      <c r="X187" s="1085">
        <f t="shared" ref="X187:X188" si="55">+U187-W187</f>
        <v>12146191.199999999</v>
      </c>
      <c r="Y187" s="1085"/>
      <c r="Z187" s="1085"/>
      <c r="AA187" s="1085"/>
      <c r="AB187" s="1085"/>
      <c r="AC187" s="1085"/>
      <c r="AD187" s="1085"/>
      <c r="AE187" s="1085"/>
      <c r="AF187" s="1085"/>
      <c r="AG187" s="1085">
        <v>12146191.199999999</v>
      </c>
      <c r="AH187" s="1085" t="s">
        <v>52</v>
      </c>
      <c r="AI187" s="1085" t="s">
        <v>1319</v>
      </c>
    </row>
    <row r="188" spans="1:35" s="1080" customFormat="1" ht="15" customHeight="1">
      <c r="A188" s="294"/>
      <c r="B188" s="294"/>
      <c r="C188" s="1094" t="s">
        <v>655</v>
      </c>
      <c r="D188" s="1095" t="s">
        <v>471</v>
      </c>
      <c r="E188" s="1095" t="s">
        <v>475</v>
      </c>
      <c r="F188" s="1095" t="s">
        <v>521</v>
      </c>
      <c r="G188" s="1095"/>
      <c r="H188" s="1095"/>
      <c r="I188" s="1139"/>
      <c r="J188" s="1139">
        <v>20243652</v>
      </c>
      <c r="K188" s="1139"/>
      <c r="L188" s="1139"/>
      <c r="M188" s="1139"/>
      <c r="N188" s="1183">
        <f t="shared" si="52"/>
        <v>20243652</v>
      </c>
      <c r="O188" s="1139"/>
      <c r="P188" s="1139"/>
      <c r="Q188" s="1139"/>
      <c r="R188" s="1139"/>
      <c r="S188" s="1183">
        <f t="shared" si="53"/>
        <v>0</v>
      </c>
      <c r="T188" s="1727">
        <f t="shared" si="54"/>
        <v>20243652</v>
      </c>
      <c r="U188" s="1083">
        <v>32389843.199999999</v>
      </c>
      <c r="V188" s="1083">
        <v>20243652</v>
      </c>
      <c r="W188" s="1083">
        <v>20243652</v>
      </c>
      <c r="X188" s="1083">
        <f t="shared" si="55"/>
        <v>12146191.199999999</v>
      </c>
      <c r="Y188" s="1083"/>
      <c r="Z188" s="1083"/>
      <c r="AA188" s="1083"/>
      <c r="AB188" s="1083"/>
      <c r="AC188" s="1083"/>
      <c r="AD188" s="1083"/>
      <c r="AE188" s="1083"/>
      <c r="AF188" s="1083"/>
      <c r="AG188" s="1083">
        <v>12146191.199999999</v>
      </c>
      <c r="AH188" s="1083" t="s">
        <v>52</v>
      </c>
      <c r="AI188" s="1083" t="s">
        <v>1319</v>
      </c>
    </row>
    <row r="189" spans="1:35" s="1084" customFormat="1" ht="15" customHeight="1">
      <c r="A189" s="294"/>
      <c r="B189" s="294"/>
      <c r="C189" s="1088" t="s">
        <v>655</v>
      </c>
      <c r="D189" s="1089" t="s">
        <v>471</v>
      </c>
      <c r="E189" s="1089" t="s">
        <v>475</v>
      </c>
      <c r="F189" s="1089" t="s">
        <v>521</v>
      </c>
      <c r="G189" s="1089"/>
      <c r="H189" s="1089"/>
      <c r="I189" s="1231"/>
      <c r="J189" s="1231"/>
      <c r="K189" s="1231"/>
      <c r="L189" s="1231"/>
      <c r="M189" s="1231"/>
      <c r="N189" s="1306">
        <f t="shared" si="48"/>
        <v>0</v>
      </c>
      <c r="O189" s="1231"/>
      <c r="P189" s="1231"/>
      <c r="Q189" s="1231"/>
      <c r="R189" s="1231">
        <v>12146191.199999999</v>
      </c>
      <c r="S189" s="1306">
        <f t="shared" si="49"/>
        <v>12146191.199999999</v>
      </c>
      <c r="T189" s="1728">
        <f t="shared" si="50"/>
        <v>12146191.199999999</v>
      </c>
      <c r="U189" s="1085">
        <v>32389843.199999999</v>
      </c>
      <c r="V189" s="1085">
        <v>20243652</v>
      </c>
      <c r="W189" s="1085">
        <v>20243652</v>
      </c>
      <c r="X189" s="1085">
        <f t="shared" si="51"/>
        <v>12146191.199999999</v>
      </c>
      <c r="Y189" s="1085"/>
      <c r="Z189" s="1085"/>
      <c r="AA189" s="1085"/>
      <c r="AB189" s="1085"/>
      <c r="AC189" s="1085"/>
      <c r="AD189" s="1085"/>
      <c r="AE189" s="1085"/>
      <c r="AF189" s="1085"/>
      <c r="AG189" s="1085">
        <v>12146191.199999999</v>
      </c>
      <c r="AH189" s="1085" t="s">
        <v>52</v>
      </c>
      <c r="AI189" s="1085" t="s">
        <v>1319</v>
      </c>
    </row>
    <row r="190" spans="1:35" s="150" customFormat="1" ht="23.25" customHeight="1">
      <c r="A190" s="294"/>
      <c r="B190" s="294"/>
      <c r="C190" s="5" t="s">
        <v>901</v>
      </c>
      <c r="D190" s="379" t="s">
        <v>471</v>
      </c>
      <c r="E190" s="379" t="s">
        <v>475</v>
      </c>
      <c r="F190" s="379" t="s">
        <v>521</v>
      </c>
      <c r="G190" s="379"/>
      <c r="H190" s="379"/>
      <c r="I190" s="213"/>
      <c r="J190" s="213"/>
      <c r="K190" s="213"/>
      <c r="L190" s="213"/>
      <c r="M190" s="213"/>
      <c r="N190" s="421">
        <f t="shared" si="48"/>
        <v>0</v>
      </c>
      <c r="O190" s="213"/>
      <c r="P190" s="213"/>
      <c r="Q190" s="213"/>
      <c r="R190" s="213">
        <f>10274936/7*5</f>
        <v>7339240</v>
      </c>
      <c r="S190" s="421">
        <f t="shared" si="49"/>
        <v>7339240</v>
      </c>
      <c r="T190" s="488">
        <f t="shared" si="50"/>
        <v>7339240</v>
      </c>
      <c r="U190" s="1025">
        <v>7339240</v>
      </c>
      <c r="V190" s="1025"/>
      <c r="W190" s="1025"/>
      <c r="X190" s="1025">
        <f t="shared" si="51"/>
        <v>7339240</v>
      </c>
      <c r="Y190" s="1025"/>
      <c r="Z190" s="1025"/>
      <c r="AA190" s="1025"/>
      <c r="AB190" s="1025"/>
      <c r="AC190" s="1025"/>
      <c r="AD190" s="1025"/>
      <c r="AE190" s="1025"/>
      <c r="AF190" s="1025"/>
      <c r="AG190" s="1025">
        <v>7339240</v>
      </c>
      <c r="AH190" s="1025" t="s">
        <v>52</v>
      </c>
      <c r="AI190" s="1025" t="s">
        <v>1319</v>
      </c>
    </row>
    <row r="191" spans="1:35" s="1080" customFormat="1" ht="15">
      <c r="A191" s="294"/>
      <c r="B191" s="294"/>
      <c r="C191" s="1094" t="s">
        <v>476</v>
      </c>
      <c r="D191" s="1095" t="s">
        <v>471</v>
      </c>
      <c r="E191" s="1095" t="s">
        <v>475</v>
      </c>
      <c r="F191" s="1095" t="s">
        <v>521</v>
      </c>
      <c r="G191" s="1095"/>
      <c r="H191" s="1095"/>
      <c r="I191" s="1139"/>
      <c r="J191" s="1139">
        <f>35538929.36-3149086.16</f>
        <v>32389843.199999999</v>
      </c>
      <c r="K191" s="1139"/>
      <c r="L191" s="1139"/>
      <c r="M191" s="1139"/>
      <c r="N191" s="1183">
        <f t="shared" si="48"/>
        <v>32389843.199999999</v>
      </c>
      <c r="O191" s="1139"/>
      <c r="P191" s="1139"/>
      <c r="Q191" s="1139"/>
      <c r="R191" s="1139"/>
      <c r="S191" s="1183">
        <f t="shared" si="49"/>
        <v>0</v>
      </c>
      <c r="T191" s="1727">
        <f t="shared" si="50"/>
        <v>32389843.199999999</v>
      </c>
      <c r="U191" s="1083">
        <v>32389843.199999999</v>
      </c>
      <c r="V191" s="1083">
        <v>32389843.199999999</v>
      </c>
      <c r="W191" s="1083">
        <v>32389843.199999999</v>
      </c>
      <c r="X191" s="1083">
        <f t="shared" si="51"/>
        <v>0</v>
      </c>
      <c r="Y191" s="1083"/>
      <c r="Z191" s="1083"/>
      <c r="AA191" s="1083"/>
      <c r="AB191" s="1083"/>
      <c r="AC191" s="1083"/>
      <c r="AD191" s="1083"/>
      <c r="AE191" s="1083"/>
      <c r="AF191" s="1083"/>
      <c r="AG191" s="1083"/>
      <c r="AH191" s="1083" t="s">
        <v>52</v>
      </c>
      <c r="AI191" s="1083" t="s">
        <v>1319</v>
      </c>
    </row>
    <row r="192" spans="1:35" s="1080" customFormat="1" ht="15">
      <c r="A192" s="294"/>
      <c r="B192" s="294"/>
      <c r="C192" s="1094" t="s">
        <v>477</v>
      </c>
      <c r="D192" s="1095" t="s">
        <v>471</v>
      </c>
      <c r="E192" s="1095" t="s">
        <v>475</v>
      </c>
      <c r="F192" s="1095" t="s">
        <v>521</v>
      </c>
      <c r="G192" s="1095"/>
      <c r="H192" s="1095"/>
      <c r="I192" s="1139"/>
      <c r="J192" s="1139">
        <v>35538929.359999999</v>
      </c>
      <c r="K192" s="1139"/>
      <c r="L192" s="1139"/>
      <c r="M192" s="1139"/>
      <c r="N192" s="1183">
        <f t="shared" si="48"/>
        <v>35538929.359999999</v>
      </c>
      <c r="O192" s="1139"/>
      <c r="P192" s="1139"/>
      <c r="Q192" s="1139"/>
      <c r="R192" s="1139"/>
      <c r="S192" s="1183">
        <f t="shared" si="49"/>
        <v>0</v>
      </c>
      <c r="T192" s="1727">
        <f t="shared" si="50"/>
        <v>35538929.359999999</v>
      </c>
      <c r="U192" s="1083">
        <v>35538929.359999999</v>
      </c>
      <c r="V192" s="1083">
        <v>35538929.359999999</v>
      </c>
      <c r="W192" s="1083">
        <v>35538929.359999999</v>
      </c>
      <c r="X192" s="1083">
        <f t="shared" si="51"/>
        <v>0</v>
      </c>
      <c r="Y192" s="1083"/>
      <c r="Z192" s="1083"/>
      <c r="AA192" s="1083"/>
      <c r="AB192" s="1083"/>
      <c r="AC192" s="1083"/>
      <c r="AD192" s="1083"/>
      <c r="AE192" s="1083"/>
      <c r="AF192" s="1083"/>
      <c r="AG192" s="1083"/>
      <c r="AH192" s="1083" t="s">
        <v>52</v>
      </c>
      <c r="AI192" s="1083" t="s">
        <v>1319</v>
      </c>
    </row>
    <row r="193" spans="1:35" s="1080" customFormat="1" ht="15">
      <c r="A193" s="294"/>
      <c r="B193" s="294"/>
      <c r="C193" s="1094" t="s">
        <v>477</v>
      </c>
      <c r="D193" s="1095" t="s">
        <v>471</v>
      </c>
      <c r="E193" s="1095" t="s">
        <v>475</v>
      </c>
      <c r="F193" s="1095" t="s">
        <v>521</v>
      </c>
      <c r="G193" s="1095"/>
      <c r="H193" s="1095"/>
      <c r="I193" s="1139"/>
      <c r="J193" s="1139">
        <v>35538929.359999999</v>
      </c>
      <c r="K193" s="1139"/>
      <c r="L193" s="1139"/>
      <c r="M193" s="1139"/>
      <c r="N193" s="1183">
        <f t="shared" si="48"/>
        <v>35538929.359999999</v>
      </c>
      <c r="O193" s="1139"/>
      <c r="P193" s="1139"/>
      <c r="Q193" s="1139"/>
      <c r="R193" s="1139"/>
      <c r="S193" s="1183">
        <f t="shared" si="49"/>
        <v>0</v>
      </c>
      <c r="T193" s="1727">
        <f t="shared" si="50"/>
        <v>35538929.359999999</v>
      </c>
      <c r="U193" s="1083">
        <v>35538929.359999999</v>
      </c>
      <c r="V193" s="1083">
        <v>35538929.359999999</v>
      </c>
      <c r="W193" s="1083">
        <v>35538929.359999999</v>
      </c>
      <c r="X193" s="1083">
        <f t="shared" si="51"/>
        <v>0</v>
      </c>
      <c r="Y193" s="1083"/>
      <c r="Z193" s="1083"/>
      <c r="AA193" s="1083"/>
      <c r="AB193" s="1083"/>
      <c r="AC193" s="1083"/>
      <c r="AD193" s="1083"/>
      <c r="AE193" s="1083"/>
      <c r="AF193" s="1083"/>
      <c r="AG193" s="1083"/>
      <c r="AH193" s="1083" t="s">
        <v>52</v>
      </c>
      <c r="AI193" s="1083" t="s">
        <v>1319</v>
      </c>
    </row>
    <row r="194" spans="1:35" s="1080" customFormat="1" ht="15">
      <c r="A194" s="294"/>
      <c r="B194" s="294"/>
      <c r="C194" s="1094" t="s">
        <v>477</v>
      </c>
      <c r="D194" s="1095" t="s">
        <v>471</v>
      </c>
      <c r="E194" s="1095" t="s">
        <v>475</v>
      </c>
      <c r="F194" s="1095" t="s">
        <v>521</v>
      </c>
      <c r="G194" s="1095"/>
      <c r="H194" s="1095"/>
      <c r="I194" s="1139"/>
      <c r="J194" s="1139"/>
      <c r="K194" s="1139"/>
      <c r="L194" s="1139"/>
      <c r="M194" s="1139"/>
      <c r="N194" s="1183">
        <f t="shared" si="48"/>
        <v>0</v>
      </c>
      <c r="O194" s="1139"/>
      <c r="P194" s="1139"/>
      <c r="Q194" s="1139"/>
      <c r="R194" s="1139">
        <f>4048730.4*4.5</f>
        <v>18219286.800000001</v>
      </c>
      <c r="S194" s="1183">
        <f t="shared" si="49"/>
        <v>18219286.800000001</v>
      </c>
      <c r="T194" s="1727">
        <f t="shared" si="50"/>
        <v>18219286.800000001</v>
      </c>
      <c r="U194" s="1083">
        <v>18219286.800000001</v>
      </c>
      <c r="V194" s="1083">
        <v>18219286.800000001</v>
      </c>
      <c r="W194" s="1083">
        <v>18219286.800000001</v>
      </c>
      <c r="X194" s="1083">
        <f t="shared" si="51"/>
        <v>0</v>
      </c>
      <c r="Y194" s="1083"/>
      <c r="Z194" s="1083"/>
      <c r="AA194" s="1083"/>
      <c r="AB194" s="1083"/>
      <c r="AC194" s="1083"/>
      <c r="AD194" s="1083"/>
      <c r="AE194" s="1083"/>
      <c r="AF194" s="1083"/>
      <c r="AG194" s="1083"/>
      <c r="AH194" s="1083" t="s">
        <v>52</v>
      </c>
      <c r="AI194" s="1083" t="s">
        <v>1319</v>
      </c>
    </row>
    <row r="195" spans="1:35" s="1080" customFormat="1" ht="15">
      <c r="A195" s="294"/>
      <c r="B195" s="294"/>
      <c r="C195" s="1094" t="s">
        <v>477</v>
      </c>
      <c r="D195" s="1095" t="s">
        <v>471</v>
      </c>
      <c r="E195" s="1095" t="s">
        <v>475</v>
      </c>
      <c r="F195" s="1095" t="s">
        <v>521</v>
      </c>
      <c r="G195" s="1095"/>
      <c r="H195" s="1095"/>
      <c r="I195" s="1139"/>
      <c r="J195" s="1139"/>
      <c r="K195" s="1139"/>
      <c r="L195" s="1139"/>
      <c r="M195" s="1139"/>
      <c r="N195" s="1183">
        <f t="shared" si="48"/>
        <v>0</v>
      </c>
      <c r="O195" s="1139"/>
      <c r="P195" s="1139"/>
      <c r="Q195" s="1139"/>
      <c r="R195" s="1139">
        <f>4048730.4*4.5</f>
        <v>18219286.800000001</v>
      </c>
      <c r="S195" s="1183">
        <f t="shared" si="49"/>
        <v>18219286.800000001</v>
      </c>
      <c r="T195" s="1727">
        <f t="shared" si="50"/>
        <v>18219286.800000001</v>
      </c>
      <c r="U195" s="1083">
        <v>18219286.800000001</v>
      </c>
      <c r="V195" s="1083">
        <v>18219286.800000001</v>
      </c>
      <c r="W195" s="1083">
        <v>18219286.800000001</v>
      </c>
      <c r="X195" s="1083">
        <f t="shared" si="51"/>
        <v>0</v>
      </c>
      <c r="Y195" s="1083"/>
      <c r="Z195" s="1083"/>
      <c r="AA195" s="1083"/>
      <c r="AB195" s="1083"/>
      <c r="AC195" s="1083"/>
      <c r="AD195" s="1083"/>
      <c r="AE195" s="1083"/>
      <c r="AF195" s="1083"/>
      <c r="AG195" s="1083"/>
      <c r="AH195" s="1083" t="s">
        <v>52</v>
      </c>
      <c r="AI195" s="1083" t="s">
        <v>1319</v>
      </c>
    </row>
    <row r="196" spans="1:35" s="1080" customFormat="1" ht="15">
      <c r="A196" s="294"/>
      <c r="B196" s="294"/>
      <c r="C196" s="1094" t="s">
        <v>477</v>
      </c>
      <c r="D196" s="1095" t="s">
        <v>471</v>
      </c>
      <c r="E196" s="1095" t="s">
        <v>475</v>
      </c>
      <c r="F196" s="1095" t="s">
        <v>521</v>
      </c>
      <c r="G196" s="1095"/>
      <c r="H196" s="1095"/>
      <c r="I196" s="1139"/>
      <c r="J196" s="1139"/>
      <c r="K196" s="1139"/>
      <c r="L196" s="1139"/>
      <c r="M196" s="1139"/>
      <c r="N196" s="1183">
        <f t="shared" si="48"/>
        <v>0</v>
      </c>
      <c r="O196" s="1139"/>
      <c r="P196" s="1139"/>
      <c r="Q196" s="1139"/>
      <c r="R196" s="1139">
        <f>4048730.4*4.5</f>
        <v>18219286.800000001</v>
      </c>
      <c r="S196" s="1183">
        <f t="shared" si="49"/>
        <v>18219286.800000001</v>
      </c>
      <c r="T196" s="1727">
        <f t="shared" si="50"/>
        <v>18219286.800000001</v>
      </c>
      <c r="U196" s="1083">
        <v>18219286.800000001</v>
      </c>
      <c r="V196" s="1083">
        <v>18219286.800000001</v>
      </c>
      <c r="W196" s="1083">
        <v>18219286.800000001</v>
      </c>
      <c r="X196" s="1083">
        <f t="shared" si="51"/>
        <v>0</v>
      </c>
      <c r="Y196" s="1083"/>
      <c r="Z196" s="1083"/>
      <c r="AA196" s="1083"/>
      <c r="AB196" s="1083"/>
      <c r="AC196" s="1083"/>
      <c r="AD196" s="1083"/>
      <c r="AE196" s="1083"/>
      <c r="AF196" s="1083"/>
      <c r="AG196" s="1083"/>
      <c r="AH196" s="1083" t="s">
        <v>52</v>
      </c>
      <c r="AI196" s="1083" t="s">
        <v>1319</v>
      </c>
    </row>
    <row r="197" spans="1:35" s="1080" customFormat="1" ht="15">
      <c r="A197" s="294"/>
      <c r="B197" s="294"/>
      <c r="C197" s="1094" t="s">
        <v>478</v>
      </c>
      <c r="D197" s="1095" t="s">
        <v>471</v>
      </c>
      <c r="E197" s="1095" t="s">
        <v>475</v>
      </c>
      <c r="F197" s="1095" t="s">
        <v>521</v>
      </c>
      <c r="G197" s="1095"/>
      <c r="H197" s="1095"/>
      <c r="I197" s="1139"/>
      <c r="J197" s="1139">
        <f>54115820*1.004</f>
        <v>54332283.280000001</v>
      </c>
      <c r="K197" s="1139"/>
      <c r="L197" s="1139"/>
      <c r="M197" s="1139"/>
      <c r="N197" s="1183">
        <f t="shared" si="48"/>
        <v>54332283.280000001</v>
      </c>
      <c r="O197" s="1139"/>
      <c r="P197" s="1139"/>
      <c r="Q197" s="1139"/>
      <c r="R197" s="1139"/>
      <c r="S197" s="1183">
        <f t="shared" si="49"/>
        <v>0</v>
      </c>
      <c r="T197" s="1727">
        <f t="shared" si="50"/>
        <v>54332283.280000001</v>
      </c>
      <c r="U197" s="1083">
        <v>54332283.280000001</v>
      </c>
      <c r="V197" s="1083">
        <v>54332283.280000001</v>
      </c>
      <c r="W197" s="1083">
        <v>54332283.280000001</v>
      </c>
      <c r="X197" s="1083">
        <f t="shared" si="51"/>
        <v>0</v>
      </c>
      <c r="Y197" s="1083"/>
      <c r="Z197" s="1083"/>
      <c r="AA197" s="1083"/>
      <c r="AB197" s="1083"/>
      <c r="AC197" s="1083"/>
      <c r="AD197" s="1083"/>
      <c r="AE197" s="1083"/>
      <c r="AF197" s="1083"/>
      <c r="AG197" s="1083"/>
      <c r="AH197" s="1083" t="s">
        <v>52</v>
      </c>
      <c r="AI197" s="1083" t="s">
        <v>1319</v>
      </c>
    </row>
    <row r="198" spans="1:35" s="150" customFormat="1" ht="15">
      <c r="A198" s="294"/>
      <c r="B198" s="294"/>
      <c r="C198" s="5" t="s">
        <v>528</v>
      </c>
      <c r="D198" s="379" t="s">
        <v>471</v>
      </c>
      <c r="E198" s="379" t="s">
        <v>475</v>
      </c>
      <c r="F198" s="379" t="s">
        <v>521</v>
      </c>
      <c r="G198" s="379"/>
      <c r="H198" s="379"/>
      <c r="I198" s="213"/>
      <c r="J198" s="213"/>
      <c r="K198" s="213"/>
      <c r="L198" s="213"/>
      <c r="M198" s="213"/>
      <c r="N198" s="421">
        <f t="shared" si="48"/>
        <v>0</v>
      </c>
      <c r="O198" s="213"/>
      <c r="P198" s="213"/>
      <c r="Q198" s="213"/>
      <c r="R198" s="213"/>
      <c r="S198" s="421">
        <f t="shared" si="49"/>
        <v>0</v>
      </c>
      <c r="T198" s="488">
        <f t="shared" si="50"/>
        <v>0</v>
      </c>
      <c r="U198" s="1025">
        <v>0</v>
      </c>
      <c r="V198" s="1025"/>
      <c r="W198" s="1025"/>
      <c r="X198" s="1025">
        <f t="shared" si="51"/>
        <v>0</v>
      </c>
      <c r="Y198" s="1025"/>
      <c r="Z198" s="1025"/>
      <c r="AA198" s="1025"/>
      <c r="AB198" s="1025"/>
      <c r="AC198" s="1025"/>
      <c r="AD198" s="1025"/>
      <c r="AE198" s="1025"/>
      <c r="AF198" s="1025"/>
      <c r="AG198" s="1025"/>
      <c r="AH198" s="1025" t="s">
        <v>52</v>
      </c>
      <c r="AI198" s="1025" t="s">
        <v>1319</v>
      </c>
    </row>
    <row r="199" spans="1:35" s="1080" customFormat="1" ht="25.5">
      <c r="A199" s="294"/>
      <c r="B199" s="294"/>
      <c r="C199" s="1094" t="s">
        <v>656</v>
      </c>
      <c r="D199" s="1095" t="s">
        <v>471</v>
      </c>
      <c r="E199" s="1095" t="s">
        <v>475</v>
      </c>
      <c r="F199" s="1095" t="s">
        <v>521</v>
      </c>
      <c r="G199" s="1095"/>
      <c r="H199" s="1095"/>
      <c r="I199" s="1110"/>
      <c r="J199" s="1110">
        <v>16194921.6</v>
      </c>
      <c r="K199" s="1110"/>
      <c r="L199" s="1139"/>
      <c r="M199" s="1139"/>
      <c r="N199" s="1183">
        <f t="shared" si="48"/>
        <v>16194921.6</v>
      </c>
      <c r="O199" s="1110"/>
      <c r="P199" s="1110"/>
      <c r="Q199" s="1110"/>
      <c r="R199" s="1110"/>
      <c r="S199" s="1183">
        <f t="shared" si="49"/>
        <v>0</v>
      </c>
      <c r="T199" s="1727">
        <f t="shared" si="50"/>
        <v>16194921.6</v>
      </c>
      <c r="U199" s="1083">
        <v>16194921.6</v>
      </c>
      <c r="V199" s="1083">
        <v>16194921.6</v>
      </c>
      <c r="W199" s="1083">
        <v>16194921.6</v>
      </c>
      <c r="X199" s="1083">
        <f t="shared" si="51"/>
        <v>0</v>
      </c>
      <c r="Y199" s="1083"/>
      <c r="Z199" s="1083"/>
      <c r="AA199" s="1083"/>
      <c r="AB199" s="1083"/>
      <c r="AC199" s="1083"/>
      <c r="AD199" s="1083"/>
      <c r="AE199" s="1083"/>
      <c r="AF199" s="1083"/>
      <c r="AG199" s="1083"/>
      <c r="AH199" s="1083" t="s">
        <v>52</v>
      </c>
      <c r="AI199" s="1083" t="s">
        <v>1319</v>
      </c>
    </row>
    <row r="200" spans="1:35" s="1080" customFormat="1" ht="15">
      <c r="A200" s="294"/>
      <c r="B200" s="294"/>
      <c r="C200" s="1094" t="s">
        <v>657</v>
      </c>
      <c r="D200" s="1095" t="s">
        <v>471</v>
      </c>
      <c r="E200" s="1095" t="s">
        <v>475</v>
      </c>
      <c r="F200" s="1095" t="s">
        <v>521</v>
      </c>
      <c r="G200" s="1095"/>
      <c r="H200" s="1095"/>
      <c r="I200" s="1139"/>
      <c r="J200" s="1139">
        <v>51950976</v>
      </c>
      <c r="K200" s="1139"/>
      <c r="L200" s="1139"/>
      <c r="M200" s="1139"/>
      <c r="N200" s="1183">
        <f t="shared" si="48"/>
        <v>51950976</v>
      </c>
      <c r="O200" s="1139"/>
      <c r="P200" s="1139"/>
      <c r="Q200" s="1139"/>
      <c r="R200" s="1139"/>
      <c r="S200" s="1183">
        <f t="shared" si="49"/>
        <v>0</v>
      </c>
      <c r="T200" s="1727">
        <f t="shared" si="50"/>
        <v>51950976</v>
      </c>
      <c r="U200" s="1083">
        <v>51950976</v>
      </c>
      <c r="V200" s="1083">
        <v>51950976</v>
      </c>
      <c r="W200" s="1083">
        <v>51950976</v>
      </c>
      <c r="X200" s="1083">
        <f t="shared" si="51"/>
        <v>0</v>
      </c>
      <c r="Y200" s="1083"/>
      <c r="Z200" s="1083"/>
      <c r="AA200" s="1083"/>
      <c r="AB200" s="1083"/>
      <c r="AC200" s="1083"/>
      <c r="AD200" s="1083"/>
      <c r="AE200" s="1083"/>
      <c r="AF200" s="1083"/>
      <c r="AG200" s="1083"/>
      <c r="AH200" s="1083" t="s">
        <v>52</v>
      </c>
      <c r="AI200" s="1083" t="s">
        <v>1319</v>
      </c>
    </row>
    <row r="201" spans="1:35" s="1080" customFormat="1" ht="15">
      <c r="A201" s="294"/>
      <c r="B201" s="294"/>
      <c r="C201" s="1094" t="s">
        <v>479</v>
      </c>
      <c r="D201" s="1095" t="s">
        <v>381</v>
      </c>
      <c r="E201" s="1095">
        <v>68030</v>
      </c>
      <c r="F201" s="1095" t="s">
        <v>521</v>
      </c>
      <c r="G201" s="1095"/>
      <c r="H201" s="1095"/>
      <c r="I201" s="1139"/>
      <c r="J201" s="1139">
        <v>11518641</v>
      </c>
      <c r="K201" s="1139"/>
      <c r="L201" s="1139"/>
      <c r="M201" s="1139"/>
      <c r="N201" s="1183">
        <f t="shared" si="48"/>
        <v>11518641</v>
      </c>
      <c r="O201" s="1139"/>
      <c r="P201" s="1139"/>
      <c r="Q201" s="1139"/>
      <c r="R201" s="1139"/>
      <c r="S201" s="1183">
        <f t="shared" si="49"/>
        <v>0</v>
      </c>
      <c r="T201" s="1727">
        <f t="shared" si="50"/>
        <v>11518641</v>
      </c>
      <c r="U201" s="1083">
        <v>11518641</v>
      </c>
      <c r="V201" s="1083">
        <v>11518641</v>
      </c>
      <c r="W201" s="1083">
        <v>11518641</v>
      </c>
      <c r="X201" s="1083">
        <f>+U201-W201</f>
        <v>0</v>
      </c>
      <c r="Y201" s="1083"/>
      <c r="Z201" s="1083"/>
      <c r="AA201" s="1083"/>
      <c r="AB201" s="1083"/>
      <c r="AC201" s="1083"/>
      <c r="AD201" s="1083"/>
      <c r="AE201" s="1083"/>
      <c r="AF201" s="1083"/>
      <c r="AG201" s="1083"/>
      <c r="AH201" s="1083" t="s">
        <v>52</v>
      </c>
      <c r="AI201" s="1083" t="s">
        <v>1320</v>
      </c>
    </row>
    <row r="202" spans="1:35" s="1080" customFormat="1" ht="15">
      <c r="A202" s="294"/>
      <c r="B202" s="294"/>
      <c r="C202" s="1094" t="s">
        <v>481</v>
      </c>
      <c r="D202" s="1095" t="s">
        <v>381</v>
      </c>
      <c r="E202" s="1095">
        <v>68030</v>
      </c>
      <c r="F202" s="1095" t="s">
        <v>521</v>
      </c>
      <c r="G202" s="1095"/>
      <c r="H202" s="1095"/>
      <c r="I202" s="1139"/>
      <c r="J202" s="1370">
        <v>11495800</v>
      </c>
      <c r="K202" s="1370"/>
      <c r="L202" s="1139"/>
      <c r="M202" s="1139"/>
      <c r="N202" s="1183">
        <f t="shared" si="48"/>
        <v>11495800</v>
      </c>
      <c r="O202" s="1139"/>
      <c r="P202" s="1139"/>
      <c r="Q202" s="1139"/>
      <c r="R202" s="1139"/>
      <c r="S202" s="1183">
        <f t="shared" si="49"/>
        <v>0</v>
      </c>
      <c r="T202" s="1727">
        <f t="shared" si="50"/>
        <v>11495800</v>
      </c>
      <c r="U202" s="1083">
        <v>11495800</v>
      </c>
      <c r="V202" s="1083">
        <v>11495800</v>
      </c>
      <c r="W202" s="1083">
        <v>11495800</v>
      </c>
      <c r="X202" s="1083">
        <f t="shared" ref="X202:X210" si="56">+U202-W202</f>
        <v>0</v>
      </c>
      <c r="Y202" s="1083"/>
      <c r="Z202" s="1083"/>
      <c r="AA202" s="1083"/>
      <c r="AB202" s="1083"/>
      <c r="AC202" s="1083"/>
      <c r="AD202" s="1083"/>
      <c r="AE202" s="1083"/>
      <c r="AF202" s="1083"/>
      <c r="AG202" s="1083"/>
      <c r="AH202" s="1083" t="s">
        <v>52</v>
      </c>
      <c r="AI202" s="1083" t="s">
        <v>1320</v>
      </c>
    </row>
    <row r="203" spans="1:35" s="1080" customFormat="1" ht="15">
      <c r="A203" s="294"/>
      <c r="B203" s="294"/>
      <c r="C203" s="1094" t="s">
        <v>482</v>
      </c>
      <c r="D203" s="1095" t="s">
        <v>381</v>
      </c>
      <c r="E203" s="1095">
        <v>68030</v>
      </c>
      <c r="F203" s="1095" t="s">
        <v>521</v>
      </c>
      <c r="G203" s="1095"/>
      <c r="H203" s="1095"/>
      <c r="I203" s="1139"/>
      <c r="J203" s="1139">
        <v>12503540</v>
      </c>
      <c r="K203" s="1139"/>
      <c r="L203" s="1139"/>
      <c r="M203" s="1139"/>
      <c r="N203" s="1183">
        <f t="shared" ref="N203" si="57">+SUM(I203:M203)</f>
        <v>12503540</v>
      </c>
      <c r="O203" s="1139"/>
      <c r="P203" s="1139"/>
      <c r="Q203" s="1139"/>
      <c r="R203" s="1139"/>
      <c r="S203" s="1183">
        <f t="shared" ref="S203" si="58">+SUM(O203:R203)</f>
        <v>0</v>
      </c>
      <c r="T203" s="1727">
        <f t="shared" ref="T203" si="59">+S203+N203</f>
        <v>12503540</v>
      </c>
      <c r="U203" s="1083">
        <v>12528639.9</v>
      </c>
      <c r="V203" s="1083">
        <v>12499800</v>
      </c>
      <c r="W203" s="1083">
        <v>12499800</v>
      </c>
      <c r="X203" s="1083">
        <f t="shared" ref="X203" si="60">+U203-W203</f>
        <v>28839.900000000373</v>
      </c>
      <c r="Y203" s="1083"/>
      <c r="Z203" s="1083">
        <v>28839.900000000373</v>
      </c>
      <c r="AA203" s="1083"/>
      <c r="AB203" s="1083"/>
      <c r="AC203" s="1083"/>
      <c r="AD203" s="1083"/>
      <c r="AE203" s="1083"/>
      <c r="AF203" s="1083"/>
      <c r="AG203" s="1083"/>
      <c r="AH203" s="1083" t="s">
        <v>52</v>
      </c>
      <c r="AI203" s="1083" t="s">
        <v>1320</v>
      </c>
    </row>
    <row r="204" spans="1:35" s="1084" customFormat="1" ht="15">
      <c r="A204" s="294"/>
      <c r="B204" s="294"/>
      <c r="C204" s="1088" t="s">
        <v>482</v>
      </c>
      <c r="D204" s="1089" t="s">
        <v>381</v>
      </c>
      <c r="E204" s="1089">
        <v>68030</v>
      </c>
      <c r="F204" s="1089" t="s">
        <v>521</v>
      </c>
      <c r="G204" s="1089"/>
      <c r="H204" s="1089"/>
      <c r="I204" s="1231"/>
      <c r="J204" s="1231">
        <f>13125241.8-596601.9-J203</f>
        <v>25099.900000000373</v>
      </c>
      <c r="K204" s="1231"/>
      <c r="L204" s="1231"/>
      <c r="M204" s="1231"/>
      <c r="N204" s="1306">
        <f t="shared" si="48"/>
        <v>25099.900000000373</v>
      </c>
      <c r="O204" s="1231"/>
      <c r="P204" s="1231"/>
      <c r="Q204" s="1231"/>
      <c r="R204" s="1231"/>
      <c r="S204" s="1306">
        <f t="shared" si="49"/>
        <v>0</v>
      </c>
      <c r="T204" s="1728">
        <f t="shared" si="50"/>
        <v>25099.900000000373</v>
      </c>
      <c r="U204" s="1085">
        <v>12528639.9</v>
      </c>
      <c r="V204" s="1085">
        <v>12499800</v>
      </c>
      <c r="W204" s="1085">
        <v>12499800</v>
      </c>
      <c r="X204" s="1085">
        <f t="shared" si="56"/>
        <v>28839.900000000373</v>
      </c>
      <c r="Y204" s="1085"/>
      <c r="Z204" s="1085">
        <v>28839.900000000373</v>
      </c>
      <c r="AA204" s="1085"/>
      <c r="AB204" s="1085"/>
      <c r="AC204" s="1085"/>
      <c r="AD204" s="1085"/>
      <c r="AE204" s="1085"/>
      <c r="AF204" s="1085"/>
      <c r="AG204" s="1085"/>
      <c r="AH204" s="1085" t="s">
        <v>52</v>
      </c>
      <c r="AI204" s="1085" t="s">
        <v>1320</v>
      </c>
    </row>
    <row r="205" spans="1:35" s="1080" customFormat="1" ht="15">
      <c r="A205" s="294"/>
      <c r="B205" s="294"/>
      <c r="C205" s="1094" t="s">
        <v>483</v>
      </c>
      <c r="D205" s="1095" t="s">
        <v>381</v>
      </c>
      <c r="E205" s="1095">
        <v>68030</v>
      </c>
      <c r="F205" s="1095" t="s">
        <v>521</v>
      </c>
      <c r="G205" s="1095"/>
      <c r="H205" s="1095"/>
      <c r="I205" s="1139"/>
      <c r="J205" s="1139">
        <v>12499800</v>
      </c>
      <c r="K205" s="1139"/>
      <c r="L205" s="1139"/>
      <c r="M205" s="1139"/>
      <c r="N205" s="1183">
        <f t="shared" ref="N205" si="61">+SUM(I205:M205)</f>
        <v>12499800</v>
      </c>
      <c r="O205" s="1139"/>
      <c r="P205" s="1139"/>
      <c r="Q205" s="1139"/>
      <c r="R205" s="1139"/>
      <c r="S205" s="1183">
        <f t="shared" ref="S205" si="62">+SUM(O205:R205)</f>
        <v>0</v>
      </c>
      <c r="T205" s="1727">
        <f t="shared" ref="T205" si="63">+S205+N205</f>
        <v>12499800</v>
      </c>
      <c r="U205" s="1083">
        <v>12528639.9</v>
      </c>
      <c r="V205" s="1083">
        <v>12503540</v>
      </c>
      <c r="W205" s="1083">
        <v>12503540</v>
      </c>
      <c r="X205" s="1083">
        <f t="shared" ref="X205" si="64">+U205-W205</f>
        <v>25099.900000000373</v>
      </c>
      <c r="Y205" s="1083"/>
      <c r="Z205" s="1083">
        <v>25099.900000000373</v>
      </c>
      <c r="AA205" s="1083"/>
      <c r="AB205" s="1083"/>
      <c r="AC205" s="1083"/>
      <c r="AD205" s="1083"/>
      <c r="AE205" s="1083"/>
      <c r="AF205" s="1083"/>
      <c r="AG205" s="1083"/>
      <c r="AH205" s="1083" t="s">
        <v>52</v>
      </c>
      <c r="AI205" s="1083" t="s">
        <v>1320</v>
      </c>
    </row>
    <row r="206" spans="1:35" s="1084" customFormat="1" ht="15">
      <c r="A206" s="294"/>
      <c r="B206" s="294"/>
      <c r="C206" s="1088" t="s">
        <v>483</v>
      </c>
      <c r="D206" s="1089" t="s">
        <v>381</v>
      </c>
      <c r="E206" s="1089">
        <v>68030</v>
      </c>
      <c r="F206" s="1089" t="s">
        <v>521</v>
      </c>
      <c r="G206" s="1089"/>
      <c r="H206" s="1089"/>
      <c r="I206" s="1231"/>
      <c r="J206" s="1231">
        <f>12528639.9-J205</f>
        <v>28839.900000000373</v>
      </c>
      <c r="K206" s="1231"/>
      <c r="L206" s="1231"/>
      <c r="M206" s="1231"/>
      <c r="N206" s="1306">
        <f t="shared" si="48"/>
        <v>28839.900000000373</v>
      </c>
      <c r="O206" s="1231"/>
      <c r="P206" s="1231"/>
      <c r="Q206" s="1231"/>
      <c r="R206" s="1231"/>
      <c r="S206" s="1306">
        <f t="shared" si="49"/>
        <v>0</v>
      </c>
      <c r="T206" s="1728">
        <f t="shared" si="50"/>
        <v>28839.900000000373</v>
      </c>
      <c r="U206" s="1085">
        <v>12528639.9</v>
      </c>
      <c r="V206" s="1085">
        <v>12503540</v>
      </c>
      <c r="W206" s="1085">
        <v>12503540</v>
      </c>
      <c r="X206" s="1085">
        <f t="shared" si="56"/>
        <v>25099.900000000373</v>
      </c>
      <c r="Y206" s="1085"/>
      <c r="Z206" s="1085">
        <v>25099.900000000373</v>
      </c>
      <c r="AA206" s="1085"/>
      <c r="AB206" s="1085"/>
      <c r="AC206" s="1085"/>
      <c r="AD206" s="1085"/>
      <c r="AE206" s="1085"/>
      <c r="AF206" s="1085"/>
      <c r="AG206" s="1085"/>
      <c r="AH206" s="1085" t="s">
        <v>52</v>
      </c>
      <c r="AI206" s="1085" t="s">
        <v>1320</v>
      </c>
    </row>
    <row r="207" spans="1:35" s="1080" customFormat="1" ht="15">
      <c r="A207" s="294"/>
      <c r="B207" s="294"/>
      <c r="C207" s="1094" t="s">
        <v>484</v>
      </c>
      <c r="D207" s="1095" t="s">
        <v>381</v>
      </c>
      <c r="E207" s="1095">
        <v>68030</v>
      </c>
      <c r="F207" s="1095" t="s">
        <v>521</v>
      </c>
      <c r="G207" s="1095"/>
      <c r="H207" s="1095"/>
      <c r="I207" s="1139"/>
      <c r="J207" s="1139">
        <f>12528639.9-596601.9</f>
        <v>11932038</v>
      </c>
      <c r="K207" s="1139"/>
      <c r="L207" s="1139"/>
      <c r="M207" s="1139"/>
      <c r="N207" s="1183">
        <f t="shared" si="48"/>
        <v>11932038</v>
      </c>
      <c r="O207" s="1139"/>
      <c r="P207" s="1139"/>
      <c r="Q207" s="1139"/>
      <c r="R207" s="1139"/>
      <c r="S207" s="1183">
        <f t="shared" si="49"/>
        <v>0</v>
      </c>
      <c r="T207" s="1727">
        <f t="shared" si="50"/>
        <v>11932038</v>
      </c>
      <c r="U207" s="1083">
        <v>11932038</v>
      </c>
      <c r="V207" s="1083">
        <v>11932038</v>
      </c>
      <c r="W207" s="1083">
        <v>11932038</v>
      </c>
      <c r="X207" s="1083">
        <f t="shared" si="56"/>
        <v>0</v>
      </c>
      <c r="Y207" s="1083"/>
      <c r="Z207" s="1083"/>
      <c r="AA207" s="1083"/>
      <c r="AB207" s="1083"/>
      <c r="AC207" s="1083"/>
      <c r="AD207" s="1083"/>
      <c r="AE207" s="1083"/>
      <c r="AF207" s="1083"/>
      <c r="AG207" s="1083"/>
      <c r="AH207" s="1083" t="s">
        <v>52</v>
      </c>
      <c r="AI207" s="1083" t="s">
        <v>1320</v>
      </c>
    </row>
    <row r="208" spans="1:35" s="1080" customFormat="1" ht="15">
      <c r="A208" s="294"/>
      <c r="B208" s="294"/>
      <c r="C208" s="1094" t="s">
        <v>485</v>
      </c>
      <c r="D208" s="1095" t="s">
        <v>381</v>
      </c>
      <c r="E208" s="1095">
        <v>68030</v>
      </c>
      <c r="F208" s="1095" t="s">
        <v>521</v>
      </c>
      <c r="G208" s="1095"/>
      <c r="H208" s="1095"/>
      <c r="I208" s="1139"/>
      <c r="J208" s="1139">
        <f>12528639.9-596601.9</f>
        <v>11932038</v>
      </c>
      <c r="K208" s="1139"/>
      <c r="L208" s="1139"/>
      <c r="M208" s="1139"/>
      <c r="N208" s="1183">
        <f t="shared" si="48"/>
        <v>11932038</v>
      </c>
      <c r="O208" s="1139"/>
      <c r="P208" s="1139"/>
      <c r="Q208" s="1139"/>
      <c r="R208" s="1139"/>
      <c r="S208" s="1183">
        <f t="shared" si="49"/>
        <v>0</v>
      </c>
      <c r="T208" s="1727">
        <f t="shared" si="50"/>
        <v>11932038</v>
      </c>
      <c r="U208" s="1083">
        <v>11932038</v>
      </c>
      <c r="V208" s="1083">
        <v>11932038</v>
      </c>
      <c r="W208" s="1083">
        <v>11932038</v>
      </c>
      <c r="X208" s="1083">
        <f t="shared" si="56"/>
        <v>0</v>
      </c>
      <c r="Y208" s="1083"/>
      <c r="Z208" s="1083"/>
      <c r="AA208" s="1083"/>
      <c r="AB208" s="1083"/>
      <c r="AC208" s="1083"/>
      <c r="AD208" s="1083"/>
      <c r="AE208" s="1083"/>
      <c r="AF208" s="1083"/>
      <c r="AG208" s="1083"/>
      <c r="AH208" s="1083" t="s">
        <v>52</v>
      </c>
      <c r="AI208" s="1083" t="s">
        <v>1320</v>
      </c>
    </row>
    <row r="209" spans="1:35" s="1080" customFormat="1" ht="15">
      <c r="A209" s="294"/>
      <c r="B209" s="294"/>
      <c r="C209" s="1094" t="s">
        <v>486</v>
      </c>
      <c r="D209" s="1095" t="s">
        <v>381</v>
      </c>
      <c r="E209" s="1095">
        <v>68030</v>
      </c>
      <c r="F209" s="1095" t="s">
        <v>521</v>
      </c>
      <c r="G209" s="1095"/>
      <c r="H209" s="1095"/>
      <c r="I209" s="1139"/>
      <c r="J209" s="1139">
        <v>13125241.800000001</v>
      </c>
      <c r="K209" s="1139"/>
      <c r="L209" s="1139"/>
      <c r="M209" s="1139"/>
      <c r="N209" s="1183">
        <f t="shared" si="48"/>
        <v>13125241.800000001</v>
      </c>
      <c r="O209" s="1139"/>
      <c r="P209" s="1139"/>
      <c r="Q209" s="1139"/>
      <c r="R209" s="1139"/>
      <c r="S209" s="1183">
        <f t="shared" si="49"/>
        <v>0</v>
      </c>
      <c r="T209" s="1727">
        <f t="shared" si="50"/>
        <v>13125241.800000001</v>
      </c>
      <c r="U209" s="1083">
        <v>13125241.800000001</v>
      </c>
      <c r="V209" s="1083">
        <v>13125241.800000001</v>
      </c>
      <c r="W209" s="1083">
        <v>13125241.800000001</v>
      </c>
      <c r="X209" s="1083">
        <f t="shared" si="56"/>
        <v>0</v>
      </c>
      <c r="Y209" s="1083"/>
      <c r="Z209" s="1083"/>
      <c r="AA209" s="1083"/>
      <c r="AB209" s="1083"/>
      <c r="AC209" s="1083"/>
      <c r="AD209" s="1083"/>
      <c r="AE209" s="1083"/>
      <c r="AF209" s="1083"/>
      <c r="AG209" s="1083"/>
      <c r="AH209" s="1083" t="s">
        <v>52</v>
      </c>
      <c r="AI209" s="1083" t="s">
        <v>1320</v>
      </c>
    </row>
    <row r="210" spans="1:35" s="1080" customFormat="1" ht="15">
      <c r="A210" s="294"/>
      <c r="B210" s="294"/>
      <c r="C210" s="1094" t="s">
        <v>487</v>
      </c>
      <c r="D210" s="1095" t="s">
        <v>381</v>
      </c>
      <c r="E210" s="1095">
        <v>68030</v>
      </c>
      <c r="F210" s="1095" t="s">
        <v>521</v>
      </c>
      <c r="G210" s="1095"/>
      <c r="H210" s="1095"/>
      <c r="I210" s="1139"/>
      <c r="J210" s="1139">
        <v>13125241.800000001</v>
      </c>
      <c r="K210" s="1139"/>
      <c r="L210" s="1139"/>
      <c r="M210" s="1139"/>
      <c r="N210" s="1183">
        <f t="shared" si="48"/>
        <v>13125241.800000001</v>
      </c>
      <c r="O210" s="1139"/>
      <c r="P210" s="1139"/>
      <c r="Q210" s="1139"/>
      <c r="R210" s="1139"/>
      <c r="S210" s="1183">
        <f t="shared" si="49"/>
        <v>0</v>
      </c>
      <c r="T210" s="1727">
        <f t="shared" si="50"/>
        <v>13125241.800000001</v>
      </c>
      <c r="U210" s="1083">
        <v>13125241.800000001</v>
      </c>
      <c r="V210" s="1083">
        <v>13125241.800000001</v>
      </c>
      <c r="W210" s="1083">
        <v>13125241.800000001</v>
      </c>
      <c r="X210" s="1083">
        <f t="shared" si="56"/>
        <v>0</v>
      </c>
      <c r="Y210" s="1083"/>
      <c r="Z210" s="1083"/>
      <c r="AA210" s="1083"/>
      <c r="AB210" s="1083"/>
      <c r="AC210" s="1083"/>
      <c r="AD210" s="1083"/>
      <c r="AE210" s="1083"/>
      <c r="AF210" s="1083"/>
      <c r="AG210" s="1083"/>
      <c r="AH210" s="1083" t="s">
        <v>52</v>
      </c>
      <c r="AI210" s="1083" t="s">
        <v>1320</v>
      </c>
    </row>
    <row r="211" spans="1:35" s="150" customFormat="1" ht="15">
      <c r="A211" s="294"/>
      <c r="B211" s="294"/>
      <c r="C211" s="29" t="s">
        <v>932</v>
      </c>
      <c r="D211" s="382" t="s">
        <v>381</v>
      </c>
      <c r="E211" s="382">
        <v>68030</v>
      </c>
      <c r="F211" s="382"/>
      <c r="G211" s="382"/>
      <c r="H211" s="382"/>
      <c r="I211" s="221"/>
      <c r="J211" s="221"/>
      <c r="K211" s="221"/>
      <c r="L211" s="221"/>
      <c r="M211" s="221"/>
      <c r="N211" s="764">
        <f t="shared" ref="N211:N213" si="65">+SUM(I211:M211)</f>
        <v>0</v>
      </c>
      <c r="O211" s="221"/>
      <c r="P211" s="221"/>
      <c r="Q211" s="221"/>
      <c r="R211" s="221">
        <v>7339239.5</v>
      </c>
      <c r="S211" s="764">
        <f t="shared" ref="S211:S213" si="66">+SUM(O211:R211)</f>
        <v>7339239.5</v>
      </c>
      <c r="T211" s="765">
        <f t="shared" ref="T211:T213" si="67">+S211+N211</f>
        <v>7339239.5</v>
      </c>
      <c r="U211" s="1025">
        <v>7339239.5</v>
      </c>
      <c r="V211" s="1025"/>
      <c r="W211" s="1025"/>
      <c r="X211" s="1025">
        <f t="shared" ref="X211" si="68">+U211-W211</f>
        <v>7339239.5</v>
      </c>
      <c r="Y211" s="1025"/>
      <c r="Z211" s="1025"/>
      <c r="AA211" s="1025"/>
      <c r="AB211" s="1025"/>
      <c r="AC211" s="1025"/>
      <c r="AD211" s="1025"/>
      <c r="AE211" s="1025"/>
      <c r="AF211" s="1025"/>
      <c r="AG211" s="1025">
        <v>7339239.5</v>
      </c>
      <c r="AH211" s="1025" t="s">
        <v>52</v>
      </c>
      <c r="AI211" s="1025" t="s">
        <v>1320</v>
      </c>
    </row>
    <row r="212" spans="1:35" s="1080" customFormat="1" ht="15">
      <c r="A212" s="294"/>
      <c r="B212" s="294"/>
      <c r="C212" s="1273" t="s">
        <v>204</v>
      </c>
      <c r="D212" s="1098"/>
      <c r="E212" s="1098"/>
      <c r="F212" s="1098"/>
      <c r="G212" s="1098"/>
      <c r="H212" s="1098"/>
      <c r="I212" s="1274"/>
      <c r="J212" s="1274">
        <v>5405203.832663672</v>
      </c>
      <c r="K212" s="1274"/>
      <c r="L212" s="1274">
        <v>111054530.23756005</v>
      </c>
      <c r="M212" s="1274"/>
      <c r="N212" s="1341">
        <f t="shared" si="65"/>
        <v>116459734.07022372</v>
      </c>
      <c r="O212" s="1274"/>
      <c r="P212" s="1274"/>
      <c r="Q212" s="1274"/>
      <c r="R212" s="1274"/>
      <c r="S212" s="1341">
        <f t="shared" si="66"/>
        <v>0</v>
      </c>
      <c r="T212" s="1342">
        <f t="shared" si="67"/>
        <v>116459734.07022372</v>
      </c>
      <c r="U212" s="1083"/>
      <c r="V212" s="1083"/>
      <c r="W212" s="1083"/>
      <c r="X212" s="1083"/>
      <c r="Y212" s="1083"/>
      <c r="Z212" s="1083"/>
      <c r="AA212" s="1083"/>
      <c r="AB212" s="1083"/>
      <c r="AC212" s="1083"/>
      <c r="AD212" s="1083"/>
      <c r="AE212" s="1083"/>
      <c r="AF212" s="1083"/>
      <c r="AG212" s="1083"/>
      <c r="AH212" s="1083"/>
      <c r="AI212" s="1083"/>
    </row>
    <row r="213" spans="1:35" s="1084" customFormat="1" ht="15.75" thickBot="1">
      <c r="A213" s="294"/>
      <c r="B213" s="294"/>
      <c r="C213" s="1278" t="s">
        <v>204</v>
      </c>
      <c r="D213" s="1279"/>
      <c r="E213" s="1279"/>
      <c r="F213" s="1279"/>
      <c r="G213" s="1279"/>
      <c r="H213" s="1279"/>
      <c r="I213" s="1280"/>
      <c r="J213" s="1280">
        <f>29023707-J212</f>
        <v>23618503.16733633</v>
      </c>
      <c r="K213" s="1280"/>
      <c r="L213" s="1280">
        <f>230655408-L212</f>
        <v>119600877.76243995</v>
      </c>
      <c r="M213" s="1280"/>
      <c r="N213" s="1343">
        <f t="shared" si="65"/>
        <v>143219380.92977628</v>
      </c>
      <c r="O213" s="1280"/>
      <c r="P213" s="1280"/>
      <c r="Q213" s="1280"/>
      <c r="R213" s="1280"/>
      <c r="S213" s="1343">
        <f t="shared" si="66"/>
        <v>0</v>
      </c>
      <c r="T213" s="1344">
        <f t="shared" si="67"/>
        <v>143219380.92977628</v>
      </c>
      <c r="U213" s="1085"/>
      <c r="V213" s="1085"/>
      <c r="W213" s="1085"/>
      <c r="X213" s="1085"/>
      <c r="Y213" s="1085"/>
      <c r="Z213" s="1085"/>
      <c r="AA213" s="1085"/>
      <c r="AB213" s="1085"/>
      <c r="AC213" s="1085"/>
      <c r="AD213" s="1085"/>
      <c r="AE213" s="1085"/>
      <c r="AF213" s="1085"/>
      <c r="AG213" s="1085"/>
      <c r="AH213" s="1085"/>
      <c r="AI213" s="1085"/>
    </row>
    <row r="214" spans="1:35" s="490" customFormat="1" ht="39" thickBot="1">
      <c r="A214" s="1875">
        <v>234</v>
      </c>
      <c r="B214" s="1876"/>
      <c r="C214" s="803" t="s">
        <v>1420</v>
      </c>
      <c r="D214" s="845"/>
      <c r="E214" s="845"/>
      <c r="F214" s="831" t="s">
        <v>1098</v>
      </c>
      <c r="G214" s="831">
        <v>100</v>
      </c>
      <c r="H214" s="831"/>
      <c r="I214" s="820">
        <f t="shared" ref="I214:T214" si="69">+I215+I249+I268</f>
        <v>907173206.19999957</v>
      </c>
      <c r="J214" s="820">
        <f t="shared" si="69"/>
        <v>1000606905.8</v>
      </c>
      <c r="K214" s="820">
        <f t="shared" si="69"/>
        <v>0</v>
      </c>
      <c r="L214" s="820">
        <f t="shared" si="69"/>
        <v>167224532</v>
      </c>
      <c r="M214" s="820">
        <f t="shared" si="69"/>
        <v>76073009.528999999</v>
      </c>
      <c r="N214" s="820">
        <f t="shared" si="69"/>
        <v>2151077653.5289998</v>
      </c>
      <c r="O214" s="820">
        <f t="shared" si="69"/>
        <v>0</v>
      </c>
      <c r="P214" s="820">
        <f t="shared" si="69"/>
        <v>90000000</v>
      </c>
      <c r="Q214" s="820">
        <f t="shared" si="69"/>
        <v>40000000</v>
      </c>
      <c r="R214" s="820">
        <f t="shared" si="69"/>
        <v>16487383</v>
      </c>
      <c r="S214" s="820">
        <f t="shared" si="69"/>
        <v>146487383</v>
      </c>
      <c r="T214" s="821">
        <f t="shared" si="69"/>
        <v>2297565036.5289998</v>
      </c>
      <c r="U214" s="1057"/>
      <c r="V214" s="1057"/>
      <c r="W214" s="1057"/>
      <c r="X214" s="1057"/>
      <c r="Y214" s="1057"/>
      <c r="Z214" s="1057"/>
      <c r="AA214" s="1057"/>
      <c r="AB214" s="1057"/>
      <c r="AC214" s="1057"/>
      <c r="AD214" s="1057"/>
      <c r="AE214" s="1057"/>
      <c r="AF214" s="1057"/>
      <c r="AG214" s="1057"/>
      <c r="AH214" s="1057"/>
      <c r="AI214" s="1057"/>
    </row>
    <row r="215" spans="1:35" s="490" customFormat="1" ht="51">
      <c r="A215" s="1875"/>
      <c r="B215" s="1876" t="s">
        <v>1513</v>
      </c>
      <c r="C215" s="196" t="s">
        <v>1184</v>
      </c>
      <c r="D215" s="194"/>
      <c r="E215" s="194"/>
      <c r="F215" s="197" t="s">
        <v>408</v>
      </c>
      <c r="G215" s="197">
        <v>1</v>
      </c>
      <c r="H215" s="197"/>
      <c r="I215" s="337">
        <f t="shared" ref="I215:T215" si="70">SUM(I216:I248)</f>
        <v>623826253.55999959</v>
      </c>
      <c r="J215" s="337">
        <f t="shared" si="70"/>
        <v>577653727.20000005</v>
      </c>
      <c r="K215" s="337">
        <f t="shared" si="70"/>
        <v>0</v>
      </c>
      <c r="L215" s="337">
        <f t="shared" si="70"/>
        <v>167224532</v>
      </c>
      <c r="M215" s="337">
        <f t="shared" si="70"/>
        <v>15223841.711999997</v>
      </c>
      <c r="N215" s="337">
        <f t="shared" si="70"/>
        <v>1383928354.4719996</v>
      </c>
      <c r="O215" s="337">
        <f t="shared" si="70"/>
        <v>0</v>
      </c>
      <c r="P215" s="337">
        <f t="shared" si="70"/>
        <v>90000000</v>
      </c>
      <c r="Q215" s="337">
        <f t="shared" si="70"/>
        <v>0</v>
      </c>
      <c r="R215" s="337">
        <f t="shared" si="70"/>
        <v>0</v>
      </c>
      <c r="S215" s="337">
        <f t="shared" si="70"/>
        <v>90000000</v>
      </c>
      <c r="T215" s="202">
        <f t="shared" si="70"/>
        <v>1473928354.4719996</v>
      </c>
      <c r="U215" s="1057"/>
      <c r="V215" s="1057"/>
      <c r="W215" s="1057"/>
      <c r="X215" s="1057"/>
      <c r="Y215" s="1057"/>
      <c r="Z215" s="1057"/>
      <c r="AA215" s="1057"/>
      <c r="AB215" s="1057"/>
      <c r="AC215" s="1057"/>
      <c r="AD215" s="1057"/>
      <c r="AE215" s="1057"/>
      <c r="AF215" s="1057"/>
      <c r="AG215" s="1057"/>
      <c r="AH215" s="1057"/>
      <c r="AI215" s="1057"/>
    </row>
    <row r="216" spans="1:35" s="1351" customFormat="1" ht="23.25" customHeight="1">
      <c r="A216" s="294"/>
      <c r="B216" s="294"/>
      <c r="C216" s="1094" t="s">
        <v>658</v>
      </c>
      <c r="D216" s="1095" t="s">
        <v>211</v>
      </c>
      <c r="E216" s="1095" t="s">
        <v>466</v>
      </c>
      <c r="F216" s="1095" t="s">
        <v>521</v>
      </c>
      <c r="G216" s="1095"/>
      <c r="H216" s="1095"/>
      <c r="I216" s="1139">
        <v>47332375.200000003</v>
      </c>
      <c r="J216" s="1139"/>
      <c r="K216" s="1139"/>
      <c r="L216" s="1139"/>
      <c r="M216" s="1139"/>
      <c r="N216" s="1139">
        <f t="shared" ref="N216:N245" si="71">+SUM(I216:M216)</f>
        <v>47332375.200000003</v>
      </c>
      <c r="O216" s="1139"/>
      <c r="P216" s="1139"/>
      <c r="Q216" s="1139"/>
      <c r="R216" s="1139"/>
      <c r="S216" s="1139">
        <f t="shared" ref="S216:S245" si="72">+SUM(O216:R216)</f>
        <v>0</v>
      </c>
      <c r="T216" s="1352">
        <f t="shared" ref="T216:T245" si="73">+S216+N216</f>
        <v>47332375.200000003</v>
      </c>
      <c r="U216" s="1353">
        <v>47332375.200000003</v>
      </c>
      <c r="V216" s="1353">
        <v>47332375.200000003</v>
      </c>
      <c r="W216" s="1353">
        <v>47332375.200000003</v>
      </c>
      <c r="X216" s="1353">
        <f>+U216-W216</f>
        <v>0</v>
      </c>
      <c r="Y216" s="1353"/>
      <c r="Z216" s="1353"/>
      <c r="AA216" s="1353"/>
      <c r="AB216" s="1353"/>
      <c r="AC216" s="1353"/>
      <c r="AD216" s="1353"/>
      <c r="AE216" s="1353"/>
      <c r="AF216" s="1353"/>
      <c r="AG216" s="1353"/>
      <c r="AH216" s="1353" t="s">
        <v>227</v>
      </c>
      <c r="AI216" s="1353" t="s">
        <v>1329</v>
      </c>
    </row>
    <row r="217" spans="1:35" s="1351" customFormat="1" ht="23.25" customHeight="1">
      <c r="A217" s="294"/>
      <c r="B217" s="294"/>
      <c r="C217" s="1094" t="s">
        <v>658</v>
      </c>
      <c r="D217" s="1095" t="s">
        <v>211</v>
      </c>
      <c r="E217" s="1095" t="s">
        <v>466</v>
      </c>
      <c r="F217" s="1095" t="s">
        <v>521</v>
      </c>
      <c r="G217" s="1095"/>
      <c r="H217" s="1095"/>
      <c r="I217" s="1139">
        <v>40877960.399999999</v>
      </c>
      <c r="J217" s="1139"/>
      <c r="K217" s="1139"/>
      <c r="L217" s="1139"/>
      <c r="M217" s="1139"/>
      <c r="N217" s="1139">
        <f t="shared" si="71"/>
        <v>40877960.399999999</v>
      </c>
      <c r="O217" s="1139"/>
      <c r="P217" s="1139"/>
      <c r="Q217" s="1139"/>
      <c r="R217" s="1139"/>
      <c r="S217" s="1139">
        <f t="shared" si="72"/>
        <v>0</v>
      </c>
      <c r="T217" s="1352">
        <f t="shared" si="73"/>
        <v>40877960.399999999</v>
      </c>
      <c r="U217" s="1353">
        <v>40877960.399999999</v>
      </c>
      <c r="V217" s="1353">
        <v>40877960.399999999</v>
      </c>
      <c r="W217" s="1353">
        <v>40877960.399999999</v>
      </c>
      <c r="X217" s="1353">
        <f t="shared" ref="X217:X245" si="74">+U217-W217</f>
        <v>0</v>
      </c>
      <c r="Y217" s="1353"/>
      <c r="Z217" s="1353"/>
      <c r="AA217" s="1353"/>
      <c r="AB217" s="1353"/>
      <c r="AC217" s="1353"/>
      <c r="AD217" s="1353"/>
      <c r="AE217" s="1353"/>
      <c r="AF217" s="1353"/>
      <c r="AG217" s="1353"/>
      <c r="AH217" s="1353" t="s">
        <v>227</v>
      </c>
      <c r="AI217" s="1353" t="s">
        <v>1329</v>
      </c>
    </row>
    <row r="218" spans="1:35" s="1351" customFormat="1" ht="23.25" customHeight="1">
      <c r="A218" s="294"/>
      <c r="B218" s="294"/>
      <c r="C218" s="1094" t="s">
        <v>658</v>
      </c>
      <c r="D218" s="1095" t="s">
        <v>211</v>
      </c>
      <c r="E218" s="1095" t="s">
        <v>466</v>
      </c>
      <c r="F218" s="1095" t="s">
        <v>521</v>
      </c>
      <c r="G218" s="1095"/>
      <c r="H218" s="1095"/>
      <c r="I218" s="1139">
        <v>34423545.600000001</v>
      </c>
      <c r="J218" s="1139"/>
      <c r="K218" s="1139"/>
      <c r="L218" s="1139"/>
      <c r="M218" s="1139"/>
      <c r="N218" s="1139">
        <f t="shared" si="71"/>
        <v>34423545.600000001</v>
      </c>
      <c r="O218" s="1139"/>
      <c r="P218" s="1139"/>
      <c r="Q218" s="1139"/>
      <c r="R218" s="1139"/>
      <c r="S218" s="1139">
        <f t="shared" si="72"/>
        <v>0</v>
      </c>
      <c r="T218" s="1352">
        <f t="shared" si="73"/>
        <v>34423545.600000001</v>
      </c>
      <c r="U218" s="1353">
        <v>34423545.600000001</v>
      </c>
      <c r="V218" s="1353">
        <v>34423545.600000001</v>
      </c>
      <c r="W218" s="1353">
        <v>34423545.600000001</v>
      </c>
      <c r="X218" s="1353">
        <f t="shared" si="74"/>
        <v>0</v>
      </c>
      <c r="Y218" s="1353"/>
      <c r="Z218" s="1353"/>
      <c r="AA218" s="1353"/>
      <c r="AB218" s="1353"/>
      <c r="AC218" s="1353"/>
      <c r="AD218" s="1353"/>
      <c r="AE218" s="1353"/>
      <c r="AF218" s="1353"/>
      <c r="AG218" s="1353"/>
      <c r="AH218" s="1353" t="s">
        <v>227</v>
      </c>
      <c r="AI218" s="1353" t="s">
        <v>1329</v>
      </c>
    </row>
    <row r="219" spans="1:35" s="1351" customFormat="1" ht="23.25" customHeight="1">
      <c r="A219" s="294"/>
      <c r="B219" s="294"/>
      <c r="C219" s="1094" t="s">
        <v>659</v>
      </c>
      <c r="D219" s="1095" t="s">
        <v>211</v>
      </c>
      <c r="E219" s="1095" t="s">
        <v>466</v>
      </c>
      <c r="F219" s="1095" t="s">
        <v>521</v>
      </c>
      <c r="G219" s="1095"/>
      <c r="H219" s="1095"/>
      <c r="I219" s="1139">
        <v>47332375.200000003</v>
      </c>
      <c r="J219" s="1139"/>
      <c r="K219" s="1139"/>
      <c r="L219" s="1139"/>
      <c r="M219" s="1139"/>
      <c r="N219" s="1139">
        <f t="shared" si="71"/>
        <v>47332375.200000003</v>
      </c>
      <c r="O219" s="1139"/>
      <c r="P219" s="1139"/>
      <c r="Q219" s="1139"/>
      <c r="R219" s="1139"/>
      <c r="S219" s="1139">
        <f t="shared" si="72"/>
        <v>0</v>
      </c>
      <c r="T219" s="1352">
        <f t="shared" si="73"/>
        <v>47332375.200000003</v>
      </c>
      <c r="U219" s="1353">
        <v>47332375.200000003</v>
      </c>
      <c r="V219" s="1353">
        <v>47332375.200000003</v>
      </c>
      <c r="W219" s="1353">
        <v>47332375.200000003</v>
      </c>
      <c r="X219" s="1353">
        <f t="shared" si="74"/>
        <v>0</v>
      </c>
      <c r="Y219" s="1353"/>
      <c r="Z219" s="1353"/>
      <c r="AA219" s="1353"/>
      <c r="AB219" s="1353"/>
      <c r="AC219" s="1353"/>
      <c r="AD219" s="1353"/>
      <c r="AE219" s="1353"/>
      <c r="AF219" s="1353"/>
      <c r="AG219" s="1353"/>
      <c r="AH219" s="1353" t="s">
        <v>227</v>
      </c>
      <c r="AI219" s="1353" t="s">
        <v>1329</v>
      </c>
    </row>
    <row r="220" spans="1:35" s="1351" customFormat="1" ht="23.25" customHeight="1">
      <c r="A220" s="294"/>
      <c r="B220" s="294"/>
      <c r="C220" s="1094" t="s">
        <v>659</v>
      </c>
      <c r="D220" s="1095" t="s">
        <v>211</v>
      </c>
      <c r="E220" s="1095" t="s">
        <v>466</v>
      </c>
      <c r="F220" s="1095" t="s">
        <v>521</v>
      </c>
      <c r="G220" s="1095"/>
      <c r="H220" s="1095"/>
      <c r="I220" s="1139">
        <v>47332375.200000003</v>
      </c>
      <c r="J220" s="1139"/>
      <c r="K220" s="1139"/>
      <c r="L220" s="1139"/>
      <c r="M220" s="1139"/>
      <c r="N220" s="1139">
        <f t="shared" si="71"/>
        <v>47332375.200000003</v>
      </c>
      <c r="O220" s="1139"/>
      <c r="P220" s="1139"/>
      <c r="Q220" s="1139"/>
      <c r="R220" s="1139"/>
      <c r="S220" s="1139">
        <f t="shared" si="72"/>
        <v>0</v>
      </c>
      <c r="T220" s="1352">
        <f t="shared" si="73"/>
        <v>47332375.200000003</v>
      </c>
      <c r="U220" s="1353">
        <v>47332375.200000003</v>
      </c>
      <c r="V220" s="1353">
        <v>47332375.200000003</v>
      </c>
      <c r="W220" s="1353">
        <v>47332375.200000003</v>
      </c>
      <c r="X220" s="1353">
        <f t="shared" si="74"/>
        <v>0</v>
      </c>
      <c r="Y220" s="1353"/>
      <c r="Z220" s="1353"/>
      <c r="AA220" s="1353"/>
      <c r="AB220" s="1353"/>
      <c r="AC220" s="1353"/>
      <c r="AD220" s="1353"/>
      <c r="AE220" s="1353"/>
      <c r="AF220" s="1353"/>
      <c r="AG220" s="1353"/>
      <c r="AH220" s="1353" t="s">
        <v>227</v>
      </c>
      <c r="AI220" s="1353" t="s">
        <v>1329</v>
      </c>
    </row>
    <row r="221" spans="1:35" s="1351" customFormat="1" ht="23.25" customHeight="1">
      <c r="A221" s="294"/>
      <c r="B221" s="294"/>
      <c r="C221" s="1094" t="s">
        <v>659</v>
      </c>
      <c r="D221" s="1095" t="s">
        <v>211</v>
      </c>
      <c r="E221" s="1095" t="s">
        <v>466</v>
      </c>
      <c r="F221" s="1095" t="s">
        <v>521</v>
      </c>
      <c r="G221" s="1095"/>
      <c r="H221" s="1095"/>
      <c r="I221" s="1139"/>
      <c r="J221" s="1139"/>
      <c r="K221" s="1139"/>
      <c r="L221" s="1139"/>
      <c r="M221" s="1139"/>
      <c r="N221" s="1139">
        <f t="shared" si="71"/>
        <v>0</v>
      </c>
      <c r="O221" s="1139"/>
      <c r="P221" s="1139">
        <f>4285800*1.004*7</f>
        <v>30120602.400000002</v>
      </c>
      <c r="Q221" s="1139"/>
      <c r="R221" s="1139"/>
      <c r="S221" s="1139">
        <f t="shared" si="72"/>
        <v>30120602.400000002</v>
      </c>
      <c r="T221" s="1352">
        <f t="shared" si="73"/>
        <v>30120602.400000002</v>
      </c>
      <c r="U221" s="1353">
        <v>30120602.400000002</v>
      </c>
      <c r="V221" s="1353">
        <v>30120602.400000002</v>
      </c>
      <c r="W221" s="1353">
        <v>30120602.400000002</v>
      </c>
      <c r="X221" s="1353">
        <f t="shared" si="74"/>
        <v>0</v>
      </c>
      <c r="Y221" s="1353"/>
      <c r="Z221" s="1353"/>
      <c r="AA221" s="1353"/>
      <c r="AB221" s="1353"/>
      <c r="AC221" s="1353"/>
      <c r="AD221" s="1353"/>
      <c r="AE221" s="1353"/>
      <c r="AF221" s="1353"/>
      <c r="AG221" s="1353"/>
      <c r="AH221" s="1353" t="s">
        <v>227</v>
      </c>
      <c r="AI221" s="1353" t="s">
        <v>1329</v>
      </c>
    </row>
    <row r="222" spans="1:35" s="1351" customFormat="1" ht="23.25" customHeight="1">
      <c r="A222" s="294"/>
      <c r="B222" s="294"/>
      <c r="C222" s="1094" t="s">
        <v>660</v>
      </c>
      <c r="D222" s="1095" t="s">
        <v>211</v>
      </c>
      <c r="E222" s="1095" t="s">
        <v>466</v>
      </c>
      <c r="F222" s="1095" t="s">
        <v>521</v>
      </c>
      <c r="G222" s="1095"/>
      <c r="H222" s="1095"/>
      <c r="I222" s="1139">
        <v>36843235.800000004</v>
      </c>
      <c r="J222" s="1139"/>
      <c r="K222" s="1139"/>
      <c r="L222" s="1139"/>
      <c r="M222" s="1139"/>
      <c r="N222" s="1139">
        <f t="shared" si="71"/>
        <v>36843235.800000004</v>
      </c>
      <c r="O222" s="1139"/>
      <c r="P222" s="1139"/>
      <c r="Q222" s="1139"/>
      <c r="R222" s="1139"/>
      <c r="S222" s="1139">
        <f t="shared" si="72"/>
        <v>0</v>
      </c>
      <c r="T222" s="1352">
        <f t="shared" si="73"/>
        <v>36843235.800000004</v>
      </c>
      <c r="U222" s="1353">
        <v>36843235.800000004</v>
      </c>
      <c r="V222" s="1353">
        <v>36843235.800000004</v>
      </c>
      <c r="W222" s="1353">
        <v>36843235.800000004</v>
      </c>
      <c r="X222" s="1353">
        <f t="shared" si="74"/>
        <v>0</v>
      </c>
      <c r="Y222" s="1353"/>
      <c r="Z222" s="1353"/>
      <c r="AA222" s="1353"/>
      <c r="AB222" s="1353"/>
      <c r="AC222" s="1353"/>
      <c r="AD222" s="1353"/>
      <c r="AE222" s="1353"/>
      <c r="AF222" s="1353"/>
      <c r="AG222" s="1353"/>
      <c r="AH222" s="1353" t="s">
        <v>227</v>
      </c>
      <c r="AI222" s="1353" t="s">
        <v>1329</v>
      </c>
    </row>
    <row r="223" spans="1:35" s="1351" customFormat="1" ht="23.25" customHeight="1">
      <c r="A223" s="294"/>
      <c r="B223" s="294"/>
      <c r="C223" s="1094" t="s">
        <v>661</v>
      </c>
      <c r="D223" s="1095" t="s">
        <v>211</v>
      </c>
      <c r="E223" s="1095" t="s">
        <v>466</v>
      </c>
      <c r="F223" s="1095" t="s">
        <v>521</v>
      </c>
      <c r="G223" s="1095"/>
      <c r="H223" s="1095"/>
      <c r="I223" s="1139">
        <v>47332375.200000003</v>
      </c>
      <c r="J223" s="1139"/>
      <c r="K223" s="1139"/>
      <c r="L223" s="1139"/>
      <c r="M223" s="1139"/>
      <c r="N223" s="1139">
        <f t="shared" si="71"/>
        <v>47332375.200000003</v>
      </c>
      <c r="O223" s="1139"/>
      <c r="P223" s="1139"/>
      <c r="Q223" s="1139"/>
      <c r="R223" s="1139"/>
      <c r="S223" s="1139">
        <f t="shared" si="72"/>
        <v>0</v>
      </c>
      <c r="T223" s="1352">
        <f t="shared" si="73"/>
        <v>47332375.200000003</v>
      </c>
      <c r="U223" s="1353">
        <v>47332375.200000003</v>
      </c>
      <c r="V223" s="1353">
        <v>47332375.200000003</v>
      </c>
      <c r="W223" s="1353">
        <v>47332375.200000003</v>
      </c>
      <c r="X223" s="1353">
        <f t="shared" si="74"/>
        <v>0</v>
      </c>
      <c r="Y223" s="1353"/>
      <c r="Z223" s="1353"/>
      <c r="AA223" s="1353"/>
      <c r="AB223" s="1353"/>
      <c r="AC223" s="1353"/>
      <c r="AD223" s="1353"/>
      <c r="AE223" s="1353"/>
      <c r="AF223" s="1353"/>
      <c r="AG223" s="1353"/>
      <c r="AH223" s="1353" t="s">
        <v>227</v>
      </c>
      <c r="AI223" s="1353" t="s">
        <v>1329</v>
      </c>
    </row>
    <row r="224" spans="1:35" s="1351" customFormat="1" ht="23.25" customHeight="1">
      <c r="A224" s="294"/>
      <c r="B224" s="294"/>
      <c r="C224" s="1094" t="s">
        <v>661</v>
      </c>
      <c r="D224" s="1095" t="s">
        <v>211</v>
      </c>
      <c r="E224" s="1095" t="s">
        <v>466</v>
      </c>
      <c r="F224" s="1095" t="s">
        <v>521</v>
      </c>
      <c r="G224" s="1095"/>
      <c r="H224" s="1095"/>
      <c r="I224" s="1139">
        <v>47332375.200000003</v>
      </c>
      <c r="J224" s="1139"/>
      <c r="K224" s="1139"/>
      <c r="L224" s="1139"/>
      <c r="M224" s="1139"/>
      <c r="N224" s="1139">
        <f t="shared" si="71"/>
        <v>47332375.200000003</v>
      </c>
      <c r="O224" s="1139"/>
      <c r="P224" s="1139"/>
      <c r="Q224" s="1139"/>
      <c r="R224" s="1139"/>
      <c r="S224" s="1139">
        <f t="shared" si="72"/>
        <v>0</v>
      </c>
      <c r="T224" s="1352">
        <f t="shared" si="73"/>
        <v>47332375.200000003</v>
      </c>
      <c r="U224" s="1353">
        <v>47332375.200000003</v>
      </c>
      <c r="V224" s="1353">
        <v>47332375.200000003</v>
      </c>
      <c r="W224" s="1353">
        <v>47332375.200000003</v>
      </c>
      <c r="X224" s="1353">
        <f t="shared" si="74"/>
        <v>0</v>
      </c>
      <c r="Y224" s="1353"/>
      <c r="Z224" s="1353"/>
      <c r="AA224" s="1353"/>
      <c r="AB224" s="1353"/>
      <c r="AC224" s="1353"/>
      <c r="AD224" s="1353"/>
      <c r="AE224" s="1353"/>
      <c r="AF224" s="1353"/>
      <c r="AG224" s="1353"/>
      <c r="AH224" s="1353" t="s">
        <v>227</v>
      </c>
      <c r="AI224" s="1353" t="s">
        <v>1329</v>
      </c>
    </row>
    <row r="225" spans="1:35" s="1351" customFormat="1" ht="23.25" customHeight="1">
      <c r="A225" s="294"/>
      <c r="B225" s="294"/>
      <c r="C225" s="1094" t="s">
        <v>662</v>
      </c>
      <c r="D225" s="1095" t="s">
        <v>211</v>
      </c>
      <c r="E225" s="1095" t="s">
        <v>466</v>
      </c>
      <c r="F225" s="1095" t="s">
        <v>521</v>
      </c>
      <c r="G225" s="1095"/>
      <c r="H225" s="1095"/>
      <c r="I225" s="1139">
        <v>45180903.600000001</v>
      </c>
      <c r="J225" s="1139"/>
      <c r="K225" s="1139"/>
      <c r="L225" s="1139"/>
      <c r="M225" s="1139"/>
      <c r="N225" s="1139">
        <f t="shared" si="71"/>
        <v>45180903.600000001</v>
      </c>
      <c r="O225" s="1139"/>
      <c r="P225" s="1139"/>
      <c r="Q225" s="1139"/>
      <c r="R225" s="1139"/>
      <c r="S225" s="1139">
        <f t="shared" si="72"/>
        <v>0</v>
      </c>
      <c r="T225" s="1352">
        <f t="shared" si="73"/>
        <v>45180903.600000001</v>
      </c>
      <c r="U225" s="1353">
        <v>45180903.600000001</v>
      </c>
      <c r="V225" s="1353">
        <v>45180903.600000001</v>
      </c>
      <c r="W225" s="1353">
        <v>45180903.600000001</v>
      </c>
      <c r="X225" s="1353">
        <f t="shared" si="74"/>
        <v>0</v>
      </c>
      <c r="Y225" s="1353"/>
      <c r="Z225" s="1353"/>
      <c r="AA225" s="1353"/>
      <c r="AB225" s="1353"/>
      <c r="AC225" s="1353"/>
      <c r="AD225" s="1353"/>
      <c r="AE225" s="1353"/>
      <c r="AF225" s="1353"/>
      <c r="AG225" s="1353"/>
      <c r="AH225" s="1353" t="s">
        <v>227</v>
      </c>
      <c r="AI225" s="1353" t="s">
        <v>1329</v>
      </c>
    </row>
    <row r="226" spans="1:35" s="1351" customFormat="1" ht="23.25" customHeight="1">
      <c r="A226" s="294"/>
      <c r="B226" s="294"/>
      <c r="C226" s="1094" t="s">
        <v>662</v>
      </c>
      <c r="D226" s="1095" t="s">
        <v>211</v>
      </c>
      <c r="E226" s="1095" t="s">
        <v>466</v>
      </c>
      <c r="F226" s="1095" t="s">
        <v>521</v>
      </c>
      <c r="G226" s="1095"/>
      <c r="H226" s="1095"/>
      <c r="I226" s="1139">
        <v>45180903.600000001</v>
      </c>
      <c r="J226" s="1139"/>
      <c r="K226" s="1139"/>
      <c r="L226" s="1139"/>
      <c r="M226" s="1139"/>
      <c r="N226" s="1139">
        <f t="shared" si="71"/>
        <v>45180903.600000001</v>
      </c>
      <c r="O226" s="1139"/>
      <c r="P226" s="1139"/>
      <c r="Q226" s="1139"/>
      <c r="R226" s="1139"/>
      <c r="S226" s="1139">
        <f t="shared" si="72"/>
        <v>0</v>
      </c>
      <c r="T226" s="1352">
        <f t="shared" si="73"/>
        <v>45180903.600000001</v>
      </c>
      <c r="U226" s="1353">
        <v>45180903.600000001</v>
      </c>
      <c r="V226" s="1353">
        <v>45180903.600000001</v>
      </c>
      <c r="W226" s="1353">
        <v>45180903.600000001</v>
      </c>
      <c r="X226" s="1353">
        <f t="shared" si="74"/>
        <v>0</v>
      </c>
      <c r="Y226" s="1353"/>
      <c r="Z226" s="1353"/>
      <c r="AA226" s="1353"/>
      <c r="AB226" s="1353"/>
      <c r="AC226" s="1353"/>
      <c r="AD226" s="1353"/>
      <c r="AE226" s="1353"/>
      <c r="AF226" s="1353"/>
      <c r="AG226" s="1353"/>
      <c r="AH226" s="1353" t="s">
        <v>227</v>
      </c>
      <c r="AI226" s="1353" t="s">
        <v>1329</v>
      </c>
    </row>
    <row r="227" spans="1:35" s="1351" customFormat="1" ht="23.25" customHeight="1">
      <c r="A227" s="294"/>
      <c r="B227" s="294"/>
      <c r="C227" s="1094" t="s">
        <v>662</v>
      </c>
      <c r="D227" s="1095" t="s">
        <v>211</v>
      </c>
      <c r="E227" s="1095" t="s">
        <v>466</v>
      </c>
      <c r="F227" s="1095" t="s">
        <v>521</v>
      </c>
      <c r="G227" s="1095"/>
      <c r="H227" s="1095"/>
      <c r="I227" s="1139">
        <v>45180903.600000001</v>
      </c>
      <c r="J227" s="1139"/>
      <c r="K227" s="1139"/>
      <c r="L227" s="1139"/>
      <c r="M227" s="1139"/>
      <c r="N227" s="1139">
        <f t="shared" si="71"/>
        <v>45180903.600000001</v>
      </c>
      <c r="O227" s="1139"/>
      <c r="P227" s="1139"/>
      <c r="Q227" s="1139"/>
      <c r="R227" s="1139"/>
      <c r="S227" s="1139">
        <f t="shared" si="72"/>
        <v>0</v>
      </c>
      <c r="T227" s="1352">
        <f t="shared" si="73"/>
        <v>45180903.600000001</v>
      </c>
      <c r="U227" s="1353">
        <v>45180903.600000001</v>
      </c>
      <c r="V227" s="1353">
        <v>45180903.600000001</v>
      </c>
      <c r="W227" s="1353">
        <v>45180903.600000001</v>
      </c>
      <c r="X227" s="1353">
        <f t="shared" si="74"/>
        <v>0</v>
      </c>
      <c r="Y227" s="1353"/>
      <c r="Z227" s="1353"/>
      <c r="AA227" s="1353"/>
      <c r="AB227" s="1353"/>
      <c r="AC227" s="1353"/>
      <c r="AD227" s="1353"/>
      <c r="AE227" s="1353"/>
      <c r="AF227" s="1353"/>
      <c r="AG227" s="1353"/>
      <c r="AH227" s="1353" t="s">
        <v>227</v>
      </c>
      <c r="AI227" s="1353" t="s">
        <v>1329</v>
      </c>
    </row>
    <row r="228" spans="1:35" s="1351" customFormat="1" ht="23.25" customHeight="1">
      <c r="A228" s="294"/>
      <c r="B228" s="294"/>
      <c r="C228" s="1094" t="s">
        <v>662</v>
      </c>
      <c r="D228" s="1095" t="s">
        <v>211</v>
      </c>
      <c r="E228" s="1095" t="s">
        <v>466</v>
      </c>
      <c r="F228" s="1095" t="s">
        <v>521</v>
      </c>
      <c r="G228" s="1095"/>
      <c r="H228" s="1095"/>
      <c r="I228" s="1139"/>
      <c r="J228" s="1139"/>
      <c r="K228" s="1139"/>
      <c r="L228" s="1139"/>
      <c r="M228" s="1139"/>
      <c r="N228" s="1139">
        <f t="shared" si="71"/>
        <v>0</v>
      </c>
      <c r="O228" s="1139"/>
      <c r="P228" s="1139">
        <f>4285800*1.004*7</f>
        <v>30120602.400000002</v>
      </c>
      <c r="Q228" s="1139"/>
      <c r="R228" s="1139"/>
      <c r="S228" s="1139">
        <f t="shared" si="72"/>
        <v>30120602.400000002</v>
      </c>
      <c r="T228" s="1352">
        <f t="shared" si="73"/>
        <v>30120602.400000002</v>
      </c>
      <c r="U228" s="1353">
        <v>30120602.400000002</v>
      </c>
      <c r="V228" s="1353">
        <v>30120602.400000002</v>
      </c>
      <c r="W228" s="1353">
        <v>30120602.400000002</v>
      </c>
      <c r="X228" s="1353">
        <f t="shared" si="74"/>
        <v>0</v>
      </c>
      <c r="Y228" s="1353"/>
      <c r="Z228" s="1353"/>
      <c r="AA228" s="1353"/>
      <c r="AB228" s="1353"/>
      <c r="AC228" s="1353"/>
      <c r="AD228" s="1353"/>
      <c r="AE228" s="1353"/>
      <c r="AF228" s="1353"/>
      <c r="AG228" s="1353"/>
      <c r="AH228" s="1353" t="s">
        <v>227</v>
      </c>
      <c r="AI228" s="1353" t="s">
        <v>1329</v>
      </c>
    </row>
    <row r="229" spans="1:35" s="1351" customFormat="1" ht="23.25" customHeight="1">
      <c r="A229" s="294"/>
      <c r="B229" s="294"/>
      <c r="C229" s="1094" t="s">
        <v>663</v>
      </c>
      <c r="D229" s="1095" t="s">
        <v>211</v>
      </c>
      <c r="E229" s="1095" t="s">
        <v>466</v>
      </c>
      <c r="F229" s="1095" t="s">
        <v>521</v>
      </c>
      <c r="G229" s="1095"/>
      <c r="H229" s="1095"/>
      <c r="I229" s="1139">
        <v>70247570.799999997</v>
      </c>
      <c r="J229" s="1139"/>
      <c r="K229" s="1139"/>
      <c r="L229" s="1139"/>
      <c r="M229" s="1139"/>
      <c r="N229" s="1139">
        <f t="shared" si="71"/>
        <v>70247570.799999997</v>
      </c>
      <c r="O229" s="1139"/>
      <c r="P229" s="1139"/>
      <c r="Q229" s="1139"/>
      <c r="R229" s="1139"/>
      <c r="S229" s="1139">
        <f t="shared" si="72"/>
        <v>0</v>
      </c>
      <c r="T229" s="1352">
        <f t="shared" si="73"/>
        <v>70247570.799999997</v>
      </c>
      <c r="U229" s="1353">
        <v>70247570.799999997</v>
      </c>
      <c r="V229" s="1353">
        <v>70247570.799999997</v>
      </c>
      <c r="W229" s="1353">
        <v>70247570.799999997</v>
      </c>
      <c r="X229" s="1353">
        <f t="shared" si="74"/>
        <v>0</v>
      </c>
      <c r="Y229" s="1353"/>
      <c r="Z229" s="1353"/>
      <c r="AA229" s="1353"/>
      <c r="AB229" s="1353"/>
      <c r="AC229" s="1353"/>
      <c r="AD229" s="1353"/>
      <c r="AE229" s="1353"/>
      <c r="AF229" s="1353"/>
      <c r="AG229" s="1353"/>
      <c r="AH229" s="1353" t="s">
        <v>227</v>
      </c>
      <c r="AI229" s="1353" t="s">
        <v>1329</v>
      </c>
    </row>
    <row r="230" spans="1:35" s="1351" customFormat="1" ht="23.25" customHeight="1">
      <c r="A230" s="294"/>
      <c r="B230" s="294"/>
      <c r="C230" s="1094" t="s">
        <v>664</v>
      </c>
      <c r="D230" s="1095" t="s">
        <v>211</v>
      </c>
      <c r="E230" s="1095" t="s">
        <v>501</v>
      </c>
      <c r="F230" s="1095" t="s">
        <v>521</v>
      </c>
      <c r="G230" s="1095"/>
      <c r="H230" s="1095"/>
      <c r="I230" s="1139"/>
      <c r="J230" s="1139">
        <v>55938964.399999999</v>
      </c>
      <c r="K230" s="1139"/>
      <c r="L230" s="1139"/>
      <c r="M230" s="1139"/>
      <c r="N230" s="1139">
        <f t="shared" ref="N230" si="75">+SUM(I230:M230)</f>
        <v>55938964.399999999</v>
      </c>
      <c r="O230" s="1139"/>
      <c r="P230" s="1139"/>
      <c r="Q230" s="1139"/>
      <c r="R230" s="1139"/>
      <c r="S230" s="1139">
        <f t="shared" ref="S230" si="76">+SUM(O230:R230)</f>
        <v>0</v>
      </c>
      <c r="T230" s="1750">
        <f t="shared" ref="T230" si="77">+S230+N230</f>
        <v>55938964.399999999</v>
      </c>
      <c r="U230" s="1353">
        <f>34545125.9+21393838.5</f>
        <v>55938964.399999999</v>
      </c>
      <c r="V230" s="1353">
        <v>55938964.399999999</v>
      </c>
      <c r="W230" s="1353">
        <v>55938964.399999999</v>
      </c>
      <c r="X230" s="1353">
        <f t="shared" ref="X230" si="78">+U230-W230</f>
        <v>0</v>
      </c>
      <c r="Y230" s="1353"/>
      <c r="Z230" s="1353"/>
      <c r="AA230" s="1353"/>
      <c r="AB230" s="1353"/>
      <c r="AC230" s="1353"/>
      <c r="AD230" s="1353"/>
      <c r="AE230" s="1353"/>
      <c r="AF230" s="1353"/>
      <c r="AG230" s="1353"/>
      <c r="AH230" s="1353" t="s">
        <v>227</v>
      </c>
      <c r="AI230" s="1353" t="s">
        <v>1329</v>
      </c>
    </row>
    <row r="231" spans="1:35" s="1351" customFormat="1" ht="33.75" customHeight="1">
      <c r="A231" s="294"/>
      <c r="B231" s="294"/>
      <c r="C231" s="1094" t="s">
        <v>887</v>
      </c>
      <c r="D231" s="1095" t="s">
        <v>211</v>
      </c>
      <c r="E231" s="1095" t="s">
        <v>501</v>
      </c>
      <c r="F231" s="1095" t="s">
        <v>521</v>
      </c>
      <c r="G231" s="1095"/>
      <c r="H231" s="1095"/>
      <c r="I231" s="1139">
        <v>19403555</v>
      </c>
      <c r="J231" s="1139"/>
      <c r="K231" s="1139"/>
      <c r="L231" s="1139"/>
      <c r="M231" s="1139"/>
      <c r="N231" s="1139">
        <f t="shared" si="71"/>
        <v>19403555</v>
      </c>
      <c r="O231" s="1139"/>
      <c r="P231" s="1139"/>
      <c r="Q231" s="1139"/>
      <c r="R231" s="1139"/>
      <c r="S231" s="1139">
        <f t="shared" si="72"/>
        <v>0</v>
      </c>
      <c r="T231" s="1352">
        <f t="shared" si="73"/>
        <v>19403555</v>
      </c>
      <c r="U231" s="1353">
        <v>19403555</v>
      </c>
      <c r="V231" s="1353">
        <v>19403555</v>
      </c>
      <c r="W231" s="1353">
        <v>19403555</v>
      </c>
      <c r="X231" s="1353">
        <f t="shared" si="74"/>
        <v>0</v>
      </c>
      <c r="Y231" s="1353"/>
      <c r="Z231" s="1353"/>
      <c r="AA231" s="1353"/>
      <c r="AB231" s="1353"/>
      <c r="AC231" s="1353"/>
      <c r="AD231" s="1353"/>
      <c r="AE231" s="1353"/>
      <c r="AF231" s="1353"/>
      <c r="AG231" s="1353"/>
      <c r="AH231" s="1353" t="s">
        <v>227</v>
      </c>
      <c r="AI231" s="1353" t="s">
        <v>1329</v>
      </c>
    </row>
    <row r="232" spans="1:35" s="1351" customFormat="1" ht="33.75" customHeight="1">
      <c r="A232" s="294"/>
      <c r="B232" s="294"/>
      <c r="C232" s="1094" t="s">
        <v>855</v>
      </c>
      <c r="D232" s="1095" t="s">
        <v>211</v>
      </c>
      <c r="E232" s="1095" t="s">
        <v>466</v>
      </c>
      <c r="F232" s="1095" t="s">
        <v>521</v>
      </c>
      <c r="G232" s="1095"/>
      <c r="H232" s="1095"/>
      <c r="I232" s="1139">
        <v>18961792.991999999</v>
      </c>
      <c r="J232" s="1139"/>
      <c r="K232" s="1139"/>
      <c r="L232" s="1139"/>
      <c r="M232" s="1139"/>
      <c r="N232" s="1139">
        <f t="shared" si="71"/>
        <v>18961792.991999999</v>
      </c>
      <c r="O232" s="1139"/>
      <c r="P232" s="1139"/>
      <c r="Q232" s="1139"/>
      <c r="R232" s="1139"/>
      <c r="S232" s="1139">
        <f t="shared" si="72"/>
        <v>0</v>
      </c>
      <c r="T232" s="1352">
        <f t="shared" si="73"/>
        <v>18961792.991999999</v>
      </c>
      <c r="U232" s="1353">
        <v>18961792.991999999</v>
      </c>
      <c r="V232" s="1353">
        <v>18961792.991999999</v>
      </c>
      <c r="W232" s="1353">
        <v>18961792.991999999</v>
      </c>
      <c r="X232" s="1353">
        <f t="shared" si="74"/>
        <v>0</v>
      </c>
      <c r="Y232" s="1353"/>
      <c r="Z232" s="1353"/>
      <c r="AA232" s="1353"/>
      <c r="AB232" s="1353"/>
      <c r="AC232" s="1353"/>
      <c r="AD232" s="1353"/>
      <c r="AE232" s="1353"/>
      <c r="AF232" s="1353"/>
      <c r="AG232" s="1353"/>
      <c r="AH232" s="1353" t="s">
        <v>227</v>
      </c>
      <c r="AI232" s="1353" t="s">
        <v>1329</v>
      </c>
    </row>
    <row r="233" spans="1:35" s="1351" customFormat="1" ht="42.75" customHeight="1">
      <c r="A233" s="294"/>
      <c r="B233" s="294"/>
      <c r="C233" s="1380" t="s">
        <v>854</v>
      </c>
      <c r="D233" s="1095" t="s">
        <v>211</v>
      </c>
      <c r="E233" s="1095" t="s">
        <v>466</v>
      </c>
      <c r="F233" s="1095" t="s">
        <v>521</v>
      </c>
      <c r="G233" s="1095"/>
      <c r="H233" s="1095"/>
      <c r="I233" s="1139">
        <f>4285100*1.004*3</f>
        <v>12906721.200000001</v>
      </c>
      <c r="J233" s="1139"/>
      <c r="K233" s="1139"/>
      <c r="L233" s="1139"/>
      <c r="M233" s="1139"/>
      <c r="N233" s="1139">
        <f t="shared" si="71"/>
        <v>12906721.200000001</v>
      </c>
      <c r="O233" s="1139"/>
      <c r="P233" s="1139"/>
      <c r="Q233" s="1139"/>
      <c r="R233" s="1139"/>
      <c r="S233" s="1139">
        <f t="shared" si="72"/>
        <v>0</v>
      </c>
      <c r="T233" s="1352">
        <f t="shared" si="73"/>
        <v>12906721.200000001</v>
      </c>
      <c r="U233" s="1353">
        <v>12906721.200000001</v>
      </c>
      <c r="V233" s="1353">
        <v>12906721.200000001</v>
      </c>
      <c r="W233" s="1353">
        <v>12906721.200000001</v>
      </c>
      <c r="X233" s="1353">
        <f t="shared" si="74"/>
        <v>0</v>
      </c>
      <c r="Y233" s="1353"/>
      <c r="Z233" s="1353"/>
      <c r="AA233" s="1353"/>
      <c r="AB233" s="1353"/>
      <c r="AC233" s="1353"/>
      <c r="AD233" s="1353"/>
      <c r="AE233" s="1353"/>
      <c r="AF233" s="1353"/>
      <c r="AG233" s="1353"/>
      <c r="AH233" s="1353" t="s">
        <v>227</v>
      </c>
      <c r="AI233" s="1353" t="s">
        <v>1329</v>
      </c>
    </row>
    <row r="234" spans="1:35" s="1351" customFormat="1" ht="42.75" customHeight="1">
      <c r="A234" s="294"/>
      <c r="B234" s="294"/>
      <c r="C234" s="1094" t="s">
        <v>918</v>
      </c>
      <c r="D234" s="1095" t="s">
        <v>211</v>
      </c>
      <c r="E234" s="1095" t="s">
        <v>466</v>
      </c>
      <c r="F234" s="1095" t="s">
        <v>521</v>
      </c>
      <c r="G234" s="1095"/>
      <c r="H234" s="1095"/>
      <c r="I234" s="1139"/>
      <c r="J234" s="1139"/>
      <c r="K234" s="1139"/>
      <c r="L234" s="1139"/>
      <c r="M234" s="1139"/>
      <c r="N234" s="1139">
        <f t="shared" si="71"/>
        <v>0</v>
      </c>
      <c r="O234" s="1139"/>
      <c r="P234" s="1139">
        <v>4805796.5999999996</v>
      </c>
      <c r="Q234" s="1139"/>
      <c r="R234" s="1139"/>
      <c r="S234" s="1139">
        <f t="shared" si="72"/>
        <v>4805796.5999999996</v>
      </c>
      <c r="T234" s="1352">
        <f t="shared" si="73"/>
        <v>4805796.5999999996</v>
      </c>
      <c r="U234" s="1353">
        <v>4805796.5999999996</v>
      </c>
      <c r="V234" s="1353">
        <v>4805796.5999999996</v>
      </c>
      <c r="W234" s="1353">
        <v>4805796.5999999996</v>
      </c>
      <c r="X234" s="1353">
        <f t="shared" si="74"/>
        <v>0</v>
      </c>
      <c r="Y234" s="1353"/>
      <c r="Z234" s="1353"/>
      <c r="AA234" s="1353"/>
      <c r="AB234" s="1353"/>
      <c r="AC234" s="1353"/>
      <c r="AD234" s="1353"/>
      <c r="AE234" s="1353"/>
      <c r="AF234" s="1353"/>
      <c r="AG234" s="1353"/>
      <c r="AH234" s="1353" t="s">
        <v>227</v>
      </c>
      <c r="AI234" s="1353" t="s">
        <v>1329</v>
      </c>
    </row>
    <row r="235" spans="1:35" s="490" customFormat="1" ht="42.75" customHeight="1">
      <c r="A235" s="294"/>
      <c r="B235" s="294"/>
      <c r="C235" s="5" t="s">
        <v>921</v>
      </c>
      <c r="D235" s="379" t="s">
        <v>211</v>
      </c>
      <c r="E235" s="379" t="s">
        <v>466</v>
      </c>
      <c r="F235" s="379" t="s">
        <v>521</v>
      </c>
      <c r="G235" s="379"/>
      <c r="H235" s="379"/>
      <c r="I235" s="213">
        <v>16870972.935999751</v>
      </c>
      <c r="J235" s="213"/>
      <c r="K235" s="213"/>
      <c r="L235" s="213"/>
      <c r="M235" s="213"/>
      <c r="N235" s="213">
        <f t="shared" si="71"/>
        <v>16870972.935999751</v>
      </c>
      <c r="O235" s="213"/>
      <c r="P235" s="213">
        <v>10450636.6</v>
      </c>
      <c r="Q235" s="213"/>
      <c r="R235" s="213"/>
      <c r="S235" s="213">
        <f t="shared" si="72"/>
        <v>10450636.6</v>
      </c>
      <c r="T235" s="489">
        <f t="shared" si="73"/>
        <v>27321609.535999753</v>
      </c>
      <c r="U235" s="1057">
        <v>27321609.535999753</v>
      </c>
      <c r="V235" s="1057"/>
      <c r="W235" s="1057"/>
      <c r="X235" s="1057">
        <f t="shared" si="74"/>
        <v>27321609.535999753</v>
      </c>
      <c r="Y235" s="1057">
        <v>16870972.935999751</v>
      </c>
      <c r="Z235" s="1057"/>
      <c r="AA235" s="1057"/>
      <c r="AB235" s="1057"/>
      <c r="AC235" s="1057"/>
      <c r="AD235" s="1057"/>
      <c r="AE235" s="1057">
        <v>10450636.6</v>
      </c>
      <c r="AF235" s="1057"/>
      <c r="AG235" s="1057"/>
      <c r="AH235" s="1057" t="s">
        <v>227</v>
      </c>
      <c r="AI235" s="1057" t="s">
        <v>1329</v>
      </c>
    </row>
    <row r="236" spans="1:35" s="1351" customFormat="1" ht="31.5" customHeight="1">
      <c r="A236" s="294"/>
      <c r="B236" s="294"/>
      <c r="C236" s="1094" t="s">
        <v>899</v>
      </c>
      <c r="D236" s="1095" t="s">
        <v>211</v>
      </c>
      <c r="E236" s="1095" t="s">
        <v>466</v>
      </c>
      <c r="F236" s="1095" t="s">
        <v>521</v>
      </c>
      <c r="G236" s="1095"/>
      <c r="H236" s="1095"/>
      <c r="I236" s="1139"/>
      <c r="J236" s="1139"/>
      <c r="K236" s="1139"/>
      <c r="L236" s="1139"/>
      <c r="M236" s="1139"/>
      <c r="N236" s="1139">
        <f t="shared" si="71"/>
        <v>0</v>
      </c>
      <c r="O236" s="1139"/>
      <c r="P236" s="1139">
        <v>14502362</v>
      </c>
      <c r="Q236" s="1139"/>
      <c r="R236" s="1139"/>
      <c r="S236" s="1139">
        <f t="shared" si="72"/>
        <v>14502362</v>
      </c>
      <c r="T236" s="1352">
        <f t="shared" si="73"/>
        <v>14502362</v>
      </c>
      <c r="U236" s="1353">
        <v>14502362</v>
      </c>
      <c r="V236" s="1353">
        <v>14502362</v>
      </c>
      <c r="W236" s="1353">
        <v>14502362</v>
      </c>
      <c r="X236" s="1353">
        <f t="shared" si="74"/>
        <v>0</v>
      </c>
      <c r="Y236" s="1353"/>
      <c r="Z236" s="1353"/>
      <c r="AA236" s="1353"/>
      <c r="AB236" s="1353"/>
      <c r="AC236" s="1353"/>
      <c r="AD236" s="1353"/>
      <c r="AE236" s="1353"/>
      <c r="AF236" s="1353"/>
      <c r="AG236" s="1353"/>
      <c r="AH236" s="1353" t="s">
        <v>227</v>
      </c>
      <c r="AI236" s="1353" t="s">
        <v>1329</v>
      </c>
    </row>
    <row r="237" spans="1:35" s="1351" customFormat="1" ht="31.5" customHeight="1">
      <c r="A237" s="294"/>
      <c r="B237" s="294"/>
      <c r="C237" s="1094" t="s">
        <v>893</v>
      </c>
      <c r="D237" s="1095" t="s">
        <v>211</v>
      </c>
      <c r="E237" s="1095" t="s">
        <v>466</v>
      </c>
      <c r="F237" s="1095" t="s">
        <v>521</v>
      </c>
      <c r="G237" s="1095"/>
      <c r="H237" s="1095"/>
      <c r="I237" s="1139"/>
      <c r="J237" s="1139"/>
      <c r="K237" s="1139"/>
      <c r="L237" s="1139"/>
      <c r="M237" s="1139">
        <v>15223841.711999997</v>
      </c>
      <c r="N237" s="1139">
        <f t="shared" si="71"/>
        <v>15223841.711999997</v>
      </c>
      <c r="O237" s="1139"/>
      <c r="P237" s="1139"/>
      <c r="Q237" s="1139"/>
      <c r="R237" s="1139"/>
      <c r="S237" s="1139">
        <f t="shared" si="72"/>
        <v>0</v>
      </c>
      <c r="T237" s="1352">
        <f t="shared" si="73"/>
        <v>15223841.711999997</v>
      </c>
      <c r="U237" s="1353">
        <v>15223841.711999997</v>
      </c>
      <c r="V237" s="1353">
        <v>15223841.711999997</v>
      </c>
      <c r="W237" s="1353">
        <v>15223841.711999997</v>
      </c>
      <c r="X237" s="1353">
        <f t="shared" si="74"/>
        <v>0</v>
      </c>
      <c r="Y237" s="1353"/>
      <c r="Z237" s="1353"/>
      <c r="AA237" s="1353"/>
      <c r="AB237" s="1353"/>
      <c r="AC237" s="1353"/>
      <c r="AD237" s="1353"/>
      <c r="AE237" s="1353"/>
      <c r="AF237" s="1353"/>
      <c r="AG237" s="1353"/>
      <c r="AH237" s="1353" t="s">
        <v>227</v>
      </c>
      <c r="AI237" s="1353" t="s">
        <v>1329</v>
      </c>
    </row>
    <row r="238" spans="1:35" s="1351" customFormat="1" ht="31.5" customHeight="1">
      <c r="A238" s="294"/>
      <c r="B238" s="294"/>
      <c r="C238" s="1094" t="s">
        <v>886</v>
      </c>
      <c r="D238" s="1095" t="s">
        <v>471</v>
      </c>
      <c r="E238" s="1095" t="s">
        <v>475</v>
      </c>
      <c r="F238" s="1095" t="s">
        <v>521</v>
      </c>
      <c r="G238" s="1095"/>
      <c r="H238" s="1095"/>
      <c r="I238" s="1139">
        <v>1086312.0319997999</v>
      </c>
      <c r="J238" s="1139">
        <v>7590239.8000000715</v>
      </c>
      <c r="K238" s="1139"/>
      <c r="L238" s="1139"/>
      <c r="M238" s="1139"/>
      <c r="N238" s="1139">
        <f t="shared" si="71"/>
        <v>8676551.8319998719</v>
      </c>
      <c r="O238" s="1139"/>
      <c r="P238" s="1139"/>
      <c r="Q238" s="1139"/>
      <c r="R238" s="1139"/>
      <c r="S238" s="1139">
        <f t="shared" si="72"/>
        <v>0</v>
      </c>
      <c r="T238" s="1352">
        <f t="shared" si="73"/>
        <v>8676551.8319998719</v>
      </c>
      <c r="U238" s="1353">
        <v>8676551.8319998719</v>
      </c>
      <c r="V238" s="1353">
        <v>8676551.8319998719</v>
      </c>
      <c r="W238" s="1353">
        <v>8676551.8319998719</v>
      </c>
      <c r="X238" s="1353">
        <f t="shared" si="74"/>
        <v>0</v>
      </c>
      <c r="Y238" s="1353"/>
      <c r="Z238" s="1353"/>
      <c r="AA238" s="1353"/>
      <c r="AB238" s="1353"/>
      <c r="AC238" s="1353"/>
      <c r="AD238" s="1353"/>
      <c r="AE238" s="1353"/>
      <c r="AF238" s="1353"/>
      <c r="AG238" s="1353"/>
      <c r="AH238" s="1353" t="s">
        <v>227</v>
      </c>
      <c r="AI238" s="1353" t="s">
        <v>1329</v>
      </c>
    </row>
    <row r="239" spans="1:35" s="1351" customFormat="1" ht="31.5" customHeight="1">
      <c r="A239" s="294"/>
      <c r="B239" s="294"/>
      <c r="C239" s="1094" t="s">
        <v>653</v>
      </c>
      <c r="D239" s="1095" t="s">
        <v>471</v>
      </c>
      <c r="E239" s="1095" t="s">
        <v>475</v>
      </c>
      <c r="F239" s="1095" t="s">
        <v>521</v>
      </c>
      <c r="G239" s="1095"/>
      <c r="H239" s="1095"/>
      <c r="I239" s="1139"/>
      <c r="J239" s="1117">
        <f>28365208.6-8121556.60000002</f>
        <v>20243651.999999981</v>
      </c>
      <c r="K239" s="1117"/>
      <c r="L239" s="1139"/>
      <c r="M239" s="1139"/>
      <c r="N239" s="1139">
        <f t="shared" si="71"/>
        <v>20243651.999999981</v>
      </c>
      <c r="O239" s="1139"/>
      <c r="P239" s="1139"/>
      <c r="Q239" s="1139"/>
      <c r="R239" s="1139"/>
      <c r="S239" s="1139">
        <f t="shared" si="72"/>
        <v>0</v>
      </c>
      <c r="T239" s="1352">
        <f t="shared" si="73"/>
        <v>20243651.999999981</v>
      </c>
      <c r="U239" s="1353">
        <v>20243651.999999981</v>
      </c>
      <c r="V239" s="1353">
        <v>20243651.999999981</v>
      </c>
      <c r="W239" s="1353">
        <v>20243651.999999981</v>
      </c>
      <c r="X239" s="1353">
        <f t="shared" si="74"/>
        <v>0</v>
      </c>
      <c r="Y239" s="1353"/>
      <c r="Z239" s="1353"/>
      <c r="AA239" s="1353"/>
      <c r="AB239" s="1353"/>
      <c r="AC239" s="1353"/>
      <c r="AD239" s="1353"/>
      <c r="AE239" s="1353"/>
      <c r="AF239" s="1353"/>
      <c r="AG239" s="1353"/>
      <c r="AH239" s="1353" t="s">
        <v>227</v>
      </c>
      <c r="AI239" s="1353" t="s">
        <v>1329</v>
      </c>
    </row>
    <row r="240" spans="1:35" s="1351" customFormat="1" ht="25.5">
      <c r="A240" s="294"/>
      <c r="B240" s="294"/>
      <c r="C240" s="1094" t="s">
        <v>491</v>
      </c>
      <c r="D240" s="1095" t="s">
        <v>492</v>
      </c>
      <c r="E240" s="1751" t="s">
        <v>493</v>
      </c>
      <c r="F240" s="1095" t="s">
        <v>198</v>
      </c>
      <c r="G240" s="1095"/>
      <c r="H240" s="1095"/>
      <c r="I240" s="1139"/>
      <c r="J240" s="1139">
        <v>5000000</v>
      </c>
      <c r="K240" s="1139"/>
      <c r="L240" s="1139"/>
      <c r="M240" s="1139"/>
      <c r="N240" s="1117">
        <f t="shared" si="71"/>
        <v>5000000</v>
      </c>
      <c r="O240" s="1139"/>
      <c r="P240" s="1139"/>
      <c r="Q240" s="1139"/>
      <c r="R240" s="1139"/>
      <c r="S240" s="1117">
        <f t="shared" si="72"/>
        <v>0</v>
      </c>
      <c r="T240" s="1352">
        <f t="shared" si="73"/>
        <v>5000000</v>
      </c>
      <c r="U240" s="1353">
        <v>5000000</v>
      </c>
      <c r="V240" s="1353">
        <v>5000000</v>
      </c>
      <c r="W240" s="1353">
        <v>5000000</v>
      </c>
      <c r="X240" s="1353">
        <f t="shared" si="74"/>
        <v>0</v>
      </c>
      <c r="Y240" s="1353"/>
      <c r="Z240" s="1353"/>
      <c r="AA240" s="1353"/>
      <c r="AB240" s="1353"/>
      <c r="AC240" s="1353"/>
      <c r="AD240" s="1353"/>
      <c r="AE240" s="1353"/>
      <c r="AF240" s="1353"/>
      <c r="AG240" s="1353"/>
      <c r="AH240" s="1353" t="s">
        <v>227</v>
      </c>
      <c r="AI240" s="1353" t="s">
        <v>1330</v>
      </c>
    </row>
    <row r="241" spans="1:35" s="1351" customFormat="1" ht="25.5">
      <c r="A241" s="294"/>
      <c r="B241" s="294"/>
      <c r="C241" s="1094" t="s">
        <v>494</v>
      </c>
      <c r="D241" s="1095" t="s">
        <v>492</v>
      </c>
      <c r="E241" s="1751" t="s">
        <v>493</v>
      </c>
      <c r="F241" s="1095" t="s">
        <v>198</v>
      </c>
      <c r="G241" s="1095"/>
      <c r="H241" s="1095"/>
      <c r="I241" s="1139"/>
      <c r="J241" s="1139">
        <v>5000000</v>
      </c>
      <c r="K241" s="1139"/>
      <c r="L241" s="1139"/>
      <c r="M241" s="1139"/>
      <c r="N241" s="1117">
        <f t="shared" si="71"/>
        <v>5000000</v>
      </c>
      <c r="O241" s="1139"/>
      <c r="P241" s="1139"/>
      <c r="Q241" s="1139"/>
      <c r="R241" s="1139"/>
      <c r="S241" s="1117">
        <f t="shared" si="72"/>
        <v>0</v>
      </c>
      <c r="T241" s="1352">
        <f t="shared" si="73"/>
        <v>5000000</v>
      </c>
      <c r="U241" s="1353">
        <v>5000000</v>
      </c>
      <c r="V241" s="1353">
        <v>5000000</v>
      </c>
      <c r="W241" s="1353">
        <v>5000000</v>
      </c>
      <c r="X241" s="1353">
        <f t="shared" si="74"/>
        <v>0</v>
      </c>
      <c r="Y241" s="1353"/>
      <c r="Z241" s="1353"/>
      <c r="AA241" s="1353"/>
      <c r="AB241" s="1353"/>
      <c r="AC241" s="1353"/>
      <c r="AD241" s="1353"/>
      <c r="AE241" s="1353"/>
      <c r="AF241" s="1353"/>
      <c r="AG241" s="1353"/>
      <c r="AH241" s="1353" t="s">
        <v>227</v>
      </c>
      <c r="AI241" s="1353" t="s">
        <v>1330</v>
      </c>
    </row>
    <row r="242" spans="1:35" s="1351" customFormat="1" ht="25.5">
      <c r="A242" s="294"/>
      <c r="B242" s="294"/>
      <c r="C242" s="1094" t="s">
        <v>495</v>
      </c>
      <c r="D242" s="1095" t="s">
        <v>492</v>
      </c>
      <c r="E242" s="1751" t="s">
        <v>493</v>
      </c>
      <c r="F242" s="1095" t="s">
        <v>198</v>
      </c>
      <c r="G242" s="1095"/>
      <c r="H242" s="1095"/>
      <c r="I242" s="1139"/>
      <c r="J242" s="1139">
        <v>6000000</v>
      </c>
      <c r="K242" s="1139"/>
      <c r="L242" s="1139"/>
      <c r="M242" s="1139"/>
      <c r="N242" s="1117">
        <f t="shared" si="71"/>
        <v>6000000</v>
      </c>
      <c r="O242" s="1139"/>
      <c r="P242" s="1139"/>
      <c r="Q242" s="1139"/>
      <c r="R242" s="1139"/>
      <c r="S242" s="1117">
        <f t="shared" si="72"/>
        <v>0</v>
      </c>
      <c r="T242" s="1352">
        <f t="shared" si="73"/>
        <v>6000000</v>
      </c>
      <c r="U242" s="1353">
        <v>6000000</v>
      </c>
      <c r="V242" s="1353">
        <v>6000000</v>
      </c>
      <c r="W242" s="1353">
        <v>6000000</v>
      </c>
      <c r="X242" s="1353">
        <f t="shared" si="74"/>
        <v>0</v>
      </c>
      <c r="Y242" s="1353"/>
      <c r="Z242" s="1353"/>
      <c r="AA242" s="1353"/>
      <c r="AB242" s="1353"/>
      <c r="AC242" s="1353"/>
      <c r="AD242" s="1353"/>
      <c r="AE242" s="1353"/>
      <c r="AF242" s="1353"/>
      <c r="AG242" s="1353"/>
      <c r="AH242" s="1353" t="s">
        <v>227</v>
      </c>
      <c r="AI242" s="1353" t="s">
        <v>1330</v>
      </c>
    </row>
    <row r="243" spans="1:35" s="1351" customFormat="1" ht="25.5">
      <c r="A243" s="294"/>
      <c r="B243" s="294"/>
      <c r="C243" s="1094" t="s">
        <v>496</v>
      </c>
      <c r="D243" s="1095" t="s">
        <v>492</v>
      </c>
      <c r="E243" s="1751" t="s">
        <v>493</v>
      </c>
      <c r="F243" s="1095" t="s">
        <v>198</v>
      </c>
      <c r="G243" s="1095"/>
      <c r="H243" s="1095"/>
      <c r="I243" s="1139"/>
      <c r="J243" s="1139">
        <v>6000000</v>
      </c>
      <c r="K243" s="1139"/>
      <c r="L243" s="1139"/>
      <c r="M243" s="1139"/>
      <c r="N243" s="1117">
        <f t="shared" si="71"/>
        <v>6000000</v>
      </c>
      <c r="O243" s="1139"/>
      <c r="P243" s="1139"/>
      <c r="Q243" s="1139"/>
      <c r="R243" s="1139"/>
      <c r="S243" s="1117">
        <f t="shared" si="72"/>
        <v>0</v>
      </c>
      <c r="T243" s="1352">
        <f t="shared" si="73"/>
        <v>6000000</v>
      </c>
      <c r="U243" s="1353">
        <v>6000000</v>
      </c>
      <c r="V243" s="1353">
        <v>6000000</v>
      </c>
      <c r="W243" s="1353">
        <v>6000000</v>
      </c>
      <c r="X243" s="1353">
        <f t="shared" si="74"/>
        <v>0</v>
      </c>
      <c r="Y243" s="1353"/>
      <c r="Z243" s="1353"/>
      <c r="AA243" s="1353"/>
      <c r="AB243" s="1353"/>
      <c r="AC243" s="1353"/>
      <c r="AD243" s="1353"/>
      <c r="AE243" s="1353"/>
      <c r="AF243" s="1353"/>
      <c r="AG243" s="1353"/>
      <c r="AH243" s="1353" t="s">
        <v>227</v>
      </c>
      <c r="AI243" s="1353" t="s">
        <v>1330</v>
      </c>
    </row>
    <row r="244" spans="1:35" s="490" customFormat="1" ht="15" customHeight="1">
      <c r="A244" s="294"/>
      <c r="B244" s="294"/>
      <c r="C244" s="5"/>
      <c r="D244" s="379"/>
      <c r="E244" s="504"/>
      <c r="F244" s="379"/>
      <c r="G244" s="379"/>
      <c r="H244" s="379"/>
      <c r="I244" s="213"/>
      <c r="J244" s="213"/>
      <c r="K244" s="213"/>
      <c r="L244" s="213"/>
      <c r="M244" s="213"/>
      <c r="N244" s="547">
        <f t="shared" si="71"/>
        <v>0</v>
      </c>
      <c r="O244" s="213"/>
      <c r="P244" s="213"/>
      <c r="Q244" s="213"/>
      <c r="R244" s="213"/>
      <c r="S244" s="547">
        <f t="shared" si="72"/>
        <v>0</v>
      </c>
      <c r="T244" s="489">
        <f t="shared" si="73"/>
        <v>0</v>
      </c>
      <c r="U244" s="1057"/>
      <c r="V244" s="1057"/>
      <c r="W244" s="1057"/>
      <c r="X244" s="1057">
        <f t="shared" si="74"/>
        <v>0</v>
      </c>
      <c r="Y244" s="1057"/>
      <c r="Z244" s="1057"/>
      <c r="AA244" s="1057"/>
      <c r="AB244" s="1057"/>
      <c r="AC244" s="1057"/>
      <c r="AD244" s="1057"/>
      <c r="AE244" s="1057"/>
      <c r="AF244" s="1057"/>
      <c r="AG244" s="1057"/>
      <c r="AH244" s="1057" t="s">
        <v>227</v>
      </c>
      <c r="AI244" s="1057" t="s">
        <v>1330</v>
      </c>
    </row>
    <row r="245" spans="1:35" s="1351" customFormat="1" ht="15" customHeight="1">
      <c r="A245" s="294"/>
      <c r="B245" s="294"/>
      <c r="C245" s="1094" t="s">
        <v>497</v>
      </c>
      <c r="D245" s="1095" t="s">
        <v>381</v>
      </c>
      <c r="E245" s="1095" t="s">
        <v>489</v>
      </c>
      <c r="F245" s="1095" t="s">
        <v>198</v>
      </c>
      <c r="G245" s="1095"/>
      <c r="H245" s="1095"/>
      <c r="I245" s="1139"/>
      <c r="J245" s="1139">
        <v>100000000</v>
      </c>
      <c r="K245" s="1139"/>
      <c r="L245" s="1139"/>
      <c r="M245" s="1139"/>
      <c r="N245" s="1117">
        <f t="shared" si="71"/>
        <v>100000000</v>
      </c>
      <c r="O245" s="1139"/>
      <c r="P245" s="1139"/>
      <c r="Q245" s="1139"/>
      <c r="R245" s="1139"/>
      <c r="S245" s="1117">
        <f t="shared" si="72"/>
        <v>0</v>
      </c>
      <c r="T245" s="1352">
        <f t="shared" si="73"/>
        <v>100000000</v>
      </c>
      <c r="U245" s="1353">
        <v>100000000</v>
      </c>
      <c r="V245" s="1353">
        <v>100000000</v>
      </c>
      <c r="W245" s="1353">
        <v>100000000</v>
      </c>
      <c r="X245" s="1353">
        <f t="shared" si="74"/>
        <v>0</v>
      </c>
      <c r="Y245" s="1353"/>
      <c r="Z245" s="1353"/>
      <c r="AA245" s="1353"/>
      <c r="AB245" s="1353"/>
      <c r="AC245" s="1353"/>
      <c r="AD245" s="1353"/>
      <c r="AE245" s="1353"/>
      <c r="AF245" s="1353"/>
      <c r="AG245" s="1353"/>
      <c r="AH245" s="1353" t="s">
        <v>227</v>
      </c>
      <c r="AI245" s="1353" t="s">
        <v>1330</v>
      </c>
    </row>
    <row r="246" spans="1:35" s="490" customFormat="1" ht="30.75" customHeight="1">
      <c r="A246" s="294"/>
      <c r="B246" s="294"/>
      <c r="C246" s="5" t="s">
        <v>498</v>
      </c>
      <c r="D246" s="376" t="s">
        <v>381</v>
      </c>
      <c r="E246" s="379" t="s">
        <v>489</v>
      </c>
      <c r="F246" s="379" t="s">
        <v>198</v>
      </c>
      <c r="G246" s="379"/>
      <c r="H246" s="379"/>
      <c r="I246" s="213"/>
      <c r="J246" s="213"/>
      <c r="K246" s="213"/>
      <c r="L246" s="213"/>
      <c r="M246" s="213"/>
      <c r="N246" s="547">
        <f t="shared" ref="N246:N248" si="79">+SUM(I246:M246)</f>
        <v>0</v>
      </c>
      <c r="O246" s="213"/>
      <c r="P246" s="213"/>
      <c r="Q246" s="213"/>
      <c r="R246" s="213"/>
      <c r="S246" s="547">
        <f t="shared" ref="S246" si="80">+SUM(O246:R246)</f>
        <v>0</v>
      </c>
      <c r="T246" s="489">
        <f t="shared" ref="T246" si="81">+S246+N246</f>
        <v>0</v>
      </c>
      <c r="U246" s="1057"/>
      <c r="V246" s="1057"/>
      <c r="W246" s="1057"/>
      <c r="X246" s="1057"/>
      <c r="Y246" s="1057"/>
      <c r="Z246" s="1057"/>
      <c r="AA246" s="1057"/>
      <c r="AB246" s="1057"/>
      <c r="AC246" s="1057"/>
      <c r="AD246" s="1057"/>
      <c r="AE246" s="1057"/>
      <c r="AF246" s="1057"/>
      <c r="AG246" s="1057"/>
      <c r="AH246" s="1057" t="s">
        <v>227</v>
      </c>
      <c r="AI246" s="1057" t="s">
        <v>1330</v>
      </c>
    </row>
    <row r="247" spans="1:35" s="1351" customFormat="1" ht="30.75" customHeight="1">
      <c r="A247" s="294"/>
      <c r="B247" s="294"/>
      <c r="C247" s="1094" t="s">
        <v>204</v>
      </c>
      <c r="D247" s="1115"/>
      <c r="E247" s="1095"/>
      <c r="F247" s="1095"/>
      <c r="G247" s="1095"/>
      <c r="H247" s="1095"/>
      <c r="I247" s="1139"/>
      <c r="J247" s="1139">
        <v>69256897.791295379</v>
      </c>
      <c r="K247" s="1139"/>
      <c r="L247" s="1139">
        <v>80514226.856782943</v>
      </c>
      <c r="M247" s="1139"/>
      <c r="N247" s="1117">
        <f t="shared" si="79"/>
        <v>149771124.64807832</v>
      </c>
      <c r="O247" s="1139"/>
      <c r="P247" s="1139"/>
      <c r="Q247" s="1139"/>
      <c r="R247" s="1139"/>
      <c r="S247" s="1117">
        <f t="shared" ref="S247:S248" si="82">+SUM(O247:R247)</f>
        <v>0</v>
      </c>
      <c r="T247" s="1352">
        <f t="shared" ref="T247:T248" si="83">+S247+N247</f>
        <v>149771124.64807832</v>
      </c>
      <c r="U247" s="1353"/>
      <c r="V247" s="1353"/>
      <c r="W247" s="1353"/>
      <c r="X247" s="1353"/>
      <c r="Y247" s="1353"/>
      <c r="Z247" s="1353"/>
      <c r="AA247" s="1353"/>
      <c r="AB247" s="1353"/>
      <c r="AC247" s="1353"/>
      <c r="AD247" s="1353"/>
      <c r="AE247" s="1353"/>
      <c r="AF247" s="1353"/>
      <c r="AG247" s="1353"/>
      <c r="AH247" s="1353"/>
      <c r="AI247" s="1353"/>
    </row>
    <row r="248" spans="1:35" s="1354" customFormat="1" ht="30.75" customHeight="1">
      <c r="A248" s="294"/>
      <c r="B248" s="294"/>
      <c r="C248" s="1088" t="s">
        <v>204</v>
      </c>
      <c r="D248" s="1107"/>
      <c r="E248" s="1089"/>
      <c r="F248" s="1089"/>
      <c r="G248" s="1089"/>
      <c r="H248" s="1089"/>
      <c r="I248" s="1231"/>
      <c r="J248" s="1231">
        <f>371880871-J247</f>
        <v>302623973.20870459</v>
      </c>
      <c r="K248" s="1231"/>
      <c r="L248" s="1231">
        <f>167224532-L247</f>
        <v>86710305.143217057</v>
      </c>
      <c r="M248" s="1231"/>
      <c r="N248" s="1112">
        <f t="shared" si="79"/>
        <v>389334278.35192168</v>
      </c>
      <c r="O248" s="1231"/>
      <c r="P248" s="1231"/>
      <c r="Q248" s="1231"/>
      <c r="R248" s="1231"/>
      <c r="S248" s="1112">
        <f t="shared" si="82"/>
        <v>0</v>
      </c>
      <c r="T248" s="1355">
        <f t="shared" si="83"/>
        <v>389334278.35192168</v>
      </c>
      <c r="U248" s="1356"/>
      <c r="V248" s="1356"/>
      <c r="W248" s="1356"/>
      <c r="X248" s="1356"/>
      <c r="Y248" s="1356"/>
      <c r="Z248" s="1356"/>
      <c r="AA248" s="1356"/>
      <c r="AB248" s="1356"/>
      <c r="AC248" s="1356"/>
      <c r="AD248" s="1356"/>
      <c r="AE248" s="1356"/>
      <c r="AF248" s="1356"/>
      <c r="AG248" s="1356"/>
      <c r="AH248" s="1356"/>
      <c r="AI248" s="1356"/>
    </row>
    <row r="249" spans="1:35" s="490" customFormat="1" ht="38.25">
      <c r="A249" s="1875"/>
      <c r="B249" s="1876" t="s">
        <v>1514</v>
      </c>
      <c r="C249" s="93" t="s">
        <v>1017</v>
      </c>
      <c r="D249" s="94"/>
      <c r="E249" s="94"/>
      <c r="F249" s="95" t="s">
        <v>408</v>
      </c>
      <c r="G249" s="95">
        <v>1</v>
      </c>
      <c r="H249" s="95"/>
      <c r="I249" s="497">
        <f>SUM(I250:I267)</f>
        <v>283346952.63999999</v>
      </c>
      <c r="J249" s="497">
        <f t="shared" ref="J249:S249" si="84">SUM(J250:J267)</f>
        <v>0</v>
      </c>
      <c r="K249" s="497">
        <f t="shared" si="84"/>
        <v>0</v>
      </c>
      <c r="L249" s="497">
        <f t="shared" si="84"/>
        <v>0</v>
      </c>
      <c r="M249" s="497">
        <f t="shared" si="84"/>
        <v>60849167.817000002</v>
      </c>
      <c r="N249" s="497">
        <f t="shared" si="84"/>
        <v>344196120.45699996</v>
      </c>
      <c r="O249" s="497">
        <f t="shared" si="84"/>
        <v>0</v>
      </c>
      <c r="P249" s="497">
        <f t="shared" si="84"/>
        <v>0</v>
      </c>
      <c r="Q249" s="497">
        <f t="shared" si="84"/>
        <v>40000000</v>
      </c>
      <c r="R249" s="497">
        <f t="shared" si="84"/>
        <v>0</v>
      </c>
      <c r="S249" s="497">
        <f t="shared" si="84"/>
        <v>40000000</v>
      </c>
      <c r="T249" s="122">
        <f>SUM(T250:T267)</f>
        <v>384196120.45699996</v>
      </c>
      <c r="U249" s="1057"/>
      <c r="V249" s="1057"/>
      <c r="W249" s="1057"/>
      <c r="X249" s="1057"/>
      <c r="Y249" s="1057"/>
      <c r="Z249" s="1057"/>
      <c r="AA249" s="1057"/>
      <c r="AB249" s="1057"/>
      <c r="AC249" s="1057"/>
      <c r="AD249" s="1057"/>
      <c r="AE249" s="1057"/>
      <c r="AF249" s="1057"/>
      <c r="AG249" s="1057"/>
      <c r="AH249" s="1057"/>
      <c r="AI249" s="1057"/>
    </row>
    <row r="250" spans="1:35" s="1351" customFormat="1" ht="15">
      <c r="A250" s="294"/>
      <c r="B250" s="294"/>
      <c r="C250" s="1094" t="s">
        <v>665</v>
      </c>
      <c r="D250" s="1095" t="s">
        <v>211</v>
      </c>
      <c r="E250" s="1095">
        <v>83990</v>
      </c>
      <c r="F250" s="1095" t="s">
        <v>521</v>
      </c>
      <c r="G250" s="1095"/>
      <c r="H250" s="1095"/>
      <c r="I250" s="1139">
        <v>48310923.799999997</v>
      </c>
      <c r="J250" s="1139"/>
      <c r="K250" s="1139"/>
      <c r="L250" s="1139"/>
      <c r="M250" s="1139"/>
      <c r="N250" s="1117">
        <f t="shared" ref="N250:N267" si="85">+SUM(I250:M250)</f>
        <v>48310923.799999997</v>
      </c>
      <c r="O250" s="1139"/>
      <c r="P250" s="1139"/>
      <c r="Q250" s="1139"/>
      <c r="R250" s="1139"/>
      <c r="S250" s="1117">
        <f>+SUM(O250:R250)</f>
        <v>0</v>
      </c>
      <c r="T250" s="1352">
        <f>+S250+N250</f>
        <v>48310923.799999997</v>
      </c>
      <c r="U250" s="1353">
        <v>48310923.799999997</v>
      </c>
      <c r="V250" s="1353">
        <v>48310924</v>
      </c>
      <c r="W250" s="1353">
        <v>48310924</v>
      </c>
      <c r="X250" s="1353">
        <f>+U250-W250</f>
        <v>-0.20000000298023224</v>
      </c>
      <c r="Y250" s="1353"/>
      <c r="Z250" s="1353"/>
      <c r="AA250" s="1353"/>
      <c r="AB250" s="1353"/>
      <c r="AC250" s="1353"/>
      <c r="AD250" s="1353"/>
      <c r="AE250" s="1353"/>
      <c r="AF250" s="1353"/>
      <c r="AG250" s="1353"/>
      <c r="AH250" s="1353" t="s">
        <v>228</v>
      </c>
      <c r="AI250" s="1353" t="s">
        <v>1331</v>
      </c>
    </row>
    <row r="251" spans="1:35" s="1351" customFormat="1" ht="15">
      <c r="A251" s="294"/>
      <c r="B251" s="294"/>
      <c r="C251" s="1094" t="s">
        <v>665</v>
      </c>
      <c r="D251" s="1095" t="s">
        <v>211</v>
      </c>
      <c r="E251" s="1095">
        <v>83990</v>
      </c>
      <c r="F251" s="1095" t="s">
        <v>521</v>
      </c>
      <c r="G251" s="1095"/>
      <c r="H251" s="1095"/>
      <c r="I251" s="1139">
        <f>33291900*1.004</f>
        <v>33425067.600000001</v>
      </c>
      <c r="J251" s="1139"/>
      <c r="K251" s="1139"/>
      <c r="L251" s="1139"/>
      <c r="M251" s="1139"/>
      <c r="N251" s="1117">
        <f t="shared" si="85"/>
        <v>33425067.600000001</v>
      </c>
      <c r="O251" s="1139"/>
      <c r="P251" s="1139"/>
      <c r="Q251" s="1139"/>
      <c r="R251" s="1139"/>
      <c r="S251" s="1117">
        <f t="shared" ref="S251:S267" si="86">+SUM(O251:R251)</f>
        <v>0</v>
      </c>
      <c r="T251" s="1352">
        <f t="shared" ref="T251:T267" si="87">+S251+N251</f>
        <v>33425067.600000001</v>
      </c>
      <c r="U251" s="1353">
        <v>33425067.600000001</v>
      </c>
      <c r="V251" s="1353">
        <v>33425068</v>
      </c>
      <c r="W251" s="1353">
        <v>33425068</v>
      </c>
      <c r="X251" s="1353">
        <f t="shared" ref="X251:X267" si="88">+U251-W251</f>
        <v>-0.39999999850988388</v>
      </c>
      <c r="Y251" s="1353"/>
      <c r="Z251" s="1353"/>
      <c r="AA251" s="1353"/>
      <c r="AB251" s="1353"/>
      <c r="AC251" s="1353"/>
      <c r="AD251" s="1353"/>
      <c r="AE251" s="1353"/>
      <c r="AF251" s="1353"/>
      <c r="AG251" s="1353"/>
      <c r="AH251" s="1353" t="s">
        <v>228</v>
      </c>
      <c r="AI251" s="1353" t="s">
        <v>1331</v>
      </c>
    </row>
    <row r="252" spans="1:35" s="1351" customFormat="1" ht="15">
      <c r="A252" s="294"/>
      <c r="B252" s="294"/>
      <c r="C252" s="1094" t="s">
        <v>634</v>
      </c>
      <c r="D252" s="1095" t="s">
        <v>211</v>
      </c>
      <c r="E252" s="1095">
        <v>83990</v>
      </c>
      <c r="F252" s="1095" t="s">
        <v>521</v>
      </c>
      <c r="G252" s="1095"/>
      <c r="H252" s="1095"/>
      <c r="I252" s="1139">
        <v>32989201.080000002</v>
      </c>
      <c r="J252" s="1139"/>
      <c r="K252" s="1139"/>
      <c r="L252" s="1139"/>
      <c r="M252" s="1139"/>
      <c r="N252" s="1117">
        <f t="shared" si="85"/>
        <v>32989201.080000002</v>
      </c>
      <c r="O252" s="1139"/>
      <c r="P252" s="1139"/>
      <c r="Q252" s="1139"/>
      <c r="R252" s="1139"/>
      <c r="S252" s="1117">
        <f t="shared" si="86"/>
        <v>0</v>
      </c>
      <c r="T252" s="1352">
        <f t="shared" si="87"/>
        <v>32989201.080000002</v>
      </c>
      <c r="U252" s="1353">
        <v>32989201.080000002</v>
      </c>
      <c r="V252" s="1353">
        <v>32989201</v>
      </c>
      <c r="W252" s="1353">
        <v>32989201</v>
      </c>
      <c r="X252" s="1353">
        <f t="shared" si="88"/>
        <v>8.0000001937150955E-2</v>
      </c>
      <c r="Y252" s="1353"/>
      <c r="Z252" s="1353"/>
      <c r="AA252" s="1353"/>
      <c r="AB252" s="1353"/>
      <c r="AC252" s="1353"/>
      <c r="AD252" s="1353"/>
      <c r="AE252" s="1353"/>
      <c r="AF252" s="1353"/>
      <c r="AG252" s="1353"/>
      <c r="AH252" s="1353" t="s">
        <v>228</v>
      </c>
      <c r="AI252" s="1353" t="s">
        <v>1331</v>
      </c>
    </row>
    <row r="253" spans="1:35" s="490" customFormat="1" ht="15">
      <c r="A253" s="294"/>
      <c r="B253" s="294"/>
      <c r="C253" s="5" t="s">
        <v>634</v>
      </c>
      <c r="D253" s="379" t="s">
        <v>211</v>
      </c>
      <c r="E253" s="379">
        <v>83990</v>
      </c>
      <c r="F253" s="379" t="s">
        <v>521</v>
      </c>
      <c r="G253" s="379"/>
      <c r="H253" s="379"/>
      <c r="I253" s="213">
        <v>0</v>
      </c>
      <c r="J253" s="213"/>
      <c r="K253" s="213"/>
      <c r="L253" s="213"/>
      <c r="M253" s="213"/>
      <c r="N253" s="547">
        <f t="shared" si="85"/>
        <v>0</v>
      </c>
      <c r="O253" s="213"/>
      <c r="P253" s="213"/>
      <c r="Q253" s="213"/>
      <c r="R253" s="213"/>
      <c r="S253" s="547">
        <f t="shared" si="86"/>
        <v>0</v>
      </c>
      <c r="T253" s="489">
        <f t="shared" si="87"/>
        <v>0</v>
      </c>
      <c r="U253" s="1057">
        <v>0</v>
      </c>
      <c r="V253" s="1057"/>
      <c r="W253" s="1057"/>
      <c r="X253" s="1057">
        <f t="shared" si="88"/>
        <v>0</v>
      </c>
      <c r="Y253" s="1057"/>
      <c r="Z253" s="1057"/>
      <c r="AA253" s="1057"/>
      <c r="AB253" s="1057"/>
      <c r="AC253" s="1057"/>
      <c r="AD253" s="1057"/>
      <c r="AE253" s="1057"/>
      <c r="AF253" s="1057"/>
      <c r="AG253" s="1057"/>
      <c r="AH253" s="1057" t="s">
        <v>228</v>
      </c>
      <c r="AI253" s="1057" t="s">
        <v>1331</v>
      </c>
    </row>
    <row r="254" spans="1:35" s="1351" customFormat="1" ht="15">
      <c r="A254" s="294"/>
      <c r="B254" s="294"/>
      <c r="C254" s="1094" t="s">
        <v>635</v>
      </c>
      <c r="D254" s="1095" t="s">
        <v>211</v>
      </c>
      <c r="E254" s="1095">
        <v>83990</v>
      </c>
      <c r="F254" s="1095" t="s">
        <v>521</v>
      </c>
      <c r="G254" s="1095"/>
      <c r="H254" s="1095"/>
      <c r="I254" s="1139">
        <f>6556795.32999969-186114.129999685</f>
        <v>6370681.2000000048</v>
      </c>
      <c r="J254" s="1139"/>
      <c r="K254" s="1139"/>
      <c r="L254" s="1139"/>
      <c r="M254" s="1139"/>
      <c r="N254" s="1117">
        <f t="shared" si="85"/>
        <v>6370681.2000000048</v>
      </c>
      <c r="O254" s="1139"/>
      <c r="P254" s="1139"/>
      <c r="Q254" s="1139"/>
      <c r="R254" s="1139"/>
      <c r="S254" s="1117">
        <f t="shared" si="86"/>
        <v>0</v>
      </c>
      <c r="T254" s="1352">
        <f t="shared" si="87"/>
        <v>6370681.2000000048</v>
      </c>
      <c r="U254" s="1353">
        <v>6370681.2000000048</v>
      </c>
      <c r="V254" s="1353">
        <v>6370681</v>
      </c>
      <c r="W254" s="1353">
        <v>6370681</v>
      </c>
      <c r="X254" s="1353">
        <f t="shared" si="88"/>
        <v>0.20000000484287739</v>
      </c>
      <c r="Y254" s="1353"/>
      <c r="Z254" s="1353"/>
      <c r="AA254" s="1353"/>
      <c r="AB254" s="1353"/>
      <c r="AC254" s="1353"/>
      <c r="AD254" s="1353"/>
      <c r="AE254" s="1353"/>
      <c r="AF254" s="1353"/>
      <c r="AG254" s="1353"/>
      <c r="AH254" s="1353" t="s">
        <v>228</v>
      </c>
      <c r="AI254" s="1353" t="s">
        <v>1331</v>
      </c>
    </row>
    <row r="255" spans="1:35" s="490" customFormat="1" ht="15">
      <c r="A255" s="294"/>
      <c r="B255" s="294"/>
      <c r="C255" s="5" t="s">
        <v>638</v>
      </c>
      <c r="D255" s="379" t="s">
        <v>211</v>
      </c>
      <c r="E255" s="379">
        <v>83990</v>
      </c>
      <c r="F255" s="379" t="s">
        <v>521</v>
      </c>
      <c r="G255" s="379"/>
      <c r="H255" s="379"/>
      <c r="I255" s="213"/>
      <c r="J255" s="213"/>
      <c r="K255" s="213"/>
      <c r="L255" s="213"/>
      <c r="M255" s="213"/>
      <c r="N255" s="547">
        <f t="shared" si="85"/>
        <v>0</v>
      </c>
      <c r="O255" s="213"/>
      <c r="P255" s="213"/>
      <c r="Q255" s="213">
        <v>1733266.56</v>
      </c>
      <c r="R255" s="213"/>
      <c r="S255" s="547">
        <f t="shared" si="86"/>
        <v>1733266.56</v>
      </c>
      <c r="T255" s="489">
        <f t="shared" si="87"/>
        <v>1733266.56</v>
      </c>
      <c r="U255" s="1057">
        <v>1733266.56</v>
      </c>
      <c r="V255" s="1057"/>
      <c r="W255" s="1057"/>
      <c r="X255" s="1057">
        <f>+U255-V255</f>
        <v>1733266.56</v>
      </c>
      <c r="Y255" s="1057"/>
      <c r="Z255" s="1057"/>
      <c r="AA255" s="1057"/>
      <c r="AB255" s="1057"/>
      <c r="AC255" s="1057"/>
      <c r="AD255" s="1057"/>
      <c r="AE255" s="1057"/>
      <c r="AF255" s="1057">
        <v>1733266.56</v>
      </c>
      <c r="AG255" s="1057"/>
      <c r="AH255" s="1057" t="s">
        <v>228</v>
      </c>
      <c r="AI255" s="1057" t="s">
        <v>1331</v>
      </c>
    </row>
    <row r="256" spans="1:35" s="1351" customFormat="1" ht="15">
      <c r="A256" s="294"/>
      <c r="B256" s="294"/>
      <c r="C256" s="1094" t="s">
        <v>636</v>
      </c>
      <c r="D256" s="1095" t="s">
        <v>211</v>
      </c>
      <c r="E256" s="1095">
        <v>83990</v>
      </c>
      <c r="F256" s="1095" t="s">
        <v>521</v>
      </c>
      <c r="G256" s="1095"/>
      <c r="H256" s="1095"/>
      <c r="I256" s="1139">
        <v>21195364</v>
      </c>
      <c r="J256" s="1139"/>
      <c r="K256" s="1139"/>
      <c r="L256" s="1139"/>
      <c r="M256" s="1139">
        <v>6095906.2889999999</v>
      </c>
      <c r="N256" s="1117">
        <f t="shared" si="85"/>
        <v>27291270.289000001</v>
      </c>
      <c r="O256" s="1139"/>
      <c r="P256" s="1139"/>
      <c r="Q256" s="1139"/>
      <c r="R256" s="1139"/>
      <c r="S256" s="1117">
        <f t="shared" si="86"/>
        <v>0</v>
      </c>
      <c r="T256" s="1352">
        <f t="shared" si="87"/>
        <v>27291270.289000001</v>
      </c>
      <c r="U256" s="1353">
        <v>27291270.289000001</v>
      </c>
      <c r="V256" s="1353">
        <v>27291270</v>
      </c>
      <c r="W256" s="1353">
        <v>27291270</v>
      </c>
      <c r="X256" s="1353">
        <f t="shared" si="88"/>
        <v>0.2890000008046627</v>
      </c>
      <c r="Y256" s="1353"/>
      <c r="Z256" s="1353"/>
      <c r="AA256" s="1353"/>
      <c r="AB256" s="1353"/>
      <c r="AC256" s="1353"/>
      <c r="AD256" s="1353"/>
      <c r="AE256" s="1353"/>
      <c r="AF256" s="1353"/>
      <c r="AG256" s="1353"/>
      <c r="AH256" s="1353" t="s">
        <v>228</v>
      </c>
      <c r="AI256" s="1353" t="s">
        <v>1331</v>
      </c>
    </row>
    <row r="257" spans="1:35" s="1351" customFormat="1" ht="15">
      <c r="A257" s="294"/>
      <c r="B257" s="294"/>
      <c r="C257" s="1094" t="s">
        <v>637</v>
      </c>
      <c r="D257" s="1095" t="s">
        <v>395</v>
      </c>
      <c r="E257" s="1095">
        <v>83990</v>
      </c>
      <c r="F257" s="1095" t="s">
        <v>521</v>
      </c>
      <c r="G257" s="1095"/>
      <c r="H257" s="1095"/>
      <c r="I257" s="1139">
        <v>27291270.159999996</v>
      </c>
      <c r="J257" s="1139"/>
      <c r="K257" s="1139"/>
      <c r="L257" s="1139"/>
      <c r="M257" s="1117"/>
      <c r="N257" s="1117">
        <f t="shared" si="85"/>
        <v>27291270.159999996</v>
      </c>
      <c r="O257" s="1139"/>
      <c r="P257" s="1139"/>
      <c r="Q257" s="1139"/>
      <c r="R257" s="1139"/>
      <c r="S257" s="1117">
        <f t="shared" si="86"/>
        <v>0</v>
      </c>
      <c r="T257" s="1352">
        <f t="shared" si="87"/>
        <v>27291270.159999996</v>
      </c>
      <c r="U257" s="1353">
        <v>27291270.159999996</v>
      </c>
      <c r="V257" s="1353">
        <v>27291270</v>
      </c>
      <c r="W257" s="1353">
        <v>27291270</v>
      </c>
      <c r="X257" s="1353">
        <f t="shared" si="88"/>
        <v>0.15999999642372131</v>
      </c>
      <c r="Y257" s="1353"/>
      <c r="Z257" s="1353"/>
      <c r="AA257" s="1353"/>
      <c r="AB257" s="1353"/>
      <c r="AC257" s="1353"/>
      <c r="AD257" s="1353"/>
      <c r="AE257" s="1353"/>
      <c r="AF257" s="1353"/>
      <c r="AG257" s="1353"/>
      <c r="AH257" s="1353" t="s">
        <v>228</v>
      </c>
      <c r="AI257" s="1353" t="s">
        <v>1331</v>
      </c>
    </row>
    <row r="258" spans="1:35" s="1351" customFormat="1" ht="15">
      <c r="A258" s="294"/>
      <c r="B258" s="294"/>
      <c r="C258" s="1094" t="s">
        <v>639</v>
      </c>
      <c r="D258" s="1095" t="s">
        <v>782</v>
      </c>
      <c r="E258" s="1095">
        <v>83990</v>
      </c>
      <c r="F258" s="1095" t="s">
        <v>521</v>
      </c>
      <c r="G258" s="1095"/>
      <c r="H258" s="1095"/>
      <c r="I258" s="1139">
        <f>33467406.28-478205.200000003</f>
        <v>32989201.079999998</v>
      </c>
      <c r="J258" s="1139"/>
      <c r="K258" s="1139"/>
      <c r="L258" s="1139"/>
      <c r="M258" s="1139"/>
      <c r="N258" s="1117">
        <f t="shared" si="85"/>
        <v>32989201.079999998</v>
      </c>
      <c r="O258" s="1139"/>
      <c r="P258" s="1139"/>
      <c r="Q258" s="1139"/>
      <c r="R258" s="1139"/>
      <c r="S258" s="1117">
        <f t="shared" si="86"/>
        <v>0</v>
      </c>
      <c r="T258" s="1352">
        <f t="shared" si="87"/>
        <v>32989201.079999998</v>
      </c>
      <c r="U258" s="1353">
        <v>32989201.079999998</v>
      </c>
      <c r="V258" s="1353">
        <v>32989201</v>
      </c>
      <c r="W258" s="1353">
        <v>32989201</v>
      </c>
      <c r="X258" s="1353">
        <f t="shared" si="88"/>
        <v>7.9999998211860657E-2</v>
      </c>
      <c r="Y258" s="1353"/>
      <c r="Z258" s="1353"/>
      <c r="AA258" s="1353"/>
      <c r="AB258" s="1353"/>
      <c r="AC258" s="1353"/>
      <c r="AD258" s="1353"/>
      <c r="AE258" s="1353"/>
      <c r="AF258" s="1353"/>
      <c r="AG258" s="1353"/>
      <c r="AH258" s="1353" t="s">
        <v>228</v>
      </c>
      <c r="AI258" s="1353" t="s">
        <v>1331</v>
      </c>
    </row>
    <row r="259" spans="1:35" s="490" customFormat="1" ht="15">
      <c r="A259" s="294"/>
      <c r="B259" s="294"/>
      <c r="C259" s="252" t="s">
        <v>639</v>
      </c>
      <c r="D259" s="391" t="s">
        <v>803</v>
      </c>
      <c r="E259" s="391">
        <v>83990</v>
      </c>
      <c r="F259" s="391" t="s">
        <v>521</v>
      </c>
      <c r="G259" s="391"/>
      <c r="H259" s="391"/>
      <c r="I259" s="498">
        <v>0</v>
      </c>
      <c r="J259" s="498"/>
      <c r="K259" s="498"/>
      <c r="L259" s="498"/>
      <c r="M259" s="498"/>
      <c r="N259" s="501">
        <f t="shared" si="85"/>
        <v>0</v>
      </c>
      <c r="O259" s="498"/>
      <c r="P259" s="498"/>
      <c r="Q259" s="498"/>
      <c r="R259" s="213"/>
      <c r="S259" s="547">
        <f t="shared" si="86"/>
        <v>0</v>
      </c>
      <c r="T259" s="489">
        <f t="shared" si="87"/>
        <v>0</v>
      </c>
      <c r="U259" s="1057">
        <v>0</v>
      </c>
      <c r="V259" s="1057"/>
      <c r="W259" s="1057"/>
      <c r="X259" s="1057">
        <f t="shared" si="88"/>
        <v>0</v>
      </c>
      <c r="Y259" s="1057"/>
      <c r="Z259" s="1057"/>
      <c r="AA259" s="1057"/>
      <c r="AB259" s="1057"/>
      <c r="AC259" s="1057"/>
      <c r="AD259" s="1057"/>
      <c r="AE259" s="1057"/>
      <c r="AF259" s="1057"/>
      <c r="AG259" s="1057"/>
      <c r="AH259" s="1057" t="s">
        <v>228</v>
      </c>
      <c r="AI259" s="1057" t="s">
        <v>1331</v>
      </c>
    </row>
    <row r="260" spans="1:35" s="1351" customFormat="1" ht="15">
      <c r="A260" s="294"/>
      <c r="B260" s="294"/>
      <c r="C260" s="1094" t="s">
        <v>640</v>
      </c>
      <c r="D260" s="1095" t="s">
        <v>804</v>
      </c>
      <c r="E260" s="1095">
        <v>83990</v>
      </c>
      <c r="F260" s="1095" t="s">
        <v>521</v>
      </c>
      <c r="G260" s="1095"/>
      <c r="H260" s="1095"/>
      <c r="I260" s="1139">
        <v>32989201.080000002</v>
      </c>
      <c r="J260" s="1139"/>
      <c r="K260" s="1139"/>
      <c r="L260" s="1139"/>
      <c r="M260" s="1139"/>
      <c r="N260" s="1117">
        <f t="shared" si="85"/>
        <v>32989201.080000002</v>
      </c>
      <c r="O260" s="1139"/>
      <c r="P260" s="1139"/>
      <c r="Q260" s="1139"/>
      <c r="R260" s="1139"/>
      <c r="S260" s="1117">
        <f t="shared" si="86"/>
        <v>0</v>
      </c>
      <c r="T260" s="1352">
        <f t="shared" si="87"/>
        <v>32989201.080000002</v>
      </c>
      <c r="U260" s="1353">
        <v>32989201.080000002</v>
      </c>
      <c r="V260" s="1353">
        <v>32989201</v>
      </c>
      <c r="W260" s="1353">
        <v>32989201</v>
      </c>
      <c r="X260" s="1353">
        <f t="shared" si="88"/>
        <v>8.0000001937150955E-2</v>
      </c>
      <c r="Y260" s="1353"/>
      <c r="Z260" s="1353"/>
      <c r="AA260" s="1353"/>
      <c r="AB260" s="1353"/>
      <c r="AC260" s="1353"/>
      <c r="AD260" s="1353"/>
      <c r="AE260" s="1353"/>
      <c r="AF260" s="1353"/>
      <c r="AG260" s="1353"/>
      <c r="AH260" s="1353" t="s">
        <v>228</v>
      </c>
      <c r="AI260" s="1353" t="s">
        <v>1331</v>
      </c>
    </row>
    <row r="261" spans="1:35" s="1351" customFormat="1" ht="15">
      <c r="A261" s="294"/>
      <c r="B261" s="294"/>
      <c r="C261" s="1094" t="s">
        <v>640</v>
      </c>
      <c r="D261" s="1095" t="s">
        <v>805</v>
      </c>
      <c r="E261" s="1095">
        <v>83990</v>
      </c>
      <c r="F261" s="1095" t="s">
        <v>521</v>
      </c>
      <c r="G261" s="1095"/>
      <c r="H261" s="1095"/>
      <c r="I261" s="1139">
        <v>32989201.080000002</v>
      </c>
      <c r="J261" s="1139"/>
      <c r="K261" s="1139"/>
      <c r="L261" s="1139"/>
      <c r="M261" s="1139"/>
      <c r="N261" s="1117">
        <f t="shared" si="85"/>
        <v>32989201.080000002</v>
      </c>
      <c r="O261" s="1139"/>
      <c r="P261" s="1139"/>
      <c r="Q261" s="1139"/>
      <c r="R261" s="1139"/>
      <c r="S261" s="1117">
        <f t="shared" si="86"/>
        <v>0</v>
      </c>
      <c r="T261" s="1352">
        <f t="shared" si="87"/>
        <v>32989201.080000002</v>
      </c>
      <c r="U261" s="1353">
        <v>32989201.080000002</v>
      </c>
      <c r="V261" s="1353">
        <v>32989201</v>
      </c>
      <c r="W261" s="1353">
        <v>32989201</v>
      </c>
      <c r="X261" s="1353">
        <f t="shared" si="88"/>
        <v>8.0000001937150955E-2</v>
      </c>
      <c r="Y261" s="1353"/>
      <c r="Z261" s="1353"/>
      <c r="AA261" s="1353"/>
      <c r="AB261" s="1353"/>
      <c r="AC261" s="1353"/>
      <c r="AD261" s="1353"/>
      <c r="AE261" s="1353"/>
      <c r="AF261" s="1353"/>
      <c r="AG261" s="1353"/>
      <c r="AH261" s="1353" t="s">
        <v>228</v>
      </c>
      <c r="AI261" s="1353" t="s">
        <v>1331</v>
      </c>
    </row>
    <row r="262" spans="1:35" s="1351" customFormat="1" ht="20.25" customHeight="1">
      <c r="A262" s="294"/>
      <c r="B262" s="294"/>
      <c r="C262" s="1094" t="s">
        <v>666</v>
      </c>
      <c r="D262" s="1095" t="s">
        <v>806</v>
      </c>
      <c r="E262" s="1095">
        <v>83990</v>
      </c>
      <c r="F262" s="1095" t="s">
        <v>521</v>
      </c>
      <c r="G262" s="1095"/>
      <c r="H262" s="1095"/>
      <c r="I262" s="1139"/>
      <c r="J262" s="1139"/>
      <c r="K262" s="1139"/>
      <c r="L262" s="1139"/>
      <c r="M262" s="1139">
        <v>41271638.840000004</v>
      </c>
      <c r="N262" s="1117">
        <f t="shared" si="85"/>
        <v>41271638.840000004</v>
      </c>
      <c r="O262" s="1139"/>
      <c r="P262" s="1139"/>
      <c r="Q262" s="1139"/>
      <c r="R262" s="1139"/>
      <c r="S262" s="1117">
        <f t="shared" si="86"/>
        <v>0</v>
      </c>
      <c r="T262" s="1352">
        <f t="shared" si="87"/>
        <v>41271638.840000004</v>
      </c>
      <c r="U262" s="1353">
        <v>41271638.840000004</v>
      </c>
      <c r="V262" s="1353">
        <v>41271639</v>
      </c>
      <c r="W262" s="1353">
        <v>41271639</v>
      </c>
      <c r="X262" s="1353">
        <f t="shared" si="88"/>
        <v>-0.15999999642372131</v>
      </c>
      <c r="Y262" s="1353"/>
      <c r="Z262" s="1353"/>
      <c r="AA262" s="1353"/>
      <c r="AB262" s="1353"/>
      <c r="AC262" s="1353"/>
      <c r="AD262" s="1353"/>
      <c r="AE262" s="1353"/>
      <c r="AF262" s="1353"/>
      <c r="AG262" s="1353"/>
      <c r="AH262" s="1353" t="s">
        <v>228</v>
      </c>
      <c r="AI262" s="1353" t="s">
        <v>1331</v>
      </c>
    </row>
    <row r="263" spans="1:35" s="1351" customFormat="1" ht="25.5">
      <c r="A263" s="294"/>
      <c r="B263" s="294"/>
      <c r="C263" s="1094" t="s">
        <v>897</v>
      </c>
      <c r="D263" s="1095" t="s">
        <v>211</v>
      </c>
      <c r="E263" s="1095" t="s">
        <v>466</v>
      </c>
      <c r="F263" s="1095" t="s">
        <v>521</v>
      </c>
      <c r="G263" s="1095"/>
      <c r="H263" s="1095"/>
      <c r="I263" s="1139"/>
      <c r="J263" s="1139"/>
      <c r="K263" s="1139"/>
      <c r="L263" s="1139"/>
      <c r="M263" s="1139"/>
      <c r="N263" s="1117">
        <f t="shared" si="85"/>
        <v>0</v>
      </c>
      <c r="O263" s="1139"/>
      <c r="P263" s="1139"/>
      <c r="Q263" s="1117">
        <f>30390600*1.004</f>
        <v>30512162.399999999</v>
      </c>
      <c r="R263" s="1117"/>
      <c r="S263" s="1117">
        <f t="shared" si="86"/>
        <v>30512162.399999999</v>
      </c>
      <c r="T263" s="1352">
        <f t="shared" si="87"/>
        <v>30512162.399999999</v>
      </c>
      <c r="U263" s="1353">
        <v>30512162.399999999</v>
      </c>
      <c r="V263" s="1353">
        <v>30512162</v>
      </c>
      <c r="W263" s="1353">
        <v>30512162</v>
      </c>
      <c r="X263" s="1353">
        <f t="shared" si="88"/>
        <v>0.39999999850988388</v>
      </c>
      <c r="Y263" s="1353"/>
      <c r="Z263" s="1353"/>
      <c r="AA263" s="1353"/>
      <c r="AB263" s="1353"/>
      <c r="AC263" s="1353"/>
      <c r="AD263" s="1353"/>
      <c r="AE263" s="1353"/>
      <c r="AF263" s="1353"/>
      <c r="AG263" s="1353"/>
      <c r="AH263" s="1353" t="s">
        <v>228</v>
      </c>
      <c r="AI263" s="1353" t="s">
        <v>1331</v>
      </c>
    </row>
    <row r="264" spans="1:35" s="490" customFormat="1" ht="15">
      <c r="A264" s="294"/>
      <c r="B264" s="294"/>
      <c r="C264" s="252" t="s">
        <v>919</v>
      </c>
      <c r="D264" s="391"/>
      <c r="E264" s="391"/>
      <c r="F264" s="391"/>
      <c r="G264" s="391"/>
      <c r="H264" s="391"/>
      <c r="I264" s="498"/>
      <c r="J264" s="498"/>
      <c r="K264" s="498"/>
      <c r="L264" s="498"/>
      <c r="M264" s="498">
        <f>28705464.4-M237</f>
        <v>13481622.688000001</v>
      </c>
      <c r="N264" s="501">
        <f t="shared" si="85"/>
        <v>13481622.688000001</v>
      </c>
      <c r="O264" s="498"/>
      <c r="P264" s="498"/>
      <c r="Q264" s="498">
        <f>40000000-Q263-Q255</f>
        <v>7754571.040000001</v>
      </c>
      <c r="R264" s="213"/>
      <c r="S264" s="547">
        <f t="shared" si="86"/>
        <v>7754571.040000001</v>
      </c>
      <c r="T264" s="489">
        <f t="shared" si="87"/>
        <v>21236193.728</v>
      </c>
      <c r="U264" s="1057">
        <v>21236193.728</v>
      </c>
      <c r="V264" s="1057">
        <f t="shared" ref="V264" si="89">+T264-U264</f>
        <v>0</v>
      </c>
      <c r="W264" s="1057"/>
      <c r="X264" s="1057">
        <f>+U264-V264</f>
        <v>21236193.728</v>
      </c>
      <c r="Y264" s="1057"/>
      <c r="Z264" s="1057"/>
      <c r="AA264" s="1057"/>
      <c r="AB264" s="1057"/>
      <c r="AC264" s="1057">
        <v>13481622.688000001</v>
      </c>
      <c r="AD264" s="1057"/>
      <c r="AE264" s="1057"/>
      <c r="AF264" s="1057">
        <v>7754571.040000001</v>
      </c>
      <c r="AG264" s="1057"/>
      <c r="AH264" s="1057" t="s">
        <v>228</v>
      </c>
      <c r="AI264" s="1057" t="s">
        <v>1331</v>
      </c>
    </row>
    <row r="265" spans="1:35" s="1351" customFormat="1" ht="15">
      <c r="A265" s="294"/>
      <c r="B265" s="294"/>
      <c r="C265" s="1094" t="s">
        <v>499</v>
      </c>
      <c r="D265" s="1095" t="s">
        <v>211</v>
      </c>
      <c r="E265" s="1095" t="s">
        <v>466</v>
      </c>
      <c r="F265" s="1095" t="s">
        <v>198</v>
      </c>
      <c r="G265" s="1095"/>
      <c r="H265" s="1095"/>
      <c r="I265" s="1139">
        <v>5085360.4000000004</v>
      </c>
      <c r="J265" s="1139"/>
      <c r="K265" s="1139"/>
      <c r="L265" s="1139"/>
      <c r="M265" s="1139"/>
      <c r="N265" s="1117">
        <f t="shared" si="85"/>
        <v>5085360.4000000004</v>
      </c>
      <c r="O265" s="1139"/>
      <c r="P265" s="1139"/>
      <c r="Q265" s="1139"/>
      <c r="R265" s="1139"/>
      <c r="S265" s="1117">
        <f t="shared" si="86"/>
        <v>0</v>
      </c>
      <c r="T265" s="1352">
        <f t="shared" si="87"/>
        <v>5085360.4000000004</v>
      </c>
      <c r="U265" s="1353">
        <v>5085360.4000000004</v>
      </c>
      <c r="V265" s="1353">
        <v>5085360.4000000004</v>
      </c>
      <c r="W265" s="1353">
        <v>5085360.4000000004</v>
      </c>
      <c r="X265" s="1353">
        <f>+U265-W265</f>
        <v>0</v>
      </c>
      <c r="Y265" s="1353"/>
      <c r="Z265" s="1353"/>
      <c r="AA265" s="1353"/>
      <c r="AB265" s="1353"/>
      <c r="AC265" s="1353"/>
      <c r="AD265" s="1353"/>
      <c r="AE265" s="1353"/>
      <c r="AF265" s="1353"/>
      <c r="AG265" s="1353"/>
      <c r="AH265" s="1353" t="s">
        <v>228</v>
      </c>
      <c r="AI265" s="1353" t="s">
        <v>1332</v>
      </c>
    </row>
    <row r="266" spans="1:35" s="1351" customFormat="1" ht="15">
      <c r="A266" s="294"/>
      <c r="B266" s="294"/>
      <c r="C266" s="1094" t="s">
        <v>500</v>
      </c>
      <c r="D266" s="1095" t="s">
        <v>211</v>
      </c>
      <c r="E266" s="1095" t="s">
        <v>466</v>
      </c>
      <c r="F266" s="1095" t="s">
        <v>198</v>
      </c>
      <c r="G266" s="1095"/>
      <c r="H266" s="1095"/>
      <c r="I266" s="1139">
        <v>5085360.4000000004</v>
      </c>
      <c r="J266" s="1117"/>
      <c r="K266" s="1117"/>
      <c r="L266" s="1139"/>
      <c r="M266" s="1117"/>
      <c r="N266" s="1117">
        <f t="shared" si="85"/>
        <v>5085360.4000000004</v>
      </c>
      <c r="O266" s="1139"/>
      <c r="P266" s="1117"/>
      <c r="Q266" s="1117"/>
      <c r="R266" s="1139"/>
      <c r="S266" s="1117">
        <f t="shared" si="86"/>
        <v>0</v>
      </c>
      <c r="T266" s="1352">
        <f t="shared" si="87"/>
        <v>5085360.4000000004</v>
      </c>
      <c r="U266" s="1353">
        <v>5085360.4000000004</v>
      </c>
      <c r="V266" s="1353">
        <v>5085360.4000000004</v>
      </c>
      <c r="W266" s="1353">
        <v>5085360.4000000004</v>
      </c>
      <c r="X266" s="1353">
        <f t="shared" si="88"/>
        <v>0</v>
      </c>
      <c r="Y266" s="1353"/>
      <c r="Z266" s="1353"/>
      <c r="AA266" s="1353"/>
      <c r="AB266" s="1353"/>
      <c r="AC266" s="1353"/>
      <c r="AD266" s="1353"/>
      <c r="AE266" s="1353"/>
      <c r="AF266" s="1353"/>
      <c r="AG266" s="1353"/>
      <c r="AH266" s="1353" t="s">
        <v>228</v>
      </c>
      <c r="AI266" s="1353" t="s">
        <v>1332</v>
      </c>
    </row>
    <row r="267" spans="1:35" s="1351" customFormat="1" ht="15">
      <c r="A267" s="294"/>
      <c r="B267" s="294"/>
      <c r="C267" s="1094" t="s">
        <v>472</v>
      </c>
      <c r="D267" s="1095" t="s">
        <v>211</v>
      </c>
      <c r="E267" s="1095" t="s">
        <v>466</v>
      </c>
      <c r="F267" s="1095" t="s">
        <v>198</v>
      </c>
      <c r="G267" s="1095"/>
      <c r="H267" s="1095"/>
      <c r="I267" s="1139">
        <v>4626120.76</v>
      </c>
      <c r="J267" s="1139"/>
      <c r="K267" s="1139"/>
      <c r="L267" s="1139"/>
      <c r="M267" s="1139"/>
      <c r="N267" s="1117">
        <f t="shared" si="85"/>
        <v>4626120.76</v>
      </c>
      <c r="O267" s="1139"/>
      <c r="P267" s="1139"/>
      <c r="Q267" s="1139"/>
      <c r="R267" s="1139"/>
      <c r="S267" s="1117">
        <f t="shared" si="86"/>
        <v>0</v>
      </c>
      <c r="T267" s="1352">
        <f t="shared" si="87"/>
        <v>4626120.76</v>
      </c>
      <c r="U267" s="1353">
        <v>4626120.76</v>
      </c>
      <c r="V267" s="1353">
        <v>4626120.76</v>
      </c>
      <c r="W267" s="1353">
        <v>4626120.76</v>
      </c>
      <c r="X267" s="1353">
        <f t="shared" si="88"/>
        <v>0</v>
      </c>
      <c r="Y267" s="1353"/>
      <c r="Z267" s="1353"/>
      <c r="AA267" s="1353"/>
      <c r="AB267" s="1353"/>
      <c r="AC267" s="1353"/>
      <c r="AD267" s="1353"/>
      <c r="AE267" s="1353"/>
      <c r="AF267" s="1353"/>
      <c r="AG267" s="1353"/>
      <c r="AH267" s="1353" t="s">
        <v>228</v>
      </c>
      <c r="AI267" s="1353" t="s">
        <v>1332</v>
      </c>
    </row>
    <row r="268" spans="1:35" s="490" customFormat="1" ht="60.75" customHeight="1">
      <c r="A268" s="1875"/>
      <c r="B268" s="1876" t="s">
        <v>1515</v>
      </c>
      <c r="C268" s="93" t="s">
        <v>1016</v>
      </c>
      <c r="D268" s="94"/>
      <c r="E268" s="94"/>
      <c r="F268" s="95" t="s">
        <v>408</v>
      </c>
      <c r="G268" s="95">
        <v>1</v>
      </c>
      <c r="H268" s="95"/>
      <c r="I268" s="497">
        <f>SUM(I269:I282)</f>
        <v>0</v>
      </c>
      <c r="J268" s="497">
        <f t="shared" ref="J268:S268" si="90">SUM(J269:J282)</f>
        <v>422953178.59999996</v>
      </c>
      <c r="K268" s="497">
        <f t="shared" si="90"/>
        <v>0</v>
      </c>
      <c r="L268" s="497">
        <f t="shared" si="90"/>
        <v>0</v>
      </c>
      <c r="M268" s="497">
        <f t="shared" si="90"/>
        <v>0</v>
      </c>
      <c r="N268" s="497">
        <f>SUM(N269:N282)</f>
        <v>422953178.59999996</v>
      </c>
      <c r="O268" s="497">
        <f t="shared" si="90"/>
        <v>0</v>
      </c>
      <c r="P268" s="497">
        <f t="shared" si="90"/>
        <v>0</v>
      </c>
      <c r="Q268" s="497">
        <f t="shared" si="90"/>
        <v>0</v>
      </c>
      <c r="R268" s="497">
        <f>SUM(R269:R282)</f>
        <v>16487383</v>
      </c>
      <c r="S268" s="497">
        <f t="shared" si="90"/>
        <v>16487383</v>
      </c>
      <c r="T268" s="122">
        <f>SUM(T269:T282)</f>
        <v>439440561.59999996</v>
      </c>
      <c r="U268" s="1057"/>
      <c r="V268" s="1057"/>
      <c r="W268" s="1057"/>
      <c r="X268" s="1057"/>
      <c r="Y268" s="1057"/>
      <c r="Z268" s="1057"/>
      <c r="AA268" s="1057"/>
      <c r="AB268" s="1057"/>
      <c r="AC268" s="1057"/>
      <c r="AD268" s="1057"/>
      <c r="AE268" s="1057"/>
      <c r="AF268" s="1057"/>
      <c r="AG268" s="1057"/>
      <c r="AH268" s="1057"/>
      <c r="AI268" s="1057"/>
    </row>
    <row r="269" spans="1:35" s="1351" customFormat="1" ht="15" customHeight="1">
      <c r="A269" s="294"/>
      <c r="B269" s="294"/>
      <c r="C269" s="1094" t="s">
        <v>667</v>
      </c>
      <c r="D269" s="1095"/>
      <c r="E269" s="1095"/>
      <c r="F269" s="1095"/>
      <c r="G269" s="1095"/>
      <c r="H269" s="1095"/>
      <c r="I269" s="1139"/>
      <c r="J269" s="1139">
        <v>38726489</v>
      </c>
      <c r="K269" s="1139"/>
      <c r="L269" s="1139"/>
      <c r="M269" s="1139"/>
      <c r="N269" s="1117">
        <f t="shared" ref="N269:N282" si="91">+SUM(I269:M269)</f>
        <v>38726489</v>
      </c>
      <c r="O269" s="1139"/>
      <c r="P269" s="1139"/>
      <c r="Q269" s="1139"/>
      <c r="R269" s="1139"/>
      <c r="S269" s="1117">
        <f t="shared" ref="S269:S282" si="92">+SUM(O269:R269)</f>
        <v>0</v>
      </c>
      <c r="T269" s="1352">
        <f t="shared" ref="T269:T282" si="93">+S269+N269</f>
        <v>38726489</v>
      </c>
      <c r="U269" s="1353">
        <v>40822238.399999976</v>
      </c>
      <c r="V269" s="1353">
        <v>38726489</v>
      </c>
      <c r="W269" s="1353">
        <v>38726489</v>
      </c>
      <c r="X269" s="1353">
        <f>+U269-W269</f>
        <v>2095749.3999999762</v>
      </c>
      <c r="Y269" s="1353"/>
      <c r="Z269" s="1353">
        <v>2095749.3999999762</v>
      </c>
      <c r="AA269" s="1353"/>
      <c r="AB269" s="1353"/>
      <c r="AC269" s="1353"/>
      <c r="AD269" s="1353"/>
      <c r="AE269" s="1353"/>
      <c r="AF269" s="1353"/>
      <c r="AG269" s="1353"/>
      <c r="AH269" s="1353" t="s">
        <v>229</v>
      </c>
      <c r="AI269" s="1353" t="s">
        <v>1333</v>
      </c>
    </row>
    <row r="270" spans="1:35" s="1354" customFormat="1" ht="15" customHeight="1">
      <c r="A270" s="294"/>
      <c r="B270" s="294"/>
      <c r="C270" s="1088" t="s">
        <v>667</v>
      </c>
      <c r="D270" s="1089"/>
      <c r="E270" s="1089"/>
      <c r="F270" s="1089"/>
      <c r="G270" s="1089"/>
      <c r="H270" s="1089"/>
      <c r="I270" s="1231"/>
      <c r="J270" s="1231">
        <f>43029432-2207193.60000002-J269</f>
        <v>2095749.3999999762</v>
      </c>
      <c r="K270" s="1231"/>
      <c r="L270" s="1231"/>
      <c r="M270" s="1231"/>
      <c r="N270" s="1112">
        <f t="shared" ref="N270" si="94">+SUM(I270:M270)</f>
        <v>2095749.3999999762</v>
      </c>
      <c r="O270" s="1231"/>
      <c r="P270" s="1231"/>
      <c r="Q270" s="1231"/>
      <c r="R270" s="1231"/>
      <c r="S270" s="1112">
        <f t="shared" ref="S270" si="95">+SUM(O270:R270)</f>
        <v>0</v>
      </c>
      <c r="T270" s="1355">
        <f t="shared" ref="T270" si="96">+S270+N270</f>
        <v>2095749.3999999762</v>
      </c>
      <c r="U270" s="1356">
        <v>40822238.399999976</v>
      </c>
      <c r="V270" s="1356">
        <v>38726489</v>
      </c>
      <c r="W270" s="1356">
        <v>38726489</v>
      </c>
      <c r="X270" s="1356">
        <f>+U270-W270</f>
        <v>2095749.3999999762</v>
      </c>
      <c r="Y270" s="1356"/>
      <c r="Z270" s="1356">
        <v>2095749.3999999762</v>
      </c>
      <c r="AA270" s="1356"/>
      <c r="AB270" s="1356"/>
      <c r="AC270" s="1356"/>
      <c r="AD270" s="1356"/>
      <c r="AE270" s="1356"/>
      <c r="AF270" s="1356"/>
      <c r="AG270" s="1356"/>
      <c r="AH270" s="1356" t="s">
        <v>229</v>
      </c>
      <c r="AI270" s="1356" t="s">
        <v>1333</v>
      </c>
    </row>
    <row r="271" spans="1:35" s="1351" customFormat="1" ht="18.75" customHeight="1">
      <c r="A271" s="294"/>
      <c r="B271" s="294"/>
      <c r="C271" s="1094" t="s">
        <v>668</v>
      </c>
      <c r="D271" s="1095" t="s">
        <v>471</v>
      </c>
      <c r="E271" s="1095" t="s">
        <v>501</v>
      </c>
      <c r="F271" s="1095" t="s">
        <v>521</v>
      </c>
      <c r="G271" s="1095"/>
      <c r="H271" s="1095"/>
      <c r="I271" s="1139"/>
      <c r="J271" s="1139">
        <f>43029432-4302943.2</f>
        <v>38726488.799999997</v>
      </c>
      <c r="K271" s="1139"/>
      <c r="L271" s="1139"/>
      <c r="M271" s="1139"/>
      <c r="N271" s="1117">
        <f t="shared" si="91"/>
        <v>38726488.799999997</v>
      </c>
      <c r="O271" s="1139"/>
      <c r="P271" s="1139"/>
      <c r="Q271" s="1139"/>
      <c r="R271" s="1139"/>
      <c r="S271" s="1117">
        <f t="shared" si="92"/>
        <v>0</v>
      </c>
      <c r="T271" s="1352">
        <f t="shared" si="93"/>
        <v>38726488.799999997</v>
      </c>
      <c r="U271" s="1353">
        <v>38726488.799999997</v>
      </c>
      <c r="V271" s="1353">
        <v>38726489</v>
      </c>
      <c r="W271" s="1353">
        <v>38726489</v>
      </c>
      <c r="X271" s="1353">
        <f t="shared" ref="X271:X277" si="97">+U271-W271</f>
        <v>-0.20000000298023224</v>
      </c>
      <c r="Y271" s="1353"/>
      <c r="Z271" s="1353"/>
      <c r="AA271" s="1353"/>
      <c r="AB271" s="1353"/>
      <c r="AC271" s="1353"/>
      <c r="AD271" s="1353"/>
      <c r="AE271" s="1353"/>
      <c r="AF271" s="1353"/>
      <c r="AG271" s="1353"/>
      <c r="AH271" s="1353" t="s">
        <v>229</v>
      </c>
      <c r="AI271" s="1353" t="s">
        <v>1333</v>
      </c>
    </row>
    <row r="272" spans="1:35" s="1351" customFormat="1" ht="18.75" customHeight="1">
      <c r="A272" s="294"/>
      <c r="B272" s="294"/>
      <c r="C272" s="1094" t="s">
        <v>669</v>
      </c>
      <c r="D272" s="1095" t="s">
        <v>471</v>
      </c>
      <c r="E272" s="1095" t="s">
        <v>501</v>
      </c>
      <c r="F272" s="1095" t="s">
        <v>521</v>
      </c>
      <c r="G272" s="1095"/>
      <c r="H272" s="1095"/>
      <c r="I272" s="1139"/>
      <c r="J272" s="1139">
        <v>51635318.400000006</v>
      </c>
      <c r="K272" s="1139"/>
      <c r="L272" s="1139"/>
      <c r="M272" s="1139"/>
      <c r="N272" s="1117">
        <f t="shared" si="91"/>
        <v>51635318.400000006</v>
      </c>
      <c r="O272" s="1139"/>
      <c r="P272" s="1139"/>
      <c r="Q272" s="1139"/>
      <c r="R272" s="1139"/>
      <c r="S272" s="1117">
        <f t="shared" si="92"/>
        <v>0</v>
      </c>
      <c r="T272" s="1352">
        <f t="shared" si="93"/>
        <v>51635318.400000006</v>
      </c>
      <c r="U272" s="1353">
        <v>51635318.400000006</v>
      </c>
      <c r="V272" s="1353">
        <v>51635318</v>
      </c>
      <c r="W272" s="1353">
        <v>51635318</v>
      </c>
      <c r="X272" s="1353">
        <f t="shared" si="97"/>
        <v>0.40000000596046448</v>
      </c>
      <c r="Y272" s="1353"/>
      <c r="Z272" s="1353"/>
      <c r="AA272" s="1353"/>
      <c r="AB272" s="1353"/>
      <c r="AC272" s="1353"/>
      <c r="AD272" s="1353"/>
      <c r="AE272" s="1353"/>
      <c r="AF272" s="1353"/>
      <c r="AG272" s="1353"/>
      <c r="AH272" s="1353" t="s">
        <v>229</v>
      </c>
      <c r="AI272" s="1353" t="s">
        <v>1333</v>
      </c>
    </row>
    <row r="273" spans="1:35" s="1351" customFormat="1" ht="38.25">
      <c r="A273" s="294"/>
      <c r="B273" s="294"/>
      <c r="C273" s="1094" t="s">
        <v>796</v>
      </c>
      <c r="D273" s="1095" t="s">
        <v>471</v>
      </c>
      <c r="E273" s="1095" t="s">
        <v>501</v>
      </c>
      <c r="F273" s="1095" t="s">
        <v>521</v>
      </c>
      <c r="G273" s="1095"/>
      <c r="H273" s="1095"/>
      <c r="I273" s="1139"/>
      <c r="J273" s="1139">
        <f>47332375.2-4302943.2</f>
        <v>43029432</v>
      </c>
      <c r="K273" s="1139"/>
      <c r="L273" s="1139"/>
      <c r="M273" s="1139"/>
      <c r="N273" s="1117">
        <f t="shared" si="91"/>
        <v>43029432</v>
      </c>
      <c r="O273" s="1139"/>
      <c r="P273" s="1139"/>
      <c r="Q273" s="1139"/>
      <c r="R273" s="1139"/>
      <c r="S273" s="1117">
        <f t="shared" si="92"/>
        <v>0</v>
      </c>
      <c r="T273" s="1352">
        <f t="shared" si="93"/>
        <v>43029432</v>
      </c>
      <c r="U273" s="1353">
        <v>43029432</v>
      </c>
      <c r="V273" s="1353">
        <v>43029432</v>
      </c>
      <c r="W273" s="1353">
        <v>43029432</v>
      </c>
      <c r="X273" s="1353">
        <f t="shared" si="97"/>
        <v>0</v>
      </c>
      <c r="Y273" s="1353"/>
      <c r="Z273" s="1353"/>
      <c r="AA273" s="1353"/>
      <c r="AB273" s="1353"/>
      <c r="AC273" s="1353"/>
      <c r="AD273" s="1353"/>
      <c r="AE273" s="1353"/>
      <c r="AF273" s="1353"/>
      <c r="AG273" s="1353"/>
      <c r="AH273" s="1353" t="s">
        <v>229</v>
      </c>
      <c r="AI273" s="1353" t="s">
        <v>1333</v>
      </c>
    </row>
    <row r="274" spans="1:35" s="1351" customFormat="1" ht="25.5">
      <c r="A274" s="294"/>
      <c r="B274" s="294"/>
      <c r="C274" s="1094" t="s">
        <v>502</v>
      </c>
      <c r="D274" s="1095" t="s">
        <v>471</v>
      </c>
      <c r="E274" s="1095" t="s">
        <v>501</v>
      </c>
      <c r="F274" s="1095" t="s">
        <v>521</v>
      </c>
      <c r="G274" s="1095"/>
      <c r="H274" s="1095"/>
      <c r="I274" s="1139"/>
      <c r="J274" s="1139">
        <v>43029432</v>
      </c>
      <c r="K274" s="1139"/>
      <c r="L274" s="1139"/>
      <c r="M274" s="1139"/>
      <c r="N274" s="1117">
        <f t="shared" si="91"/>
        <v>43029432</v>
      </c>
      <c r="O274" s="1139"/>
      <c r="P274" s="1139"/>
      <c r="Q274" s="1139"/>
      <c r="R274" s="1139"/>
      <c r="S274" s="1117">
        <f t="shared" si="92"/>
        <v>0</v>
      </c>
      <c r="T274" s="1352">
        <f t="shared" si="93"/>
        <v>43029432</v>
      </c>
      <c r="U274" s="1353">
        <v>43029432</v>
      </c>
      <c r="V274" s="1353">
        <v>43029432</v>
      </c>
      <c r="W274" s="1353">
        <v>43029432</v>
      </c>
      <c r="X274" s="1353">
        <f t="shared" si="97"/>
        <v>0</v>
      </c>
      <c r="Y274" s="1353"/>
      <c r="Z274" s="1353"/>
      <c r="AA274" s="1353"/>
      <c r="AB274" s="1353"/>
      <c r="AC274" s="1353"/>
      <c r="AD274" s="1353"/>
      <c r="AE274" s="1353"/>
      <c r="AF274" s="1353"/>
      <c r="AG274" s="1353"/>
      <c r="AH274" s="1353" t="s">
        <v>229</v>
      </c>
      <c r="AI274" s="1353" t="s">
        <v>1333</v>
      </c>
    </row>
    <row r="275" spans="1:35" s="1351" customFormat="1" ht="15">
      <c r="A275" s="294"/>
      <c r="B275" s="294"/>
      <c r="C275" s="1094" t="s">
        <v>856</v>
      </c>
      <c r="D275" s="1095" t="s">
        <v>471</v>
      </c>
      <c r="E275" s="1095" t="s">
        <v>501</v>
      </c>
      <c r="F275" s="1095" t="s">
        <v>521</v>
      </c>
      <c r="G275" s="1095"/>
      <c r="H275" s="1095"/>
      <c r="I275" s="1139"/>
      <c r="J275" s="1139">
        <f>1700000*1.004*6</f>
        <v>10240800</v>
      </c>
      <c r="K275" s="1139"/>
      <c r="L275" s="1139"/>
      <c r="M275" s="1139"/>
      <c r="N275" s="1117">
        <f t="shared" si="91"/>
        <v>10240800</v>
      </c>
      <c r="O275" s="1139"/>
      <c r="P275" s="1139"/>
      <c r="Q275" s="1139"/>
      <c r="R275" s="1139"/>
      <c r="S275" s="1117">
        <f t="shared" si="92"/>
        <v>0</v>
      </c>
      <c r="T275" s="1352">
        <f t="shared" si="93"/>
        <v>10240800</v>
      </c>
      <c r="U275" s="1353">
        <v>10240800</v>
      </c>
      <c r="V275" s="1353">
        <v>10240800</v>
      </c>
      <c r="W275" s="1353">
        <v>10240800</v>
      </c>
      <c r="X275" s="1353">
        <f t="shared" si="97"/>
        <v>0</v>
      </c>
      <c r="Y275" s="1353"/>
      <c r="Z275" s="1353"/>
      <c r="AA275" s="1353"/>
      <c r="AB275" s="1353"/>
      <c r="AC275" s="1353"/>
      <c r="AD275" s="1353"/>
      <c r="AE275" s="1353"/>
      <c r="AF275" s="1353"/>
      <c r="AG275" s="1353"/>
      <c r="AH275" s="1353" t="s">
        <v>229</v>
      </c>
      <c r="AI275" s="1353" t="s">
        <v>1333</v>
      </c>
    </row>
    <row r="276" spans="1:35" s="490" customFormat="1" ht="15.75" customHeight="1">
      <c r="A276" s="294"/>
      <c r="B276" s="294"/>
      <c r="C276" s="252" t="s">
        <v>856</v>
      </c>
      <c r="D276" s="391" t="s">
        <v>471</v>
      </c>
      <c r="E276" s="391" t="s">
        <v>501</v>
      </c>
      <c r="F276" s="391" t="s">
        <v>521</v>
      </c>
      <c r="G276" s="391"/>
      <c r="H276" s="391"/>
      <c r="I276" s="498"/>
      <c r="J276" s="213"/>
      <c r="K276" s="213"/>
      <c r="L276" s="213"/>
      <c r="M276" s="213"/>
      <c r="N276" s="547">
        <f t="shared" si="91"/>
        <v>0</v>
      </c>
      <c r="O276" s="213"/>
      <c r="P276" s="213"/>
      <c r="Q276" s="213"/>
      <c r="R276" s="213">
        <v>16487383</v>
      </c>
      <c r="S276" s="547">
        <f t="shared" si="92"/>
        <v>16487383</v>
      </c>
      <c r="T276" s="489">
        <f t="shared" si="93"/>
        <v>16487383</v>
      </c>
      <c r="U276" s="1057">
        <v>16487383</v>
      </c>
      <c r="V276" s="1057"/>
      <c r="W276" s="1057"/>
      <c r="X276" s="1057">
        <f t="shared" si="97"/>
        <v>16487383</v>
      </c>
      <c r="Y276" s="1057"/>
      <c r="Z276" s="1057"/>
      <c r="AA276" s="1057"/>
      <c r="AB276" s="1057"/>
      <c r="AC276" s="1057"/>
      <c r="AD276" s="1057"/>
      <c r="AE276" s="1057"/>
      <c r="AF276" s="1057"/>
      <c r="AG276" s="1057">
        <v>16487383</v>
      </c>
      <c r="AH276" s="1057" t="s">
        <v>229</v>
      </c>
      <c r="AI276" s="1057" t="s">
        <v>1333</v>
      </c>
    </row>
    <row r="277" spans="1:35" s="1351" customFormat="1" ht="15">
      <c r="A277" s="294"/>
      <c r="B277" s="294"/>
      <c r="C277" s="1094" t="s">
        <v>856</v>
      </c>
      <c r="D277" s="1095" t="s">
        <v>471</v>
      </c>
      <c r="E277" s="1095" t="s">
        <v>501</v>
      </c>
      <c r="F277" s="1095" t="s">
        <v>521</v>
      </c>
      <c r="G277" s="1095"/>
      <c r="H277" s="1095"/>
      <c r="I277" s="1139"/>
      <c r="J277" s="1139">
        <f>9137203.2+1103596.8</f>
        <v>10240800</v>
      </c>
      <c r="K277" s="1139"/>
      <c r="L277" s="1139"/>
      <c r="M277" s="1139"/>
      <c r="N277" s="1117">
        <f t="shared" si="91"/>
        <v>10240800</v>
      </c>
      <c r="O277" s="1139"/>
      <c r="P277" s="1139"/>
      <c r="Q277" s="1139"/>
      <c r="R277" s="1139"/>
      <c r="S277" s="1117">
        <f t="shared" si="92"/>
        <v>0</v>
      </c>
      <c r="T277" s="1352">
        <f t="shared" si="93"/>
        <v>10240800</v>
      </c>
      <c r="U277" s="1353">
        <v>10240800</v>
      </c>
      <c r="V277" s="1353">
        <v>10240800</v>
      </c>
      <c r="W277" s="1353">
        <v>10240800</v>
      </c>
      <c r="X277" s="1353">
        <f t="shared" si="97"/>
        <v>0</v>
      </c>
      <c r="Y277" s="1353"/>
      <c r="Z277" s="1353"/>
      <c r="AA277" s="1353"/>
      <c r="AB277" s="1353"/>
      <c r="AC277" s="1353"/>
      <c r="AD277" s="1353"/>
      <c r="AE277" s="1353"/>
      <c r="AF277" s="1353"/>
      <c r="AG277" s="1353"/>
      <c r="AH277" s="1353" t="s">
        <v>229</v>
      </c>
      <c r="AI277" s="1353" t="s">
        <v>1333</v>
      </c>
    </row>
    <row r="278" spans="1:35" s="1351" customFormat="1" ht="15" customHeight="1">
      <c r="A278" s="294"/>
      <c r="B278" s="294"/>
      <c r="C278" s="1094" t="s">
        <v>529</v>
      </c>
      <c r="D278" s="1095" t="s">
        <v>381</v>
      </c>
      <c r="E278" s="1095" t="s">
        <v>504</v>
      </c>
      <c r="F278" s="1095" t="s">
        <v>198</v>
      </c>
      <c r="G278" s="1095"/>
      <c r="H278" s="1095"/>
      <c r="I278" s="1139"/>
      <c r="J278" s="1139">
        <v>100000000</v>
      </c>
      <c r="K278" s="1139"/>
      <c r="L278" s="1139"/>
      <c r="M278" s="1139"/>
      <c r="N278" s="1117">
        <f t="shared" si="91"/>
        <v>100000000</v>
      </c>
      <c r="O278" s="1139"/>
      <c r="P278" s="1139"/>
      <c r="Q278" s="1139"/>
      <c r="R278" s="1139"/>
      <c r="S278" s="1117">
        <f t="shared" si="92"/>
        <v>0</v>
      </c>
      <c r="T278" s="1352">
        <f t="shared" si="93"/>
        <v>100000000</v>
      </c>
      <c r="U278" s="1353">
        <v>100000000</v>
      </c>
      <c r="V278" s="1353">
        <v>100000000</v>
      </c>
      <c r="W278" s="1353"/>
      <c r="X278" s="1353">
        <f>+U278-V278</f>
        <v>0</v>
      </c>
      <c r="Y278" s="1353"/>
      <c r="Z278" s="1353"/>
      <c r="AA278" s="1353"/>
      <c r="AB278" s="1353"/>
      <c r="AC278" s="1353"/>
      <c r="AD278" s="1353"/>
      <c r="AE278" s="1353"/>
      <c r="AF278" s="1353"/>
      <c r="AG278" s="1353"/>
      <c r="AH278" s="1353" t="s">
        <v>229</v>
      </c>
      <c r="AI278" s="1353" t="s">
        <v>1334</v>
      </c>
    </row>
    <row r="279" spans="1:35" s="490" customFormat="1" ht="12" customHeight="1">
      <c r="A279" s="294"/>
      <c r="B279" s="294"/>
      <c r="C279" s="5" t="s">
        <v>505</v>
      </c>
      <c r="D279" s="379" t="s">
        <v>381</v>
      </c>
      <c r="E279" s="379" t="s">
        <v>504</v>
      </c>
      <c r="F279" s="379" t="s">
        <v>198</v>
      </c>
      <c r="G279" s="379"/>
      <c r="H279" s="379"/>
      <c r="I279" s="213"/>
      <c r="J279" s="213">
        <v>45000000</v>
      </c>
      <c r="K279" s="213"/>
      <c r="L279" s="213"/>
      <c r="M279" s="213"/>
      <c r="N279" s="547">
        <f t="shared" si="91"/>
        <v>45000000</v>
      </c>
      <c r="O279" s="213"/>
      <c r="P279" s="213"/>
      <c r="Q279" s="213"/>
      <c r="R279" s="213"/>
      <c r="S279" s="547">
        <f t="shared" si="92"/>
        <v>0</v>
      </c>
      <c r="T279" s="489">
        <f t="shared" si="93"/>
        <v>45000000</v>
      </c>
      <c r="U279" s="1057">
        <v>45000000</v>
      </c>
      <c r="V279" s="1057"/>
      <c r="W279" s="1057"/>
      <c r="X279" s="1057">
        <f t="shared" ref="X279:X282" si="98">+U279-V279</f>
        <v>45000000</v>
      </c>
      <c r="Y279" s="1057"/>
      <c r="Z279" s="1057">
        <v>45000000</v>
      </c>
      <c r="AA279" s="1057"/>
      <c r="AB279" s="1057"/>
      <c r="AC279" s="1057"/>
      <c r="AD279" s="1057"/>
      <c r="AE279" s="1057"/>
      <c r="AF279" s="1057"/>
      <c r="AG279" s="1057"/>
      <c r="AH279" s="1057" t="s">
        <v>229</v>
      </c>
      <c r="AI279" s="1057" t="s">
        <v>1334</v>
      </c>
    </row>
    <row r="280" spans="1:35" s="490" customFormat="1" ht="26.25" customHeight="1">
      <c r="A280" s="294"/>
      <c r="B280" s="294"/>
      <c r="C280" s="5" t="s">
        <v>670</v>
      </c>
      <c r="D280" s="379" t="s">
        <v>447</v>
      </c>
      <c r="E280" s="379" t="s">
        <v>671</v>
      </c>
      <c r="F280" s="379" t="s">
        <v>198</v>
      </c>
      <c r="G280" s="379"/>
      <c r="H280" s="379"/>
      <c r="I280" s="213"/>
      <c r="J280" s="213">
        <v>25000000</v>
      </c>
      <c r="K280" s="213"/>
      <c r="L280" s="213"/>
      <c r="M280" s="213"/>
      <c r="N280" s="547">
        <f t="shared" si="91"/>
        <v>25000000</v>
      </c>
      <c r="O280" s="213"/>
      <c r="P280" s="213"/>
      <c r="Q280" s="213"/>
      <c r="R280" s="213"/>
      <c r="S280" s="547">
        <f t="shared" si="92"/>
        <v>0</v>
      </c>
      <c r="T280" s="489">
        <f t="shared" si="93"/>
        <v>25000000</v>
      </c>
      <c r="U280" s="1057">
        <v>25000000</v>
      </c>
      <c r="V280" s="1057"/>
      <c r="W280" s="1057"/>
      <c r="X280" s="1057">
        <f t="shared" si="98"/>
        <v>25000000</v>
      </c>
      <c r="Y280" s="1057"/>
      <c r="Z280" s="1057">
        <v>25000000</v>
      </c>
      <c r="AA280" s="1057"/>
      <c r="AB280" s="1057"/>
      <c r="AC280" s="1057"/>
      <c r="AD280" s="1057"/>
      <c r="AE280" s="1057"/>
      <c r="AF280" s="1057"/>
      <c r="AG280" s="1057"/>
      <c r="AH280" s="1057" t="s">
        <v>229</v>
      </c>
      <c r="AI280" s="1057" t="s">
        <v>1334</v>
      </c>
    </row>
    <row r="281" spans="1:35" s="490" customFormat="1" ht="15" customHeight="1">
      <c r="A281" s="294"/>
      <c r="B281" s="294"/>
      <c r="C281" s="5" t="s">
        <v>506</v>
      </c>
      <c r="D281" s="379" t="s">
        <v>211</v>
      </c>
      <c r="E281" s="379" t="s">
        <v>507</v>
      </c>
      <c r="F281" s="379" t="s">
        <v>198</v>
      </c>
      <c r="G281" s="379"/>
      <c r="H281" s="379"/>
      <c r="I281" s="213"/>
      <c r="J281" s="213">
        <v>12000000</v>
      </c>
      <c r="K281" s="213"/>
      <c r="L281" s="213"/>
      <c r="M281" s="213"/>
      <c r="N281" s="547">
        <f t="shared" si="91"/>
        <v>12000000</v>
      </c>
      <c r="O281" s="213"/>
      <c r="P281" s="213"/>
      <c r="Q281" s="213"/>
      <c r="R281" s="213"/>
      <c r="S281" s="547">
        <f t="shared" si="92"/>
        <v>0</v>
      </c>
      <c r="T281" s="489">
        <f t="shared" si="93"/>
        <v>12000000</v>
      </c>
      <c r="U281" s="1057">
        <v>12000000</v>
      </c>
      <c r="V281" s="1057"/>
      <c r="W281" s="1057"/>
      <c r="X281" s="1057">
        <f t="shared" si="98"/>
        <v>12000000</v>
      </c>
      <c r="Y281" s="1057"/>
      <c r="Z281" s="1057">
        <v>12000000</v>
      </c>
      <c r="AA281" s="1057"/>
      <c r="AB281" s="1057"/>
      <c r="AC281" s="1057"/>
      <c r="AD281" s="1057"/>
      <c r="AE281" s="1057"/>
      <c r="AF281" s="1057"/>
      <c r="AG281" s="1057"/>
      <c r="AH281" s="1057" t="s">
        <v>229</v>
      </c>
      <c r="AI281" s="1057" t="s">
        <v>1335</v>
      </c>
    </row>
    <row r="282" spans="1:35" s="490" customFormat="1" ht="30.75" customHeight="1" thickBot="1">
      <c r="A282" s="294"/>
      <c r="B282" s="294"/>
      <c r="C282" s="29" t="s">
        <v>508</v>
      </c>
      <c r="D282" s="382" t="s">
        <v>395</v>
      </c>
      <c r="E282" s="382" t="s">
        <v>672</v>
      </c>
      <c r="F282" s="382" t="s">
        <v>198</v>
      </c>
      <c r="G282" s="382"/>
      <c r="H282" s="382"/>
      <c r="I282" s="221"/>
      <c r="J282" s="221">
        <v>3228669</v>
      </c>
      <c r="K282" s="221"/>
      <c r="L282" s="221"/>
      <c r="M282" s="221"/>
      <c r="N282" s="766">
        <f t="shared" si="91"/>
        <v>3228669</v>
      </c>
      <c r="O282" s="221"/>
      <c r="P282" s="221"/>
      <c r="Q282" s="221"/>
      <c r="R282" s="221"/>
      <c r="S282" s="766">
        <f t="shared" si="92"/>
        <v>0</v>
      </c>
      <c r="T282" s="466">
        <f t="shared" si="93"/>
        <v>3228669</v>
      </c>
      <c r="U282" s="1057">
        <v>3228669</v>
      </c>
      <c r="V282" s="1057"/>
      <c r="W282" s="1057"/>
      <c r="X282" s="1057">
        <f t="shared" si="98"/>
        <v>3228669</v>
      </c>
      <c r="Y282" s="1057"/>
      <c r="Z282" s="1057">
        <v>3228669</v>
      </c>
      <c r="AA282" s="1057"/>
      <c r="AB282" s="1057"/>
      <c r="AC282" s="1057"/>
      <c r="AD282" s="1057"/>
      <c r="AE282" s="1057"/>
      <c r="AF282" s="1057"/>
      <c r="AG282" s="1057"/>
      <c r="AH282" s="1057" t="s">
        <v>229</v>
      </c>
      <c r="AI282" s="1057" t="s">
        <v>1335</v>
      </c>
    </row>
    <row r="283" spans="1:35" s="150" customFormat="1" ht="38.25" customHeight="1" thickBot="1">
      <c r="A283" s="1861">
        <v>235</v>
      </c>
      <c r="B283" s="1862"/>
      <c r="C283" s="815" t="s">
        <v>1444</v>
      </c>
      <c r="D283" s="846"/>
      <c r="E283" s="847"/>
      <c r="F283" s="847" t="s">
        <v>1098</v>
      </c>
      <c r="G283" s="847">
        <v>100</v>
      </c>
      <c r="H283" s="847"/>
      <c r="I283" s="807">
        <f t="shared" ref="I283:S283" si="99">+I284+I286+I288+I290+I292</f>
        <v>91355443.635999992</v>
      </c>
      <c r="J283" s="807">
        <f t="shared" si="99"/>
        <v>112875466.94400001</v>
      </c>
      <c r="K283" s="807">
        <f t="shared" si="99"/>
        <v>0</v>
      </c>
      <c r="L283" s="807">
        <f t="shared" si="99"/>
        <v>0</v>
      </c>
      <c r="M283" s="807">
        <f t="shared" si="99"/>
        <v>0</v>
      </c>
      <c r="N283" s="807">
        <f t="shared" si="99"/>
        <v>204230910.57999998</v>
      </c>
      <c r="O283" s="807">
        <f t="shared" si="99"/>
        <v>0</v>
      </c>
      <c r="P283" s="807">
        <f t="shared" si="99"/>
        <v>10000000</v>
      </c>
      <c r="Q283" s="807">
        <f t="shared" si="99"/>
        <v>0</v>
      </c>
      <c r="R283" s="807">
        <f t="shared" si="99"/>
        <v>0</v>
      </c>
      <c r="S283" s="807">
        <f t="shared" si="99"/>
        <v>10000000</v>
      </c>
      <c r="T283" s="807">
        <f>+T284+T286+T288+T290+T292</f>
        <v>214230910.57999998</v>
      </c>
      <c r="U283" s="1025"/>
      <c r="V283" s="1025"/>
      <c r="W283" s="1025"/>
      <c r="X283" s="1025"/>
      <c r="Y283" s="1025"/>
      <c r="Z283" s="1025"/>
      <c r="AA283" s="1025"/>
      <c r="AB283" s="1025"/>
      <c r="AC283" s="1025"/>
      <c r="AD283" s="1025"/>
      <c r="AE283" s="1025"/>
      <c r="AF283" s="1025"/>
      <c r="AG283" s="1025"/>
      <c r="AH283" s="1025"/>
      <c r="AI283" s="1025"/>
    </row>
    <row r="284" spans="1:35" s="150" customFormat="1" ht="37.5" customHeight="1">
      <c r="A284" s="1861"/>
      <c r="B284" s="1862" t="s">
        <v>1516</v>
      </c>
      <c r="C284" s="196" t="s">
        <v>1421</v>
      </c>
      <c r="D284" s="194"/>
      <c r="E284" s="197"/>
      <c r="F284" s="197" t="s">
        <v>1111</v>
      </c>
      <c r="G284" s="197">
        <v>1</v>
      </c>
      <c r="H284" s="197"/>
      <c r="I284" s="837">
        <f>+I285</f>
        <v>0</v>
      </c>
      <c r="J284" s="837">
        <f>+J285</f>
        <v>12000000</v>
      </c>
      <c r="K284" s="837">
        <f t="shared" ref="K284:T284" si="100">+K285</f>
        <v>0</v>
      </c>
      <c r="L284" s="837">
        <f t="shared" si="100"/>
        <v>0</v>
      </c>
      <c r="M284" s="837">
        <f t="shared" si="100"/>
        <v>0</v>
      </c>
      <c r="N284" s="837">
        <f t="shared" si="100"/>
        <v>12000000</v>
      </c>
      <c r="O284" s="837">
        <f t="shared" si="100"/>
        <v>0</v>
      </c>
      <c r="P284" s="837">
        <f t="shared" si="100"/>
        <v>0</v>
      </c>
      <c r="Q284" s="837">
        <f t="shared" si="100"/>
        <v>0</v>
      </c>
      <c r="R284" s="837">
        <f t="shared" si="100"/>
        <v>0</v>
      </c>
      <c r="S284" s="837">
        <f t="shared" si="100"/>
        <v>0</v>
      </c>
      <c r="T284" s="838">
        <f t="shared" si="100"/>
        <v>12000000</v>
      </c>
      <c r="U284" s="1025"/>
      <c r="V284" s="1025"/>
      <c r="W284" s="1025"/>
      <c r="X284" s="1025"/>
      <c r="Y284" s="1025"/>
      <c r="Z284" s="1025"/>
      <c r="AA284" s="1025"/>
      <c r="AB284" s="1025"/>
      <c r="AC284" s="1025"/>
      <c r="AD284" s="1025"/>
      <c r="AE284" s="1025"/>
      <c r="AF284" s="1025"/>
      <c r="AG284" s="1025"/>
      <c r="AH284" s="1025"/>
      <c r="AI284" s="1025"/>
    </row>
    <row r="285" spans="1:35" s="150" customFormat="1" ht="19.5" customHeight="1">
      <c r="A285" s="295"/>
      <c r="B285" s="1863"/>
      <c r="C285" s="5" t="s">
        <v>488</v>
      </c>
      <c r="D285" s="379" t="s">
        <v>471</v>
      </c>
      <c r="E285" s="379" t="s">
        <v>466</v>
      </c>
      <c r="F285" s="379"/>
      <c r="G285" s="379"/>
      <c r="H285" s="379"/>
      <c r="I285" s="213"/>
      <c r="J285" s="213">
        <v>12000000</v>
      </c>
      <c r="K285" s="213"/>
      <c r="L285" s="213"/>
      <c r="M285" s="213"/>
      <c r="N285" s="421">
        <f>SUM(I285:M285)</f>
        <v>12000000</v>
      </c>
      <c r="O285" s="213"/>
      <c r="P285" s="213"/>
      <c r="Q285" s="213"/>
      <c r="R285" s="213"/>
      <c r="S285" s="421">
        <f>+SUM(O285:R285)</f>
        <v>0</v>
      </c>
      <c r="T285" s="488">
        <f>+S285+N285</f>
        <v>12000000</v>
      </c>
      <c r="U285" s="1025">
        <v>12000000</v>
      </c>
      <c r="V285" s="1025"/>
      <c r="W285" s="1025"/>
      <c r="X285" s="1025">
        <f>+U285-V285</f>
        <v>12000000</v>
      </c>
      <c r="Y285" s="1025"/>
      <c r="Z285" s="1025">
        <v>12000000</v>
      </c>
      <c r="AA285" s="1025"/>
      <c r="AB285" s="1025"/>
      <c r="AC285" s="1025"/>
      <c r="AD285" s="1025"/>
      <c r="AE285" s="1025"/>
      <c r="AF285" s="1025"/>
      <c r="AG285" s="1025"/>
      <c r="AH285" s="1025"/>
      <c r="AI285" s="1025"/>
    </row>
    <row r="286" spans="1:35" s="150" customFormat="1" ht="42.75" customHeight="1">
      <c r="A286" s="1861"/>
      <c r="B286" s="1862" t="s">
        <v>1517</v>
      </c>
      <c r="C286" s="93" t="s">
        <v>1012</v>
      </c>
      <c r="D286" s="94"/>
      <c r="E286" s="95"/>
      <c r="F286" s="95" t="s">
        <v>1104</v>
      </c>
      <c r="G286" s="95">
        <v>37</v>
      </c>
      <c r="H286" s="95"/>
      <c r="I286" s="497">
        <f>+I287</f>
        <v>20000000</v>
      </c>
      <c r="J286" s="497">
        <f t="shared" ref="J286:T286" si="101">+J287</f>
        <v>0</v>
      </c>
      <c r="K286" s="497"/>
      <c r="L286" s="497">
        <f t="shared" si="101"/>
        <v>0</v>
      </c>
      <c r="M286" s="497">
        <f t="shared" si="101"/>
        <v>0</v>
      </c>
      <c r="N286" s="497">
        <f t="shared" si="101"/>
        <v>20000000</v>
      </c>
      <c r="O286" s="497">
        <f t="shared" si="101"/>
        <v>0</v>
      </c>
      <c r="P286" s="497">
        <f t="shared" si="101"/>
        <v>0</v>
      </c>
      <c r="Q286" s="497">
        <f t="shared" si="101"/>
        <v>0</v>
      </c>
      <c r="R286" s="497">
        <f t="shared" si="101"/>
        <v>0</v>
      </c>
      <c r="S286" s="497">
        <f t="shared" si="101"/>
        <v>0</v>
      </c>
      <c r="T286" s="122">
        <f t="shared" si="101"/>
        <v>20000000</v>
      </c>
      <c r="U286" s="1025"/>
      <c r="V286" s="1025"/>
      <c r="W286" s="1025"/>
      <c r="X286" s="1025"/>
      <c r="Y286" s="1025"/>
      <c r="Z286" s="1025"/>
      <c r="AA286" s="1025"/>
      <c r="AB286" s="1025"/>
      <c r="AC286" s="1025"/>
      <c r="AD286" s="1025"/>
      <c r="AE286" s="1025"/>
      <c r="AF286" s="1025"/>
      <c r="AG286" s="1025"/>
      <c r="AH286" s="1025"/>
      <c r="AI286" s="1025"/>
    </row>
    <row r="287" spans="1:35" s="1351" customFormat="1" ht="30.75" customHeight="1">
      <c r="A287" s="294"/>
      <c r="B287" s="294"/>
      <c r="C287" s="1094" t="s">
        <v>734</v>
      </c>
      <c r="D287" s="1671" t="s">
        <v>211</v>
      </c>
      <c r="E287" s="1096" t="s">
        <v>466</v>
      </c>
      <c r="F287" s="1095" t="s">
        <v>521</v>
      </c>
      <c r="G287" s="1095"/>
      <c r="H287" s="1095"/>
      <c r="I287" s="1139">
        <v>20000000</v>
      </c>
      <c r="J287" s="1139"/>
      <c r="K287" s="1139"/>
      <c r="L287" s="1139"/>
      <c r="M287" s="1139"/>
      <c r="N287" s="1117">
        <f>+SUM(I287:M287)</f>
        <v>20000000</v>
      </c>
      <c r="O287" s="1139"/>
      <c r="P287" s="1139"/>
      <c r="Q287" s="1139"/>
      <c r="R287" s="1139"/>
      <c r="S287" s="1117">
        <f>+SUM(O287:R287)</f>
        <v>0</v>
      </c>
      <c r="T287" s="1352">
        <f>+S287+N287</f>
        <v>20000000</v>
      </c>
      <c r="U287" s="1353">
        <v>20000000</v>
      </c>
      <c r="V287" s="1353"/>
      <c r="W287" s="1353"/>
      <c r="X287" s="1353">
        <f>+U287-V287</f>
        <v>20000000</v>
      </c>
      <c r="Y287" s="1353">
        <v>20000000</v>
      </c>
      <c r="Z287" s="1353"/>
      <c r="AA287" s="1353"/>
      <c r="AB287" s="1353"/>
      <c r="AC287" s="1353"/>
      <c r="AD287" s="1353"/>
      <c r="AE287" s="1353"/>
      <c r="AF287" s="1353"/>
      <c r="AG287" s="1353"/>
      <c r="AH287" s="1353"/>
      <c r="AI287" s="1353"/>
    </row>
    <row r="288" spans="1:35" s="150" customFormat="1" ht="26.25" customHeight="1">
      <c r="A288" s="1861"/>
      <c r="B288" s="1862" t="s">
        <v>1518</v>
      </c>
      <c r="C288" s="93" t="s">
        <v>1011</v>
      </c>
      <c r="D288" s="94"/>
      <c r="E288" s="95"/>
      <c r="F288" s="95" t="s">
        <v>1112</v>
      </c>
      <c r="G288" s="95">
        <v>100</v>
      </c>
      <c r="H288" s="95"/>
      <c r="I288" s="497">
        <f>+I289</f>
        <v>17810051.379999999</v>
      </c>
      <c r="J288" s="497">
        <f t="shared" ref="J288:T288" si="102">+J289</f>
        <v>0</v>
      </c>
      <c r="K288" s="497"/>
      <c r="L288" s="497">
        <f t="shared" si="102"/>
        <v>0</v>
      </c>
      <c r="M288" s="497">
        <f t="shared" si="102"/>
        <v>0</v>
      </c>
      <c r="N288" s="497">
        <f t="shared" si="102"/>
        <v>17810051.379999999</v>
      </c>
      <c r="O288" s="497">
        <f t="shared" si="102"/>
        <v>0</v>
      </c>
      <c r="P288" s="497">
        <f t="shared" si="102"/>
        <v>0</v>
      </c>
      <c r="Q288" s="497">
        <f t="shared" si="102"/>
        <v>0</v>
      </c>
      <c r="R288" s="497">
        <f t="shared" si="102"/>
        <v>0</v>
      </c>
      <c r="S288" s="497">
        <f t="shared" si="102"/>
        <v>0</v>
      </c>
      <c r="T288" s="122">
        <f t="shared" si="102"/>
        <v>17810051.379999999</v>
      </c>
      <c r="U288" s="1025"/>
      <c r="V288" s="1025"/>
      <c r="W288" s="1025"/>
      <c r="X288" s="1025"/>
      <c r="Y288" s="1025"/>
      <c r="Z288" s="1025"/>
      <c r="AA288" s="1025"/>
      <c r="AB288" s="1025"/>
      <c r="AC288" s="1025"/>
      <c r="AD288" s="1025"/>
      <c r="AE288" s="1025"/>
      <c r="AF288" s="1025"/>
      <c r="AG288" s="1025"/>
      <c r="AH288" s="1025"/>
      <c r="AI288" s="1025"/>
    </row>
    <row r="289" spans="1:35" s="1351" customFormat="1" ht="17.45" customHeight="1">
      <c r="A289" s="294"/>
      <c r="B289" s="294"/>
      <c r="C289" s="1094" t="s">
        <v>892</v>
      </c>
      <c r="D289" s="1671" t="s">
        <v>211</v>
      </c>
      <c r="E289" s="1096" t="s">
        <v>466</v>
      </c>
      <c r="F289" s="1095" t="s">
        <v>521</v>
      </c>
      <c r="G289" s="1095"/>
      <c r="H289" s="1095"/>
      <c r="I289" s="1139">
        <v>17810051.379999999</v>
      </c>
      <c r="J289" s="1139"/>
      <c r="K289" s="1139"/>
      <c r="L289" s="1139"/>
      <c r="M289" s="1139"/>
      <c r="N289" s="1117">
        <f>+SUM(I289:M289)</f>
        <v>17810051.379999999</v>
      </c>
      <c r="O289" s="1139"/>
      <c r="P289" s="1139"/>
      <c r="Q289" s="1139"/>
      <c r="R289" s="1139"/>
      <c r="S289" s="1117">
        <f>+SUM(O289:R289)</f>
        <v>0</v>
      </c>
      <c r="T289" s="1352">
        <f>+S289+N289</f>
        <v>17810051.379999999</v>
      </c>
      <c r="U289" s="1353">
        <v>17810051.379999999</v>
      </c>
      <c r="V289" s="1353"/>
      <c r="W289" s="1353"/>
      <c r="X289" s="1353">
        <f>+U289-V289</f>
        <v>17810051.379999999</v>
      </c>
      <c r="Y289" s="1353">
        <v>17810051.379999999</v>
      </c>
      <c r="Z289" s="1353"/>
      <c r="AA289" s="1353"/>
      <c r="AB289" s="1353"/>
      <c r="AC289" s="1353"/>
      <c r="AD289" s="1353"/>
      <c r="AE289" s="1353"/>
      <c r="AF289" s="1353"/>
      <c r="AG289" s="1353"/>
      <c r="AH289" s="1353"/>
      <c r="AI289" s="1353"/>
    </row>
    <row r="290" spans="1:35" s="150" customFormat="1" ht="25.5">
      <c r="A290" s="1861"/>
      <c r="B290" s="1862" t="s">
        <v>1519</v>
      </c>
      <c r="C290" s="93" t="s">
        <v>220</v>
      </c>
      <c r="D290" s="94"/>
      <c r="E290" s="95"/>
      <c r="F290" s="95" t="s">
        <v>1113</v>
      </c>
      <c r="G290" s="95">
        <v>45</v>
      </c>
      <c r="H290" s="95"/>
      <c r="I290" s="497">
        <f t="shared" ref="I290:S290" si="103">+I291</f>
        <v>0</v>
      </c>
      <c r="J290" s="497">
        <f t="shared" si="103"/>
        <v>0</v>
      </c>
      <c r="K290" s="497"/>
      <c r="L290" s="497">
        <f t="shared" si="103"/>
        <v>0</v>
      </c>
      <c r="M290" s="497">
        <f t="shared" si="103"/>
        <v>0</v>
      </c>
      <c r="N290" s="497">
        <f t="shared" si="103"/>
        <v>0</v>
      </c>
      <c r="O290" s="497">
        <f t="shared" si="103"/>
        <v>0</v>
      </c>
      <c r="P290" s="497">
        <f t="shared" si="103"/>
        <v>10000000</v>
      </c>
      <c r="Q290" s="497">
        <f>+Q291</f>
        <v>0</v>
      </c>
      <c r="R290" s="497">
        <f t="shared" si="103"/>
        <v>0</v>
      </c>
      <c r="S290" s="497">
        <f t="shared" si="103"/>
        <v>10000000</v>
      </c>
      <c r="T290" s="122">
        <f>+T291</f>
        <v>10000000</v>
      </c>
      <c r="U290" s="1025"/>
      <c r="V290" s="1025"/>
      <c r="W290" s="1025"/>
      <c r="X290" s="1025"/>
      <c r="Y290" s="1025"/>
      <c r="Z290" s="1025"/>
      <c r="AA290" s="1025"/>
      <c r="AB290" s="1025"/>
      <c r="AC290" s="1025"/>
      <c r="AD290" s="1025"/>
      <c r="AE290" s="1025"/>
      <c r="AF290" s="1025"/>
      <c r="AG290" s="1025"/>
      <c r="AH290" s="1025"/>
      <c r="AI290" s="1025"/>
    </row>
    <row r="291" spans="1:35" s="1080" customFormat="1" ht="32.25" customHeight="1">
      <c r="A291" s="294"/>
      <c r="B291" s="294"/>
      <c r="C291" s="1094" t="s">
        <v>930</v>
      </c>
      <c r="D291" s="1095" t="s">
        <v>211</v>
      </c>
      <c r="E291" s="1095" t="s">
        <v>466</v>
      </c>
      <c r="F291" s="1095" t="s">
        <v>521</v>
      </c>
      <c r="G291" s="1095"/>
      <c r="H291" s="1095"/>
      <c r="I291" s="1139"/>
      <c r="J291" s="1139"/>
      <c r="K291" s="1139"/>
      <c r="L291" s="1139"/>
      <c r="M291" s="1139"/>
      <c r="N291" s="1183">
        <f>+SUM(I291:M291)</f>
        <v>0</v>
      </c>
      <c r="O291" s="1139"/>
      <c r="P291" s="1139">
        <v>10000000</v>
      </c>
      <c r="Q291" s="1139"/>
      <c r="R291" s="1139"/>
      <c r="S291" s="1183">
        <f>+SUM(O291:R291)</f>
        <v>10000000</v>
      </c>
      <c r="T291" s="1727">
        <f>+S291+N291</f>
        <v>10000000</v>
      </c>
      <c r="U291" s="1083">
        <v>10000000</v>
      </c>
      <c r="V291" s="1083">
        <v>10000000</v>
      </c>
      <c r="W291" s="1083">
        <v>10000000</v>
      </c>
      <c r="X291" s="1083">
        <f>+U291-W291</f>
        <v>0</v>
      </c>
      <c r="Y291" s="1083"/>
      <c r="Z291" s="1083"/>
      <c r="AA291" s="1083"/>
      <c r="AB291" s="1083"/>
      <c r="AC291" s="1083"/>
      <c r="AD291" s="1083"/>
      <c r="AE291" s="1083"/>
      <c r="AF291" s="1083"/>
      <c r="AG291" s="1083"/>
      <c r="AH291" s="1083" t="s">
        <v>219</v>
      </c>
      <c r="AI291" s="1083" t="s">
        <v>220</v>
      </c>
    </row>
    <row r="292" spans="1:35" s="150" customFormat="1" ht="48.75" customHeight="1">
      <c r="A292" s="1861"/>
      <c r="B292" s="1862" t="s">
        <v>1520</v>
      </c>
      <c r="C292" s="93" t="s">
        <v>218</v>
      </c>
      <c r="D292" s="94"/>
      <c r="E292" s="95"/>
      <c r="F292" s="95" t="s">
        <v>1098</v>
      </c>
      <c r="G292" s="95">
        <v>100</v>
      </c>
      <c r="H292" s="95"/>
      <c r="I292" s="759">
        <f>SUM(I293:I296)</f>
        <v>53545392.255999997</v>
      </c>
      <c r="J292" s="759">
        <f>SUM(J293:J296)</f>
        <v>100875466.94400001</v>
      </c>
      <c r="K292" s="759"/>
      <c r="L292" s="759">
        <f t="shared" ref="L292:T292" si="104">SUM(L293:L296)</f>
        <v>0</v>
      </c>
      <c r="M292" s="759">
        <f t="shared" si="104"/>
        <v>0</v>
      </c>
      <c r="N292" s="759">
        <f t="shared" si="104"/>
        <v>154420859.19999999</v>
      </c>
      <c r="O292" s="759">
        <f t="shared" si="104"/>
        <v>0</v>
      </c>
      <c r="P292" s="759">
        <f t="shared" si="104"/>
        <v>0</v>
      </c>
      <c r="Q292" s="759">
        <f t="shared" si="104"/>
        <v>0</v>
      </c>
      <c r="R292" s="759">
        <f t="shared" si="104"/>
        <v>0</v>
      </c>
      <c r="S292" s="759">
        <f t="shared" si="104"/>
        <v>0</v>
      </c>
      <c r="T292" s="760">
        <f t="shared" si="104"/>
        <v>154420859.19999999</v>
      </c>
      <c r="U292" s="1025"/>
      <c r="V292" s="1025"/>
      <c r="W292" s="1025"/>
      <c r="X292" s="1025"/>
      <c r="Y292" s="1025"/>
      <c r="Z292" s="1025"/>
      <c r="AA292" s="1025"/>
      <c r="AB292" s="1025"/>
      <c r="AC292" s="1025"/>
      <c r="AD292" s="1025"/>
      <c r="AE292" s="1025"/>
      <c r="AF292" s="1025"/>
      <c r="AG292" s="1025"/>
      <c r="AH292" s="1025"/>
      <c r="AI292" s="1025"/>
    </row>
    <row r="293" spans="1:35" s="1080" customFormat="1" ht="14.25" customHeight="1">
      <c r="A293" s="294"/>
      <c r="B293" s="294"/>
      <c r="C293" s="1094" t="s">
        <v>468</v>
      </c>
      <c r="D293" s="1095" t="s">
        <v>211</v>
      </c>
      <c r="E293" s="1095" t="s">
        <v>466</v>
      </c>
      <c r="F293" s="1095" t="s">
        <v>521</v>
      </c>
      <c r="G293" s="1095"/>
      <c r="H293" s="1095"/>
      <c r="I293" s="1139">
        <f>26060110.6+712585.527999997</f>
        <v>26772696.127999999</v>
      </c>
      <c r="J293" s="1139">
        <f>11002269.2+952226.271999998</f>
        <v>11954495.471999997</v>
      </c>
      <c r="K293" s="1139"/>
      <c r="L293" s="1139"/>
      <c r="M293" s="1139"/>
      <c r="N293" s="1183">
        <f>+SUM(I293:M293)</f>
        <v>38727191.599999994</v>
      </c>
      <c r="O293" s="1139"/>
      <c r="P293" s="1139"/>
      <c r="Q293" s="1139"/>
      <c r="R293" s="1139"/>
      <c r="S293" s="1183">
        <f>+SUM(O293:R293)</f>
        <v>0</v>
      </c>
      <c r="T293" s="1727">
        <f>+S293+N293</f>
        <v>38727191.599999994</v>
      </c>
      <c r="U293" s="1083">
        <v>38727191.599999994</v>
      </c>
      <c r="V293" s="1083">
        <v>38727191</v>
      </c>
      <c r="W293" s="1083">
        <v>38727191</v>
      </c>
      <c r="X293" s="1083">
        <f>+U293-W293</f>
        <v>0.59999999403953552</v>
      </c>
      <c r="Y293" s="1083"/>
      <c r="Z293" s="1083"/>
      <c r="AA293" s="1083"/>
      <c r="AB293" s="1083"/>
      <c r="AC293" s="1083"/>
      <c r="AD293" s="1083"/>
      <c r="AE293" s="1083"/>
      <c r="AF293" s="1083"/>
      <c r="AG293" s="1083"/>
      <c r="AH293" s="1083" t="s">
        <v>48</v>
      </c>
      <c r="AI293" s="1083" t="s">
        <v>218</v>
      </c>
    </row>
    <row r="294" spans="1:35" s="1080" customFormat="1" ht="15.75" customHeight="1">
      <c r="A294" s="294"/>
      <c r="B294" s="294"/>
      <c r="C294" s="1273" t="s">
        <v>469</v>
      </c>
      <c r="D294" s="1098" t="s">
        <v>211</v>
      </c>
      <c r="E294" s="1098" t="s">
        <v>466</v>
      </c>
      <c r="F294" s="1098" t="s">
        <v>521</v>
      </c>
      <c r="G294" s="1098"/>
      <c r="H294" s="1098"/>
      <c r="I294" s="1274">
        <f>27964562.6-1191866.472</f>
        <v>26772696.128000002</v>
      </c>
      <c r="J294" s="1274">
        <f>12906721.2-952225.728000002</f>
        <v>11954495.471999997</v>
      </c>
      <c r="K294" s="1274"/>
      <c r="L294" s="1274"/>
      <c r="M294" s="1274"/>
      <c r="N294" s="1341">
        <f>+SUM(I294:M294)</f>
        <v>38727191.600000001</v>
      </c>
      <c r="O294" s="1274"/>
      <c r="P294" s="1274"/>
      <c r="Q294" s="1274"/>
      <c r="R294" s="1274"/>
      <c r="S294" s="1341">
        <f>+SUM(O294:R294)</f>
        <v>0</v>
      </c>
      <c r="T294" s="1342">
        <f>+S294+N294</f>
        <v>38727191.600000001</v>
      </c>
      <c r="U294" s="1083">
        <v>38727191.600000001</v>
      </c>
      <c r="V294" s="1083">
        <v>38727191</v>
      </c>
      <c r="W294" s="1083">
        <v>38727191</v>
      </c>
      <c r="X294" s="1083">
        <f>+U294-W294</f>
        <v>0.60000000149011612</v>
      </c>
      <c r="Y294" s="1083"/>
      <c r="Z294" s="1083"/>
      <c r="AA294" s="1083"/>
      <c r="AB294" s="1083"/>
      <c r="AC294" s="1083"/>
      <c r="AD294" s="1083"/>
      <c r="AE294" s="1083"/>
      <c r="AF294" s="1083"/>
      <c r="AG294" s="1083"/>
      <c r="AH294" s="1083" t="s">
        <v>48</v>
      </c>
      <c r="AI294" s="1083" t="s">
        <v>218</v>
      </c>
    </row>
    <row r="295" spans="1:35" s="1080" customFormat="1" ht="15.75" customHeight="1">
      <c r="A295" s="294"/>
      <c r="B295" s="294"/>
      <c r="C295" s="1273" t="s">
        <v>204</v>
      </c>
      <c r="D295" s="1098"/>
      <c r="E295" s="1098"/>
      <c r="F295" s="1098"/>
      <c r="G295" s="1098"/>
      <c r="H295" s="1098"/>
      <c r="I295" s="1274"/>
      <c r="J295" s="1274">
        <v>14333782.072077025</v>
      </c>
      <c r="K295" s="1274"/>
      <c r="L295" s="1274"/>
      <c r="M295" s="1274"/>
      <c r="N295" s="1341">
        <f t="shared" ref="N295:N296" si="105">+SUM(I295:M295)</f>
        <v>14333782.072077025</v>
      </c>
      <c r="O295" s="1274"/>
      <c r="P295" s="1274"/>
      <c r="Q295" s="1274"/>
      <c r="R295" s="1274"/>
      <c r="S295" s="1341">
        <f t="shared" ref="S295:S296" si="106">+SUM(O295:R295)</f>
        <v>0</v>
      </c>
      <c r="T295" s="1342">
        <f t="shared" ref="T295:T296" si="107">+S295+N295</f>
        <v>14333782.072077025</v>
      </c>
      <c r="U295" s="1083"/>
      <c r="V295" s="1083"/>
      <c r="W295" s="1083"/>
      <c r="X295" s="1083"/>
      <c r="Y295" s="1083"/>
      <c r="Z295" s="1083"/>
      <c r="AA295" s="1083"/>
      <c r="AB295" s="1083"/>
      <c r="AC295" s="1083"/>
      <c r="AD295" s="1083"/>
      <c r="AE295" s="1083"/>
      <c r="AF295" s="1083"/>
      <c r="AG295" s="1083"/>
      <c r="AH295" s="1083"/>
      <c r="AI295" s="1083"/>
    </row>
    <row r="296" spans="1:35" s="1084" customFormat="1" ht="15.75" customHeight="1" thickBot="1">
      <c r="A296" s="294"/>
      <c r="B296" s="294"/>
      <c r="C296" s="1278" t="s">
        <v>204</v>
      </c>
      <c r="D296" s="1279"/>
      <c r="E296" s="1279"/>
      <c r="F296" s="1279"/>
      <c r="G296" s="1279"/>
      <c r="H296" s="1279"/>
      <c r="I296" s="1280"/>
      <c r="J296" s="1280">
        <f>76966476-J295</f>
        <v>62632693.927922979</v>
      </c>
      <c r="K296" s="1280"/>
      <c r="L296" s="1280"/>
      <c r="M296" s="1280"/>
      <c r="N296" s="1343">
        <f t="shared" si="105"/>
        <v>62632693.927922979</v>
      </c>
      <c r="O296" s="1280"/>
      <c r="P296" s="1280"/>
      <c r="Q296" s="1280"/>
      <c r="R296" s="1280"/>
      <c r="S296" s="1343">
        <f t="shared" si="106"/>
        <v>0</v>
      </c>
      <c r="T296" s="1344">
        <f t="shared" si="107"/>
        <v>62632693.927922979</v>
      </c>
      <c r="U296" s="1085"/>
      <c r="V296" s="1085"/>
      <c r="W296" s="1085"/>
      <c r="X296" s="1085"/>
      <c r="Y296" s="1085"/>
      <c r="Z296" s="1085"/>
      <c r="AA296" s="1085"/>
      <c r="AB296" s="1085"/>
      <c r="AC296" s="1085"/>
      <c r="AD296" s="1085"/>
      <c r="AE296" s="1085"/>
      <c r="AF296" s="1085"/>
      <c r="AG296" s="1085"/>
      <c r="AH296" s="1085"/>
      <c r="AI296" s="1085"/>
    </row>
    <row r="297" spans="1:35" s="150" customFormat="1" ht="45" customHeight="1" thickBot="1">
      <c r="A297" s="1861">
        <v>236</v>
      </c>
      <c r="B297" s="1862"/>
      <c r="C297" s="815" t="s">
        <v>1445</v>
      </c>
      <c r="D297" s="846"/>
      <c r="E297" s="847"/>
      <c r="F297" s="847" t="s">
        <v>1098</v>
      </c>
      <c r="G297" s="847">
        <v>100</v>
      </c>
      <c r="H297" s="847"/>
      <c r="I297" s="806">
        <f>+I298</f>
        <v>9388303.5999999754</v>
      </c>
      <c r="J297" s="806">
        <f t="shared" ref="J297:S297" si="108">+J298</f>
        <v>4772815.1999998093</v>
      </c>
      <c r="K297" s="806"/>
      <c r="L297" s="806">
        <f t="shared" si="108"/>
        <v>0</v>
      </c>
      <c r="M297" s="806">
        <f t="shared" si="108"/>
        <v>0</v>
      </c>
      <c r="N297" s="806">
        <f t="shared" si="108"/>
        <v>14161118.799999785</v>
      </c>
      <c r="O297" s="806">
        <f t="shared" si="108"/>
        <v>0</v>
      </c>
      <c r="P297" s="806">
        <f t="shared" si="108"/>
        <v>0</v>
      </c>
      <c r="Q297" s="806">
        <f t="shared" si="108"/>
        <v>0</v>
      </c>
      <c r="R297" s="806">
        <f t="shared" si="108"/>
        <v>0</v>
      </c>
      <c r="S297" s="806">
        <f t="shared" si="108"/>
        <v>0</v>
      </c>
      <c r="T297" s="807">
        <f>+T298</f>
        <v>14161118.799999785</v>
      </c>
      <c r="U297" s="1025"/>
      <c r="V297" s="1025"/>
      <c r="W297" s="1025"/>
      <c r="X297" s="1025"/>
      <c r="Y297" s="1025"/>
      <c r="Z297" s="1025"/>
      <c r="AA297" s="1025"/>
      <c r="AB297" s="1025"/>
      <c r="AC297" s="1025"/>
      <c r="AD297" s="1025"/>
      <c r="AE297" s="1025"/>
      <c r="AF297" s="1025"/>
      <c r="AG297" s="1025"/>
      <c r="AH297" s="1025"/>
      <c r="AI297" s="1025"/>
    </row>
    <row r="298" spans="1:35" s="150" customFormat="1" ht="38.25">
      <c r="A298" s="1861"/>
      <c r="B298" s="1862" t="s">
        <v>1521</v>
      </c>
      <c r="C298" s="196" t="s">
        <v>1188</v>
      </c>
      <c r="D298" s="194"/>
      <c r="E298" s="197"/>
      <c r="F298" s="197" t="s">
        <v>1104</v>
      </c>
      <c r="G298" s="197">
        <v>37</v>
      </c>
      <c r="H298" s="197"/>
      <c r="I298" s="837">
        <f>SUM(I299:I300)</f>
        <v>9388303.5999999754</v>
      </c>
      <c r="J298" s="837">
        <f t="shared" ref="J298:S298" si="109">SUM(J299:J300)</f>
        <v>4772815.1999998093</v>
      </c>
      <c r="K298" s="837"/>
      <c r="L298" s="837">
        <f t="shared" si="109"/>
        <v>0</v>
      </c>
      <c r="M298" s="837">
        <f t="shared" si="109"/>
        <v>0</v>
      </c>
      <c r="N298" s="837">
        <f t="shared" si="109"/>
        <v>14161118.799999785</v>
      </c>
      <c r="O298" s="837">
        <f t="shared" si="109"/>
        <v>0</v>
      </c>
      <c r="P298" s="837">
        <f t="shared" si="109"/>
        <v>0</v>
      </c>
      <c r="Q298" s="837">
        <f t="shared" si="109"/>
        <v>0</v>
      </c>
      <c r="R298" s="837">
        <f t="shared" si="109"/>
        <v>0</v>
      </c>
      <c r="S298" s="837">
        <f t="shared" si="109"/>
        <v>0</v>
      </c>
      <c r="T298" s="838">
        <f>SUM(T299:T300)</f>
        <v>14161118.799999785</v>
      </c>
      <c r="U298" s="1025"/>
      <c r="V298" s="1025"/>
      <c r="W298" s="1025"/>
      <c r="X298" s="1025"/>
      <c r="Y298" s="1025"/>
      <c r="Z298" s="1025"/>
      <c r="AA298" s="1025"/>
      <c r="AB298" s="1025"/>
      <c r="AC298" s="1025"/>
      <c r="AD298" s="1025"/>
      <c r="AE298" s="1025"/>
      <c r="AF298" s="1025"/>
      <c r="AG298" s="1025"/>
      <c r="AH298" s="1025"/>
      <c r="AI298" s="1025"/>
    </row>
    <row r="299" spans="1:35" s="1080" customFormat="1" ht="25.5">
      <c r="A299" s="294"/>
      <c r="B299" s="294"/>
      <c r="C299" s="1094" t="s">
        <v>467</v>
      </c>
      <c r="D299" s="1095" t="s">
        <v>211</v>
      </c>
      <c r="E299" s="1095" t="s">
        <v>466</v>
      </c>
      <c r="F299" s="1095" t="s">
        <v>521</v>
      </c>
      <c r="G299" s="1095"/>
      <c r="H299" s="1095"/>
      <c r="I299" s="1139">
        <v>4302943.2</v>
      </c>
      <c r="J299" s="1139"/>
      <c r="K299" s="1139"/>
      <c r="L299" s="1139"/>
      <c r="M299" s="1139"/>
      <c r="N299" s="1183">
        <f>+SUM(I299:M299)</f>
        <v>4302943.2</v>
      </c>
      <c r="O299" s="1139"/>
      <c r="P299" s="1139"/>
      <c r="Q299" s="1139"/>
      <c r="R299" s="1139"/>
      <c r="S299" s="1183">
        <f>+SUM(O299:R299)</f>
        <v>0</v>
      </c>
      <c r="T299" s="1347">
        <f>+S299+N299</f>
        <v>4302943.2</v>
      </c>
      <c r="U299" s="1083">
        <v>4302943</v>
      </c>
      <c r="V299" s="1083">
        <v>4302943</v>
      </c>
      <c r="W299" s="1083">
        <v>4302943</v>
      </c>
      <c r="X299" s="1083">
        <f>+U299-W299</f>
        <v>0</v>
      </c>
      <c r="Y299" s="1083"/>
      <c r="Z299" s="1083"/>
      <c r="AA299" s="1083"/>
      <c r="AB299" s="1083"/>
      <c r="AC299" s="1083"/>
      <c r="AD299" s="1083"/>
      <c r="AE299" s="1083"/>
      <c r="AF299" s="1083"/>
      <c r="AG299" s="1083"/>
      <c r="AH299" s="1083" t="s">
        <v>46</v>
      </c>
      <c r="AI299" s="1083" t="s">
        <v>217</v>
      </c>
    </row>
    <row r="300" spans="1:35" s="1080" customFormat="1" ht="19.5" customHeight="1" thickBot="1">
      <c r="A300" s="294"/>
      <c r="B300" s="294"/>
      <c r="C300" s="1273" t="s">
        <v>892</v>
      </c>
      <c r="D300" s="1098" t="s">
        <v>211</v>
      </c>
      <c r="E300" s="1098" t="s">
        <v>466</v>
      </c>
      <c r="F300" s="1121" t="s">
        <v>521</v>
      </c>
      <c r="G300" s="1098"/>
      <c r="H300" s="1098"/>
      <c r="I300" s="1274">
        <v>5085360.3999999762</v>
      </c>
      <c r="J300" s="1274">
        <v>4772815.1999998093</v>
      </c>
      <c r="K300" s="1274"/>
      <c r="L300" s="1274"/>
      <c r="M300" s="1274"/>
      <c r="N300" s="1341">
        <f>+SUM(I300:M300)</f>
        <v>9858175.5999997854</v>
      </c>
      <c r="O300" s="1274"/>
      <c r="P300" s="1274"/>
      <c r="Q300" s="1274"/>
      <c r="R300" s="1274"/>
      <c r="S300" s="1341">
        <f>+SUM(O300:R300)</f>
        <v>0</v>
      </c>
      <c r="T300" s="1726">
        <f>+S300+N300</f>
        <v>9858175.5999997854</v>
      </c>
      <c r="U300" s="1083">
        <v>9858175.5999997854</v>
      </c>
      <c r="V300" s="1083">
        <v>9858175</v>
      </c>
      <c r="W300" s="1083">
        <v>9858175</v>
      </c>
      <c r="X300" s="1083">
        <f>+U300-W300</f>
        <v>0.59999978542327881</v>
      </c>
      <c r="Y300" s="1083"/>
      <c r="Z300" s="1083"/>
      <c r="AA300" s="1083"/>
      <c r="AB300" s="1083"/>
      <c r="AC300" s="1083"/>
      <c r="AD300" s="1083"/>
      <c r="AE300" s="1083"/>
      <c r="AF300" s="1083"/>
      <c r="AG300" s="1083"/>
      <c r="AH300" s="1083" t="s">
        <v>46</v>
      </c>
      <c r="AI300" s="1083" t="s">
        <v>217</v>
      </c>
    </row>
    <row r="301" spans="1:35" s="150" customFormat="1" ht="45" customHeight="1" thickBot="1">
      <c r="A301" s="1861">
        <v>237</v>
      </c>
      <c r="B301" s="1862"/>
      <c r="C301" s="168" t="s">
        <v>288</v>
      </c>
      <c r="D301" s="829"/>
      <c r="E301" s="830"/>
      <c r="F301" s="831" t="s">
        <v>1098</v>
      </c>
      <c r="G301" s="831">
        <v>100</v>
      </c>
      <c r="H301" s="831"/>
      <c r="I301" s="811">
        <f>+I302</f>
        <v>19698881.600000098</v>
      </c>
      <c r="J301" s="811">
        <f>+J302</f>
        <v>1614306.4000000954</v>
      </c>
      <c r="K301" s="811"/>
      <c r="L301" s="811">
        <f t="shared" ref="L301:T301" si="110">+L302</f>
        <v>0</v>
      </c>
      <c r="M301" s="811">
        <f t="shared" si="110"/>
        <v>0</v>
      </c>
      <c r="N301" s="811">
        <f t="shared" si="110"/>
        <v>21313188.000000194</v>
      </c>
      <c r="O301" s="811">
        <f t="shared" si="110"/>
        <v>0</v>
      </c>
      <c r="P301" s="811">
        <f t="shared" si="110"/>
        <v>0</v>
      </c>
      <c r="Q301" s="811">
        <f t="shared" si="110"/>
        <v>0</v>
      </c>
      <c r="R301" s="811">
        <f t="shared" si="110"/>
        <v>0</v>
      </c>
      <c r="S301" s="811">
        <f t="shared" si="110"/>
        <v>0</v>
      </c>
      <c r="T301" s="812">
        <f t="shared" si="110"/>
        <v>21313188.000000194</v>
      </c>
      <c r="U301" s="1025"/>
      <c r="V301" s="1025"/>
      <c r="W301" s="1025"/>
      <c r="X301" s="1025"/>
      <c r="Y301" s="1025"/>
      <c r="Z301" s="1025"/>
      <c r="AA301" s="1025"/>
      <c r="AB301" s="1025"/>
      <c r="AC301" s="1025"/>
      <c r="AD301" s="1025"/>
      <c r="AE301" s="1025"/>
      <c r="AF301" s="1025"/>
      <c r="AG301" s="1025"/>
      <c r="AH301" s="1025"/>
      <c r="AI301" s="1025"/>
    </row>
    <row r="302" spans="1:35" s="150" customFormat="1" ht="42.75" customHeight="1">
      <c r="A302" s="1861"/>
      <c r="B302" s="1862" t="s">
        <v>1522</v>
      </c>
      <c r="C302" s="194" t="s">
        <v>1422</v>
      </c>
      <c r="D302" s="194"/>
      <c r="E302" s="197"/>
      <c r="F302" s="197" t="s">
        <v>1098</v>
      </c>
      <c r="G302" s="197">
        <v>100</v>
      </c>
      <c r="H302" s="197"/>
      <c r="I302" s="837">
        <f>SUM(I303:I306)</f>
        <v>19698881.600000098</v>
      </c>
      <c r="J302" s="837">
        <f>SUM(J303:J306)</f>
        <v>1614306.4000000954</v>
      </c>
      <c r="K302" s="837"/>
      <c r="L302" s="837">
        <f t="shared" ref="L302:S302" si="111">SUM(L303:L305)</f>
        <v>0</v>
      </c>
      <c r="M302" s="837">
        <f t="shared" si="111"/>
        <v>0</v>
      </c>
      <c r="N302" s="837">
        <f>SUM(N303:N306)</f>
        <v>21313188.000000194</v>
      </c>
      <c r="O302" s="837">
        <f t="shared" si="111"/>
        <v>0</v>
      </c>
      <c r="P302" s="837">
        <f t="shared" si="111"/>
        <v>0</v>
      </c>
      <c r="Q302" s="837">
        <f>SUM(Q303:Q305)</f>
        <v>0</v>
      </c>
      <c r="R302" s="837">
        <f t="shared" si="111"/>
        <v>0</v>
      </c>
      <c r="S302" s="837">
        <f t="shared" si="111"/>
        <v>0</v>
      </c>
      <c r="T302" s="837">
        <f>SUM(T303:T306)</f>
        <v>21313188.000000194</v>
      </c>
      <c r="U302" s="1025"/>
      <c r="V302" s="1025"/>
      <c r="W302" s="1025"/>
      <c r="X302" s="1025"/>
      <c r="Y302" s="1025"/>
      <c r="Z302" s="1025"/>
      <c r="AA302" s="1025"/>
      <c r="AB302" s="1025"/>
      <c r="AC302" s="1025"/>
      <c r="AD302" s="1025"/>
      <c r="AE302" s="1025"/>
      <c r="AF302" s="1025"/>
      <c r="AG302" s="1025"/>
      <c r="AH302" s="1025"/>
      <c r="AI302" s="1025"/>
    </row>
    <row r="303" spans="1:35" s="1080" customFormat="1" ht="15">
      <c r="A303" s="294"/>
      <c r="B303" s="294"/>
      <c r="C303" s="1555" t="s">
        <v>468</v>
      </c>
      <c r="D303" s="1374" t="s">
        <v>211</v>
      </c>
      <c r="E303" s="1374" t="s">
        <v>466</v>
      </c>
      <c r="F303" s="1374" t="s">
        <v>521</v>
      </c>
      <c r="G303" s="1374"/>
      <c r="H303" s="1374"/>
      <c r="I303" s="1745">
        <v>4302240.4000000004</v>
      </c>
      <c r="J303" s="1745"/>
      <c r="K303" s="1745"/>
      <c r="L303" s="1745"/>
      <c r="M303" s="1745"/>
      <c r="N303" s="1746">
        <f>+SUM(I303:M303)</f>
        <v>4302240.4000000004</v>
      </c>
      <c r="O303" s="1745"/>
      <c r="P303" s="1745"/>
      <c r="Q303" s="1745"/>
      <c r="R303" s="1745"/>
      <c r="S303" s="1746">
        <f>+SUM(O303:R303)</f>
        <v>0</v>
      </c>
      <c r="T303" s="1747">
        <f>+S303+N303</f>
        <v>4302240.4000000004</v>
      </c>
      <c r="U303" s="1083">
        <v>4302240.4000000004</v>
      </c>
      <c r="V303" s="1083">
        <v>4302240.4000000004</v>
      </c>
      <c r="W303" s="1083">
        <v>4302240.4000000004</v>
      </c>
      <c r="X303" s="1083">
        <f>+U303-W303</f>
        <v>0</v>
      </c>
      <c r="Y303" s="1083"/>
      <c r="Z303" s="1083"/>
      <c r="AA303" s="1083"/>
      <c r="AB303" s="1083"/>
      <c r="AC303" s="1083"/>
      <c r="AD303" s="1083"/>
      <c r="AE303" s="1083"/>
      <c r="AF303" s="1083"/>
      <c r="AG303" s="1083"/>
      <c r="AH303" s="1083" t="s">
        <v>224</v>
      </c>
      <c r="AI303" s="1083" t="s">
        <v>223</v>
      </c>
    </row>
    <row r="304" spans="1:35" s="1080" customFormat="1" ht="15">
      <c r="A304" s="294"/>
      <c r="B304" s="294"/>
      <c r="C304" s="1094" t="s">
        <v>469</v>
      </c>
      <c r="D304" s="1095" t="s">
        <v>211</v>
      </c>
      <c r="E304" s="1095" t="s">
        <v>466</v>
      </c>
      <c r="F304" s="1095" t="s">
        <v>521</v>
      </c>
      <c r="G304" s="1095"/>
      <c r="H304" s="1095"/>
      <c r="I304" s="1139">
        <v>4302240.4000000004</v>
      </c>
      <c r="J304" s="1139"/>
      <c r="K304" s="1139"/>
      <c r="L304" s="1139"/>
      <c r="M304" s="1139"/>
      <c r="N304" s="1183">
        <f>+SUM(I304:M304)</f>
        <v>4302240.4000000004</v>
      </c>
      <c r="O304" s="1139"/>
      <c r="P304" s="1139"/>
      <c r="Q304" s="1139"/>
      <c r="R304" s="1139"/>
      <c r="S304" s="1183">
        <f t="shared" ref="S304:S306" si="112">+SUM(O304:R304)</f>
        <v>0</v>
      </c>
      <c r="T304" s="1727">
        <f t="shared" ref="T304:T306" si="113">+S304+N304</f>
        <v>4302240.4000000004</v>
      </c>
      <c r="U304" s="1083">
        <v>4302240.4000000004</v>
      </c>
      <c r="V304" s="1083">
        <v>4302240.4000000004</v>
      </c>
      <c r="W304" s="1083">
        <v>4302240.4000000004</v>
      </c>
      <c r="X304" s="1083">
        <f t="shared" ref="X304:X306" si="114">+U304-W304</f>
        <v>0</v>
      </c>
      <c r="Y304" s="1083"/>
      <c r="Z304" s="1083"/>
      <c r="AA304" s="1083"/>
      <c r="AB304" s="1083"/>
      <c r="AC304" s="1083"/>
      <c r="AD304" s="1083"/>
      <c r="AE304" s="1083"/>
      <c r="AF304" s="1083"/>
      <c r="AG304" s="1083"/>
      <c r="AH304" s="1083" t="s">
        <v>224</v>
      </c>
      <c r="AI304" s="1083" t="s">
        <v>223</v>
      </c>
    </row>
    <row r="305" spans="1:35" s="1080" customFormat="1" ht="38.25">
      <c r="A305" s="294"/>
      <c r="B305" s="294"/>
      <c r="C305" s="1094" t="s">
        <v>854</v>
      </c>
      <c r="D305" s="1095" t="s">
        <v>211</v>
      </c>
      <c r="E305" s="1095" t="s">
        <v>466</v>
      </c>
      <c r="F305" s="1095" t="s">
        <v>521</v>
      </c>
      <c r="G305" s="1095"/>
      <c r="H305" s="1132"/>
      <c r="I305" s="1139">
        <v>4302240.4000000004</v>
      </c>
      <c r="J305" s="1139"/>
      <c r="K305" s="1139"/>
      <c r="L305" s="1139"/>
      <c r="M305" s="1139"/>
      <c r="N305" s="1183">
        <f>+SUM(I305:M305)</f>
        <v>4302240.4000000004</v>
      </c>
      <c r="O305" s="1139"/>
      <c r="P305" s="1139"/>
      <c r="Q305" s="1139"/>
      <c r="R305" s="1139"/>
      <c r="S305" s="1183">
        <f t="shared" si="112"/>
        <v>0</v>
      </c>
      <c r="T305" s="1727">
        <f t="shared" si="113"/>
        <v>4302240.4000000004</v>
      </c>
      <c r="U305" s="1083">
        <v>4302240.4000000004</v>
      </c>
      <c r="V305" s="1083">
        <v>4302240.4000000004</v>
      </c>
      <c r="W305" s="1083">
        <v>4302240.4000000004</v>
      </c>
      <c r="X305" s="1083">
        <f t="shared" si="114"/>
        <v>0</v>
      </c>
      <c r="Y305" s="1083"/>
      <c r="Z305" s="1083"/>
      <c r="AA305" s="1083"/>
      <c r="AB305" s="1083"/>
      <c r="AC305" s="1083"/>
      <c r="AD305" s="1083"/>
      <c r="AE305" s="1083"/>
      <c r="AF305" s="1083"/>
      <c r="AG305" s="1083"/>
      <c r="AH305" s="1083" t="s">
        <v>224</v>
      </c>
      <c r="AI305" s="1083" t="s">
        <v>223</v>
      </c>
    </row>
    <row r="306" spans="1:35" s="1080" customFormat="1" ht="32.25" customHeight="1" thickBot="1">
      <c r="A306" s="294"/>
      <c r="B306" s="294"/>
      <c r="C306" s="1748" t="s">
        <v>899</v>
      </c>
      <c r="D306" s="1178" t="s">
        <v>211</v>
      </c>
      <c r="E306" s="1098" t="s">
        <v>466</v>
      </c>
      <c r="F306" s="1098" t="s">
        <v>521</v>
      </c>
      <c r="G306" s="1098"/>
      <c r="H306" s="1561"/>
      <c r="I306" s="1274">
        <v>6792160.4000000954</v>
      </c>
      <c r="J306" s="1274">
        <v>1614306.4000000954</v>
      </c>
      <c r="K306" s="1274"/>
      <c r="L306" s="1274"/>
      <c r="M306" s="1274"/>
      <c r="N306" s="1341">
        <f>+SUM(I306:M306)</f>
        <v>8406466.8000001907</v>
      </c>
      <c r="O306" s="1274"/>
      <c r="P306" s="1274"/>
      <c r="Q306" s="1274"/>
      <c r="R306" s="1274"/>
      <c r="S306" s="1341">
        <f t="shared" si="112"/>
        <v>0</v>
      </c>
      <c r="T306" s="1342">
        <f t="shared" si="113"/>
        <v>8406466.8000001907</v>
      </c>
      <c r="U306" s="1083">
        <v>8406466.8000002</v>
      </c>
      <c r="V306" s="1083">
        <v>8406466.8000002</v>
      </c>
      <c r="W306" s="1083">
        <v>8406466.8000002</v>
      </c>
      <c r="X306" s="1083">
        <f t="shared" si="114"/>
        <v>0</v>
      </c>
      <c r="Y306" s="1083"/>
      <c r="Z306" s="1083"/>
      <c r="AA306" s="1083"/>
      <c r="AB306" s="1083"/>
      <c r="AC306" s="1083"/>
      <c r="AD306" s="1083"/>
      <c r="AE306" s="1083"/>
      <c r="AF306" s="1083"/>
      <c r="AG306" s="1083"/>
      <c r="AH306" s="1083" t="s">
        <v>224</v>
      </c>
      <c r="AI306" s="1083" t="s">
        <v>223</v>
      </c>
    </row>
    <row r="307" spans="1:35" s="150" customFormat="1" ht="39" thickBot="1">
      <c r="A307" s="1861">
        <v>238</v>
      </c>
      <c r="B307" s="1862"/>
      <c r="C307" s="768" t="s">
        <v>1008</v>
      </c>
      <c r="D307" s="769"/>
      <c r="E307" s="770"/>
      <c r="F307" s="767" t="s">
        <v>1098</v>
      </c>
      <c r="G307" s="767">
        <v>100</v>
      </c>
      <c r="H307" s="767"/>
      <c r="I307" s="771">
        <f t="shared" ref="I307:S307" si="115">+I308</f>
        <v>4302240.4000000004</v>
      </c>
      <c r="J307" s="771">
        <f t="shared" si="115"/>
        <v>0</v>
      </c>
      <c r="K307" s="771"/>
      <c r="L307" s="771">
        <f t="shared" si="115"/>
        <v>0</v>
      </c>
      <c r="M307" s="771">
        <f t="shared" si="115"/>
        <v>0</v>
      </c>
      <c r="N307" s="771">
        <f t="shared" si="115"/>
        <v>4302240.4000000004</v>
      </c>
      <c r="O307" s="771">
        <f t="shared" si="115"/>
        <v>0</v>
      </c>
      <c r="P307" s="771">
        <f t="shared" si="115"/>
        <v>0</v>
      </c>
      <c r="Q307" s="771">
        <f t="shared" si="115"/>
        <v>0</v>
      </c>
      <c r="R307" s="771">
        <f t="shared" si="115"/>
        <v>0</v>
      </c>
      <c r="S307" s="771">
        <f t="shared" si="115"/>
        <v>0</v>
      </c>
      <c r="T307" s="772">
        <f>+T308</f>
        <v>4302240.4000000004</v>
      </c>
      <c r="U307" s="1025"/>
      <c r="V307" s="1025"/>
      <c r="W307" s="1025"/>
      <c r="X307" s="1025"/>
      <c r="Y307" s="1025"/>
      <c r="Z307" s="1025"/>
      <c r="AA307" s="1025"/>
      <c r="AB307" s="1025"/>
      <c r="AC307" s="1025"/>
      <c r="AD307" s="1025"/>
      <c r="AE307" s="1025"/>
      <c r="AF307" s="1025"/>
      <c r="AG307" s="1025"/>
      <c r="AH307" s="1025"/>
      <c r="AI307" s="1025"/>
    </row>
    <row r="308" spans="1:35" s="150" customFormat="1" ht="25.5">
      <c r="A308" s="1861"/>
      <c r="B308" s="1862" t="s">
        <v>1523</v>
      </c>
      <c r="C308" s="210" t="s">
        <v>1009</v>
      </c>
      <c r="D308" s="503"/>
      <c r="E308" s="500"/>
      <c r="F308" s="500" t="s">
        <v>1098</v>
      </c>
      <c r="G308" s="500">
        <v>100</v>
      </c>
      <c r="H308" s="500"/>
      <c r="I308" s="762">
        <f t="shared" ref="I308:S308" si="116">SUM(I309)</f>
        <v>4302240.4000000004</v>
      </c>
      <c r="J308" s="762">
        <f t="shared" si="116"/>
        <v>0</v>
      </c>
      <c r="K308" s="762"/>
      <c r="L308" s="762">
        <f t="shared" si="116"/>
        <v>0</v>
      </c>
      <c r="M308" s="762">
        <f t="shared" si="116"/>
        <v>0</v>
      </c>
      <c r="N308" s="762">
        <f t="shared" si="116"/>
        <v>4302240.4000000004</v>
      </c>
      <c r="O308" s="762">
        <f t="shared" si="116"/>
        <v>0</v>
      </c>
      <c r="P308" s="762">
        <f t="shared" si="116"/>
        <v>0</v>
      </c>
      <c r="Q308" s="762">
        <f t="shared" si="116"/>
        <v>0</v>
      </c>
      <c r="R308" s="762">
        <f t="shared" si="116"/>
        <v>0</v>
      </c>
      <c r="S308" s="762">
        <f t="shared" si="116"/>
        <v>0</v>
      </c>
      <c r="T308" s="763">
        <f>SUM(T309)</f>
        <v>4302240.4000000004</v>
      </c>
      <c r="U308" s="1025"/>
      <c r="V308" s="1025"/>
      <c r="W308" s="1025"/>
      <c r="X308" s="1025"/>
      <c r="Y308" s="1025"/>
      <c r="Z308" s="1025"/>
      <c r="AA308" s="1025"/>
      <c r="AB308" s="1025"/>
      <c r="AC308" s="1025"/>
      <c r="AD308" s="1025"/>
      <c r="AE308" s="1025"/>
      <c r="AF308" s="1025"/>
      <c r="AG308" s="1025"/>
      <c r="AH308" s="1025"/>
      <c r="AI308" s="1025"/>
    </row>
    <row r="309" spans="1:35" s="1080" customFormat="1" ht="36.75" customHeight="1" thickBot="1">
      <c r="A309" s="294"/>
      <c r="B309" s="294"/>
      <c r="C309" s="1099" t="s">
        <v>854</v>
      </c>
      <c r="D309" s="1100" t="s">
        <v>211</v>
      </c>
      <c r="E309" s="1100" t="s">
        <v>466</v>
      </c>
      <c r="F309" s="1100" t="s">
        <v>521</v>
      </c>
      <c r="G309" s="1100"/>
      <c r="H309" s="1100"/>
      <c r="I309" s="1129">
        <v>4302240.4000000004</v>
      </c>
      <c r="J309" s="1129"/>
      <c r="K309" s="1129"/>
      <c r="L309" s="1129"/>
      <c r="M309" s="1129"/>
      <c r="N309" s="1129">
        <f>+SUM(I309:M309)</f>
        <v>4302240.4000000004</v>
      </c>
      <c r="O309" s="1129"/>
      <c r="P309" s="1129"/>
      <c r="Q309" s="1129"/>
      <c r="R309" s="1129"/>
      <c r="S309" s="1320">
        <f>+SUM(O309:R309)</f>
        <v>0</v>
      </c>
      <c r="T309" s="1749">
        <f>+S309+N309</f>
        <v>4302240.4000000004</v>
      </c>
      <c r="U309" s="1083"/>
      <c r="V309" s="1083"/>
      <c r="W309" s="1083"/>
      <c r="X309" s="1083"/>
      <c r="Y309" s="1083"/>
      <c r="Z309" s="1083"/>
      <c r="AA309" s="1083"/>
      <c r="AB309" s="1083"/>
      <c r="AC309" s="1083"/>
      <c r="AD309" s="1083"/>
      <c r="AE309" s="1083"/>
      <c r="AF309" s="1083"/>
      <c r="AG309" s="1083"/>
      <c r="AH309" s="1083" t="s">
        <v>225</v>
      </c>
      <c r="AI309" s="1083" t="s">
        <v>1321</v>
      </c>
    </row>
    <row r="310" spans="1:35" s="150" customFormat="1" ht="39" thickBot="1">
      <c r="A310" s="1861">
        <v>239</v>
      </c>
      <c r="B310" s="1862"/>
      <c r="C310" s="808" t="s">
        <v>1446</v>
      </c>
      <c r="D310" s="839"/>
      <c r="E310" s="840"/>
      <c r="F310" s="841" t="s">
        <v>1098</v>
      </c>
      <c r="G310" s="841">
        <v>100</v>
      </c>
      <c r="H310" s="841"/>
      <c r="I310" s="809">
        <f>+I311</f>
        <v>4302943.2</v>
      </c>
      <c r="J310" s="809">
        <f t="shared" ref="J310:T311" si="117">+J311</f>
        <v>0</v>
      </c>
      <c r="K310" s="809"/>
      <c r="L310" s="809">
        <f t="shared" si="117"/>
        <v>0</v>
      </c>
      <c r="M310" s="809">
        <f t="shared" si="117"/>
        <v>0</v>
      </c>
      <c r="N310" s="809">
        <f t="shared" si="117"/>
        <v>4302943.2</v>
      </c>
      <c r="O310" s="809">
        <f t="shared" si="117"/>
        <v>0</v>
      </c>
      <c r="P310" s="809">
        <f t="shared" si="117"/>
        <v>0</v>
      </c>
      <c r="Q310" s="809">
        <f t="shared" si="117"/>
        <v>0</v>
      </c>
      <c r="R310" s="809">
        <f t="shared" si="117"/>
        <v>0</v>
      </c>
      <c r="S310" s="809">
        <f t="shared" si="117"/>
        <v>0</v>
      </c>
      <c r="T310" s="810">
        <f t="shared" si="117"/>
        <v>4302943.2</v>
      </c>
      <c r="U310" s="1025"/>
      <c r="V310" s="1025"/>
      <c r="W310" s="1025"/>
      <c r="X310" s="1025">
        <f>+U310-W310</f>
        <v>0</v>
      </c>
      <c r="Y310" s="1025"/>
      <c r="Z310" s="1025"/>
      <c r="AA310" s="1025"/>
      <c r="AB310" s="1025"/>
      <c r="AC310" s="1025"/>
      <c r="AD310" s="1025"/>
      <c r="AE310" s="1025"/>
      <c r="AF310" s="1025"/>
      <c r="AG310" s="1025"/>
      <c r="AH310" s="1025"/>
      <c r="AI310" s="1025"/>
    </row>
    <row r="311" spans="1:35" s="150" customFormat="1" ht="38.25">
      <c r="A311" s="1861"/>
      <c r="B311" s="1862" t="s">
        <v>1524</v>
      </c>
      <c r="C311" s="834" t="s">
        <v>1193</v>
      </c>
      <c r="D311" s="835"/>
      <c r="E311" s="836"/>
      <c r="F311" s="197" t="s">
        <v>1098</v>
      </c>
      <c r="G311" s="197">
        <v>100</v>
      </c>
      <c r="H311" s="197"/>
      <c r="I311" s="837">
        <f>+I312</f>
        <v>4302943.2</v>
      </c>
      <c r="J311" s="837">
        <f t="shared" si="117"/>
        <v>0</v>
      </c>
      <c r="K311" s="837"/>
      <c r="L311" s="837">
        <f t="shared" si="117"/>
        <v>0</v>
      </c>
      <c r="M311" s="837">
        <f t="shared" si="117"/>
        <v>0</v>
      </c>
      <c r="N311" s="837">
        <f t="shared" si="117"/>
        <v>4302943.2</v>
      </c>
      <c r="O311" s="837">
        <f t="shared" si="117"/>
        <v>0</v>
      </c>
      <c r="P311" s="837">
        <f t="shared" si="117"/>
        <v>0</v>
      </c>
      <c r="Q311" s="837">
        <f>+Q312</f>
        <v>0</v>
      </c>
      <c r="R311" s="837">
        <f t="shared" si="117"/>
        <v>0</v>
      </c>
      <c r="S311" s="837">
        <f t="shared" si="117"/>
        <v>0</v>
      </c>
      <c r="T311" s="838">
        <f t="shared" si="117"/>
        <v>4302943.2</v>
      </c>
      <c r="U311" s="1025"/>
      <c r="V311" s="1025"/>
      <c r="W311" s="1025"/>
      <c r="X311" s="1025">
        <f>+U311-W311</f>
        <v>0</v>
      </c>
      <c r="Y311" s="1025"/>
      <c r="Z311" s="1025"/>
      <c r="AA311" s="1025"/>
      <c r="AB311" s="1025"/>
      <c r="AC311" s="1025"/>
      <c r="AD311" s="1025"/>
      <c r="AE311" s="1025"/>
      <c r="AF311" s="1025"/>
      <c r="AG311" s="1025"/>
      <c r="AH311" s="1025"/>
      <c r="AI311" s="1025"/>
    </row>
    <row r="312" spans="1:35" s="1080" customFormat="1" ht="26.25" thickBot="1">
      <c r="A312" s="294"/>
      <c r="B312" s="294"/>
      <c r="C312" s="1099" t="s">
        <v>467</v>
      </c>
      <c r="D312" s="1100" t="s">
        <v>211</v>
      </c>
      <c r="E312" s="1100" t="s">
        <v>466</v>
      </c>
      <c r="F312" s="1100"/>
      <c r="G312" s="1100"/>
      <c r="H312" s="1100"/>
      <c r="I312" s="1129">
        <v>4302943.2</v>
      </c>
      <c r="J312" s="1129"/>
      <c r="K312" s="1129"/>
      <c r="L312" s="1129"/>
      <c r="M312" s="1129"/>
      <c r="N312" s="1320">
        <f>+SUM(I312:M312)</f>
        <v>4302943.2</v>
      </c>
      <c r="O312" s="1129"/>
      <c r="P312" s="1129"/>
      <c r="Q312" s="1129"/>
      <c r="R312" s="1129"/>
      <c r="S312" s="1320">
        <f>+SUM(O312:R312)</f>
        <v>0</v>
      </c>
      <c r="T312" s="1267">
        <f>+S312+N312</f>
        <v>4302943.2</v>
      </c>
      <c r="U312" s="1083">
        <v>4302943</v>
      </c>
      <c r="V312" s="1083">
        <v>4302943</v>
      </c>
      <c r="W312" s="1083">
        <v>4302943</v>
      </c>
      <c r="X312" s="1083">
        <f>+U312-W312</f>
        <v>0</v>
      </c>
      <c r="Y312" s="1083"/>
      <c r="Z312" s="1083"/>
      <c r="AA312" s="1083"/>
      <c r="AB312" s="1083"/>
      <c r="AC312" s="1083"/>
      <c r="AD312" s="1083"/>
      <c r="AE312" s="1083"/>
      <c r="AF312" s="1083"/>
      <c r="AG312" s="1083"/>
      <c r="AH312" s="1083" t="s">
        <v>47</v>
      </c>
      <c r="AI312" s="1083" t="s">
        <v>235</v>
      </c>
    </row>
    <row r="313" spans="1:35" s="119" customFormat="1" ht="13.5" thickBot="1">
      <c r="A313" s="157"/>
      <c r="B313" s="1913"/>
      <c r="C313" s="2430" t="s">
        <v>10</v>
      </c>
      <c r="D313" s="2431"/>
      <c r="E313" s="2431"/>
      <c r="F313" s="2431"/>
      <c r="G313" s="2431"/>
      <c r="H313" s="2431"/>
      <c r="I313" s="518">
        <f t="shared" ref="I313:T313" si="118">+I10+I85+I166+I214+I283+I297+I301+I307+I310</f>
        <v>2181511505.1199989</v>
      </c>
      <c r="J313" s="518">
        <f t="shared" si="118"/>
        <v>3171321725.1999993</v>
      </c>
      <c r="K313" s="518">
        <f t="shared" si="118"/>
        <v>14685561.303599982</v>
      </c>
      <c r="L313" s="518">
        <f t="shared" si="118"/>
        <v>1092632960</v>
      </c>
      <c r="M313" s="518">
        <f t="shared" si="118"/>
        <v>256871020.329</v>
      </c>
      <c r="N313" s="518">
        <f t="shared" si="118"/>
        <v>6717022771.9525986</v>
      </c>
      <c r="O313" s="518">
        <f t="shared" si="118"/>
        <v>100000000</v>
      </c>
      <c r="P313" s="518">
        <f t="shared" si="118"/>
        <v>377986841.93640012</v>
      </c>
      <c r="Q313" s="518">
        <f t="shared" si="118"/>
        <v>97027480</v>
      </c>
      <c r="R313" s="518">
        <f t="shared" si="118"/>
        <v>299487383.0200001</v>
      </c>
      <c r="S313" s="518">
        <f t="shared" si="118"/>
        <v>874501704.95640016</v>
      </c>
      <c r="T313" s="518">
        <f t="shared" si="118"/>
        <v>7591524476.9089985</v>
      </c>
      <c r="U313" s="1037"/>
      <c r="V313" s="1037"/>
      <c r="W313" s="1037"/>
      <c r="X313" s="1037"/>
      <c r="Y313" s="1037"/>
      <c r="Z313" s="1037"/>
      <c r="AA313" s="1037"/>
      <c r="AB313" s="1037"/>
      <c r="AC313" s="1037"/>
      <c r="AD313" s="1037"/>
      <c r="AE313" s="1037"/>
      <c r="AF313" s="1037"/>
      <c r="AG313" s="1037"/>
      <c r="AH313" s="1037"/>
      <c r="AI313" s="1037"/>
    </row>
    <row r="314" spans="1:35" ht="13.5" thickBot="1">
      <c r="N314" s="121"/>
      <c r="O314" s="121"/>
      <c r="P314" s="121"/>
      <c r="Q314" s="121"/>
      <c r="R314" s="121"/>
      <c r="S314" s="121"/>
      <c r="T314" s="121"/>
      <c r="U314" s="292"/>
      <c r="V314" s="292"/>
      <c r="W314" s="292"/>
      <c r="X314" s="292"/>
      <c r="Y314" s="292"/>
      <c r="Z314" s="292"/>
      <c r="AA314" s="292"/>
      <c r="AB314" s="292"/>
      <c r="AC314" s="292"/>
      <c r="AD314" s="292"/>
      <c r="AE314" s="292"/>
      <c r="AF314" s="292"/>
      <c r="AG314" s="292"/>
      <c r="AH314" s="292"/>
      <c r="AI314" s="292"/>
    </row>
    <row r="315" spans="1:35" ht="13.5" thickBot="1">
      <c r="I315" s="191">
        <v>2181511505.1199989</v>
      </c>
      <c r="J315" s="191">
        <v>3171321725.2000003</v>
      </c>
      <c r="K315" s="191">
        <v>14685561.303599982</v>
      </c>
      <c r="L315" s="191">
        <v>1092632960</v>
      </c>
      <c r="M315" s="191">
        <v>256871020.329</v>
      </c>
      <c r="N315" s="192">
        <v>6717022771.9525986</v>
      </c>
      <c r="O315" s="192">
        <v>100000000</v>
      </c>
      <c r="P315" s="192">
        <v>377986841.93640012</v>
      </c>
      <c r="Q315" s="192">
        <v>97027480</v>
      </c>
      <c r="R315" s="192">
        <v>299487383.0200001</v>
      </c>
      <c r="S315" s="192">
        <v>874501704.95640016</v>
      </c>
      <c r="T315" s="192">
        <v>7591524476.9089985</v>
      </c>
      <c r="U315" s="292"/>
      <c r="V315" s="292"/>
      <c r="W315" s="292"/>
      <c r="X315" s="292"/>
      <c r="Y315" s="292"/>
      <c r="Z315" s="292"/>
      <c r="AA315" s="292"/>
      <c r="AB315" s="292"/>
      <c r="AC315" s="292"/>
      <c r="AD315" s="292"/>
      <c r="AE315" s="292"/>
      <c r="AF315" s="292"/>
      <c r="AG315" s="292"/>
      <c r="AH315" s="292"/>
      <c r="AI315" s="292"/>
    </row>
    <row r="316" spans="1:35" ht="33.75" customHeight="1">
      <c r="O316" s="336"/>
      <c r="P316" s="336"/>
      <c r="Q316" s="336"/>
      <c r="R316" s="336"/>
      <c r="S316" s="336"/>
      <c r="T316" s="336"/>
      <c r="U316" s="292"/>
      <c r="V316" s="292"/>
      <c r="W316" s="292"/>
      <c r="X316" s="292"/>
      <c r="Y316" s="292"/>
      <c r="Z316" s="292"/>
      <c r="AA316" s="292"/>
      <c r="AB316" s="292"/>
      <c r="AC316" s="292"/>
      <c r="AD316" s="292"/>
      <c r="AE316" s="292"/>
      <c r="AF316" s="292"/>
      <c r="AG316" s="292"/>
      <c r="AH316" s="292"/>
      <c r="AI316" s="292"/>
    </row>
    <row r="317" spans="1:35">
      <c r="I317" s="121">
        <f>+I315-I313</f>
        <v>0</v>
      </c>
      <c r="J317" s="121">
        <f t="shared" ref="J317:T317" si="119">+J315-J313</f>
        <v>0</v>
      </c>
      <c r="K317" s="121">
        <f t="shared" si="119"/>
        <v>0</v>
      </c>
      <c r="L317" s="121">
        <f t="shared" si="119"/>
        <v>0</v>
      </c>
      <c r="M317" s="121">
        <f t="shared" si="119"/>
        <v>0</v>
      </c>
      <c r="N317" s="121">
        <f t="shared" si="119"/>
        <v>0</v>
      </c>
      <c r="O317" s="121">
        <f t="shared" si="119"/>
        <v>0</v>
      </c>
      <c r="P317" s="121">
        <f t="shared" si="119"/>
        <v>0</v>
      </c>
      <c r="Q317" s="121">
        <f t="shared" si="119"/>
        <v>0</v>
      </c>
      <c r="R317" s="121">
        <f t="shared" si="119"/>
        <v>0</v>
      </c>
      <c r="S317" s="121">
        <f t="shared" si="119"/>
        <v>0</v>
      </c>
      <c r="T317" s="121">
        <f t="shared" si="119"/>
        <v>0</v>
      </c>
      <c r="U317" s="292"/>
      <c r="V317" s="292"/>
      <c r="W317" s="292"/>
      <c r="X317" s="292"/>
      <c r="Y317" s="292"/>
      <c r="Z317" s="292"/>
      <c r="AA317" s="292"/>
      <c r="AB317" s="292"/>
      <c r="AC317" s="292"/>
      <c r="AD317" s="292"/>
      <c r="AE317" s="292"/>
      <c r="AF317" s="292"/>
      <c r="AG317" s="292"/>
      <c r="AH317" s="292"/>
      <c r="AI317" s="292"/>
    </row>
    <row r="318" spans="1:35">
      <c r="U318" s="292"/>
      <c r="V318" s="292"/>
      <c r="W318" s="292"/>
      <c r="X318" s="292"/>
      <c r="Y318" s="292"/>
      <c r="Z318" s="292"/>
      <c r="AA318" s="292"/>
      <c r="AB318" s="292"/>
      <c r="AC318" s="292"/>
      <c r="AD318" s="292"/>
      <c r="AE318" s="292"/>
      <c r="AF318" s="292"/>
      <c r="AG318" s="292"/>
      <c r="AH318" s="292"/>
      <c r="AI318" s="292"/>
    </row>
    <row r="319" spans="1:35">
      <c r="U319" s="292"/>
      <c r="V319" s="292"/>
      <c r="W319" s="292"/>
      <c r="X319" s="292"/>
      <c r="Y319" s="292"/>
      <c r="Z319" s="292"/>
      <c r="AA319" s="292"/>
      <c r="AB319" s="292"/>
      <c r="AC319" s="292"/>
      <c r="AD319" s="292"/>
      <c r="AE319" s="292"/>
      <c r="AF319" s="292"/>
      <c r="AG319" s="292"/>
      <c r="AH319" s="292"/>
      <c r="AI319" s="292"/>
    </row>
    <row r="320" spans="1:35">
      <c r="U320" s="292"/>
      <c r="V320" s="292"/>
      <c r="W320" s="292"/>
      <c r="X320" s="292"/>
      <c r="Y320" s="292"/>
      <c r="Z320" s="292"/>
      <c r="AA320" s="292"/>
      <c r="AB320" s="292"/>
      <c r="AC320" s="292"/>
      <c r="AD320" s="292"/>
      <c r="AE320" s="292"/>
      <c r="AF320" s="292"/>
      <c r="AG320" s="292"/>
      <c r="AH320" s="292"/>
      <c r="AI320" s="292"/>
    </row>
    <row r="321" spans="16:35">
      <c r="R321" s="292"/>
      <c r="U321" s="292"/>
      <c r="V321" s="292"/>
      <c r="W321" s="292"/>
      <c r="X321" s="292"/>
      <c r="Y321" s="292"/>
      <c r="Z321" s="292"/>
      <c r="AA321" s="292"/>
      <c r="AB321" s="292"/>
      <c r="AC321" s="292"/>
      <c r="AD321" s="292"/>
      <c r="AE321" s="292"/>
      <c r="AF321" s="292"/>
      <c r="AG321" s="292"/>
      <c r="AH321" s="292"/>
      <c r="AI321" s="292"/>
    </row>
    <row r="322" spans="16:35">
      <c r="U322" s="292"/>
      <c r="V322" s="292"/>
      <c r="W322" s="292"/>
      <c r="X322" s="292"/>
      <c r="Y322" s="292"/>
      <c r="Z322" s="292"/>
      <c r="AA322" s="292"/>
      <c r="AB322" s="292"/>
      <c r="AC322" s="292"/>
      <c r="AD322" s="292"/>
      <c r="AE322" s="292"/>
      <c r="AF322" s="292"/>
      <c r="AG322" s="292"/>
      <c r="AH322" s="292"/>
      <c r="AI322" s="292"/>
    </row>
    <row r="323" spans="16:35">
      <c r="U323" s="292"/>
      <c r="V323" s="292"/>
      <c r="W323" s="292"/>
      <c r="X323" s="292"/>
      <c r="Y323" s="292"/>
      <c r="Z323" s="292"/>
      <c r="AA323" s="292"/>
      <c r="AB323" s="292"/>
      <c r="AC323" s="292"/>
      <c r="AD323" s="292"/>
      <c r="AE323" s="292"/>
      <c r="AF323" s="292"/>
      <c r="AG323" s="292"/>
      <c r="AH323" s="292"/>
      <c r="AI323" s="292"/>
    </row>
    <row r="324" spans="16:35">
      <c r="U324" s="292"/>
      <c r="V324" s="292"/>
      <c r="W324" s="292"/>
      <c r="X324" s="292"/>
      <c r="Y324" s="292"/>
      <c r="Z324" s="292"/>
      <c r="AA324" s="292"/>
      <c r="AB324" s="292"/>
      <c r="AC324" s="292"/>
      <c r="AD324" s="292"/>
      <c r="AE324" s="292"/>
      <c r="AF324" s="292"/>
      <c r="AG324" s="292"/>
      <c r="AH324" s="292"/>
      <c r="AI324" s="292"/>
    </row>
    <row r="325" spans="16:35">
      <c r="U325" s="292"/>
      <c r="V325" s="292"/>
      <c r="W325" s="292"/>
      <c r="X325" s="292"/>
      <c r="Y325" s="292"/>
      <c r="Z325" s="292"/>
      <c r="AA325" s="292"/>
      <c r="AB325" s="292"/>
      <c r="AC325" s="292"/>
      <c r="AD325" s="292"/>
      <c r="AE325" s="292"/>
      <c r="AF325" s="292"/>
      <c r="AG325" s="292"/>
      <c r="AH325" s="292"/>
      <c r="AI325" s="292"/>
    </row>
    <row r="326" spans="16:35">
      <c r="U326" s="292"/>
      <c r="V326" s="292"/>
      <c r="W326" s="292"/>
      <c r="X326" s="292"/>
      <c r="Y326" s="292"/>
      <c r="Z326" s="292"/>
      <c r="AA326" s="292"/>
      <c r="AB326" s="292"/>
      <c r="AC326" s="292"/>
      <c r="AD326" s="292"/>
      <c r="AE326" s="292"/>
      <c r="AF326" s="292"/>
      <c r="AG326" s="292"/>
      <c r="AH326" s="292"/>
      <c r="AI326" s="292"/>
    </row>
    <row r="327" spans="16:35">
      <c r="U327" s="292"/>
      <c r="V327" s="292"/>
      <c r="W327" s="292"/>
      <c r="X327" s="292"/>
      <c r="Y327" s="292"/>
      <c r="Z327" s="292"/>
      <c r="AA327" s="292"/>
      <c r="AB327" s="292"/>
      <c r="AC327" s="292"/>
      <c r="AD327" s="292"/>
      <c r="AE327" s="292"/>
      <c r="AF327" s="292"/>
      <c r="AG327" s="292"/>
      <c r="AH327" s="292"/>
      <c r="AI327" s="292"/>
    </row>
    <row r="328" spans="16:35">
      <c r="U328" s="292"/>
      <c r="V328" s="292"/>
      <c r="W328" s="292"/>
      <c r="X328" s="292"/>
      <c r="Y328" s="292"/>
      <c r="Z328" s="292"/>
      <c r="AA328" s="292"/>
      <c r="AB328" s="292"/>
      <c r="AC328" s="292"/>
      <c r="AD328" s="292"/>
      <c r="AE328" s="292"/>
      <c r="AF328" s="292"/>
      <c r="AG328" s="292"/>
      <c r="AH328" s="292"/>
      <c r="AI328" s="292"/>
    </row>
    <row r="329" spans="16:35">
      <c r="U329" s="292"/>
      <c r="V329" s="292"/>
      <c r="W329" s="292"/>
      <c r="X329" s="292"/>
      <c r="Y329" s="292"/>
      <c r="Z329" s="292"/>
      <c r="AA329" s="292"/>
      <c r="AB329" s="292"/>
      <c r="AC329" s="292"/>
      <c r="AD329" s="292"/>
      <c r="AE329" s="292"/>
      <c r="AF329" s="292"/>
      <c r="AG329" s="292"/>
      <c r="AH329" s="292"/>
      <c r="AI329" s="292"/>
    </row>
    <row r="331" spans="16:35">
      <c r="P331" s="313"/>
    </row>
  </sheetData>
  <mergeCells count="36">
    <mergeCell ref="C313:H313"/>
    <mergeCell ref="A7:A9"/>
    <mergeCell ref="B7:B9"/>
    <mergeCell ref="C1:C3"/>
    <mergeCell ref="O7:S7"/>
    <mergeCell ref="D1:R3"/>
    <mergeCell ref="C6:T6"/>
    <mergeCell ref="C5:T5"/>
    <mergeCell ref="N7:N9"/>
    <mergeCell ref="I8:I9"/>
    <mergeCell ref="J8:J9"/>
    <mergeCell ref="L8:L9"/>
    <mergeCell ref="M8:M9"/>
    <mergeCell ref="S8:S9"/>
    <mergeCell ref="O8:O9"/>
    <mergeCell ref="Q8:Q9"/>
    <mergeCell ref="I7:M7"/>
    <mergeCell ref="H7:H9"/>
    <mergeCell ref="T7:T9"/>
    <mergeCell ref="R8:R9"/>
    <mergeCell ref="P8:P9"/>
    <mergeCell ref="K8:K9"/>
    <mergeCell ref="C7:C9"/>
    <mergeCell ref="D7:D9"/>
    <mergeCell ref="E7:E9"/>
    <mergeCell ref="F7:F9"/>
    <mergeCell ref="G7:G9"/>
    <mergeCell ref="AH7:AI7"/>
    <mergeCell ref="AH8:AH10"/>
    <mergeCell ref="AI8:AI10"/>
    <mergeCell ref="S1:T1"/>
    <mergeCell ref="S2:T2"/>
    <mergeCell ref="S3:T3"/>
    <mergeCell ref="Y7:AC7"/>
    <mergeCell ref="AD7:AF7"/>
    <mergeCell ref="X7:X8"/>
  </mergeCells>
  <phoneticPr fontId="36" type="noConversion"/>
  <pageMargins left="0.7" right="0.7" top="0.75" bottom="0.75" header="0.3" footer="0.3"/>
  <pageSetup paperSize="9"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58"/>
  <sheetViews>
    <sheetView topLeftCell="A10" workbookViewId="0">
      <selection activeCell="A23" sqref="A23"/>
    </sheetView>
  </sheetViews>
  <sheetFormatPr baseColWidth="10" defaultRowHeight="15"/>
  <cols>
    <col min="1" max="1" width="72.140625" customWidth="1"/>
    <col min="2" max="3" width="18.28515625" bestFit="1" customWidth="1"/>
  </cols>
  <sheetData>
    <row r="1" spans="1:3" ht="31.5" customHeight="1">
      <c r="A1" s="1055" t="s">
        <v>1411</v>
      </c>
    </row>
    <row r="2" spans="1:3" ht="33" customHeight="1">
      <c r="A2" s="1654" t="s">
        <v>1389</v>
      </c>
    </row>
    <row r="3" spans="1:3" ht="25.5">
      <c r="A3" s="19" t="s">
        <v>988</v>
      </c>
    </row>
    <row r="4" spans="1:3" ht="25.5">
      <c r="A4" s="13" t="s">
        <v>1116</v>
      </c>
    </row>
    <row r="5" spans="1:3" ht="38.25">
      <c r="A5" s="13" t="s">
        <v>1168</v>
      </c>
    </row>
    <row r="6" spans="1:3" ht="25.5">
      <c r="A6" s="1701" t="s">
        <v>1390</v>
      </c>
    </row>
    <row r="7" spans="1:3" ht="25.5">
      <c r="A7" s="19" t="s">
        <v>993</v>
      </c>
    </row>
    <row r="8" spans="1:3" ht="25.5">
      <c r="A8" s="13" t="s">
        <v>1061</v>
      </c>
    </row>
    <row r="9" spans="1:3" ht="25.5">
      <c r="A9" s="1701" t="s">
        <v>1418</v>
      </c>
    </row>
    <row r="10" spans="1:3" ht="25.5">
      <c r="A10" s="16" t="s">
        <v>1065</v>
      </c>
    </row>
    <row r="11" spans="1:3" ht="25.5">
      <c r="A11" s="13" t="s">
        <v>1078</v>
      </c>
    </row>
    <row r="12" spans="1:3" ht="27.75" customHeight="1">
      <c r="A12" s="1703" t="s">
        <v>1393</v>
      </c>
    </row>
    <row r="13" spans="1:3" ht="15.75" thickBot="1">
      <c r="A13" s="866" t="s">
        <v>1082</v>
      </c>
    </row>
    <row r="14" spans="1:3" ht="15.75" thickBot="1">
      <c r="A14" s="477" t="s">
        <v>1083</v>
      </c>
      <c r="B14" t="s">
        <v>1413</v>
      </c>
      <c r="C14" t="s">
        <v>1415</v>
      </c>
    </row>
    <row r="15" spans="1:3" ht="15.75" thickBot="1">
      <c r="A15" s="872" t="s">
        <v>1120</v>
      </c>
    </row>
    <row r="16" spans="1:3" ht="15.75" thickBot="1">
      <c r="A16" s="280" t="s">
        <v>1412</v>
      </c>
      <c r="B16" t="s">
        <v>1414</v>
      </c>
      <c r="C16" t="s">
        <v>1415</v>
      </c>
    </row>
    <row r="17" spans="1:1" ht="23.25" customHeight="1">
      <c r="A17" s="1702" t="s">
        <v>1409</v>
      </c>
    </row>
    <row r="18" spans="1:1" ht="25.5">
      <c r="A18" s="16" t="s">
        <v>1046</v>
      </c>
    </row>
    <row r="19" spans="1:1" ht="25.5">
      <c r="A19" s="13" t="s">
        <v>1047</v>
      </c>
    </row>
    <row r="20" spans="1:1" ht="25.5">
      <c r="A20" s="19" t="s">
        <v>1069</v>
      </c>
    </row>
    <row r="21" spans="1:1" ht="25.5">
      <c r="A21" s="13" t="s">
        <v>1074</v>
      </c>
    </row>
    <row r="22" spans="1:1" ht="25.5">
      <c r="A22" s="1701" t="s">
        <v>1410</v>
      </c>
    </row>
    <row r="23" spans="1:1" ht="38.25">
      <c r="A23" s="19" t="s">
        <v>1034</v>
      </c>
    </row>
    <row r="24" spans="1:1">
      <c r="A24" s="1704" t="s">
        <v>1035</v>
      </c>
    </row>
    <row r="25" spans="1:1">
      <c r="A25" s="16" t="s">
        <v>1038</v>
      </c>
    </row>
    <row r="26" spans="1:1" ht="25.5">
      <c r="A26" s="13" t="s">
        <v>1039</v>
      </c>
    </row>
    <row r="27" spans="1:1" ht="25.5">
      <c r="A27" s="19" t="s">
        <v>1040</v>
      </c>
    </row>
    <row r="28" spans="1:1" ht="25.5">
      <c r="A28" s="13" t="s">
        <v>1041</v>
      </c>
    </row>
    <row r="29" spans="1:1">
      <c r="A29" s="16" t="s">
        <v>1417</v>
      </c>
    </row>
    <row r="30" spans="1:1">
      <c r="A30" s="13" t="s">
        <v>1043</v>
      </c>
    </row>
    <row r="31" spans="1:1" ht="25.5">
      <c r="A31" s="1701" t="s">
        <v>1398</v>
      </c>
    </row>
    <row r="32" spans="1:1" ht="25.5">
      <c r="A32" s="16" t="s">
        <v>981</v>
      </c>
    </row>
    <row r="33" spans="1:3">
      <c r="A33" s="13" t="s">
        <v>985</v>
      </c>
    </row>
    <row r="34" spans="1:3">
      <c r="A34" s="1701" t="s">
        <v>1400</v>
      </c>
    </row>
    <row r="35" spans="1:3" ht="38.25">
      <c r="A35" s="19" t="s">
        <v>975</v>
      </c>
    </row>
    <row r="36" spans="1:3" ht="25.5">
      <c r="A36" s="1704" t="s">
        <v>1181</v>
      </c>
    </row>
    <row r="37" spans="1:3" ht="25.5">
      <c r="A37" s="1701" t="s">
        <v>1405</v>
      </c>
    </row>
    <row r="38" spans="1:3">
      <c r="A38" s="894" t="s">
        <v>1013</v>
      </c>
    </row>
    <row r="39" spans="1:3" ht="28.5">
      <c r="A39" s="1720" t="s">
        <v>1010</v>
      </c>
    </row>
    <row r="41" spans="1:3">
      <c r="A41" t="s">
        <v>1424</v>
      </c>
    </row>
    <row r="42" spans="1:3">
      <c r="A42">
        <v>320101</v>
      </c>
      <c r="B42" s="176">
        <f>+'ACCIONES 320101'!O28+'ACCIONES 320101'!O29</f>
        <v>111713718.945134</v>
      </c>
      <c r="C42" s="176">
        <f>+'ACCIONES 320101'!O28</f>
        <v>36369940</v>
      </c>
    </row>
    <row r="43" spans="1:3">
      <c r="A43">
        <v>320102</v>
      </c>
      <c r="B43" s="176">
        <f>+'ACCIONES 320102'!N30+'ACCIONES 320102'!N31</f>
        <v>111713718.945134</v>
      </c>
      <c r="C43" s="176">
        <f>+'ACCIONES 320102'!N30</f>
        <v>36369940</v>
      </c>
    </row>
    <row r="44" spans="1:3">
      <c r="A44">
        <v>320201</v>
      </c>
      <c r="B44" s="176">
        <f>+'ACCIONES 320201'!R83+'ACCIONES 320201'!R84</f>
        <v>111713718.945134</v>
      </c>
      <c r="C44" s="176">
        <f>+'ACCIONES 320201'!R83</f>
        <v>48447159</v>
      </c>
    </row>
    <row r="45" spans="1:3">
      <c r="A45">
        <v>320202</v>
      </c>
      <c r="B45" s="176">
        <f>+'ACCIONES 320202'!K25+'ACCIONES 320202'!K26</f>
        <v>76966475.907377705</v>
      </c>
      <c r="C45" s="176">
        <f>+'ACCIONES 320202'!K25</f>
        <v>21781070</v>
      </c>
    </row>
    <row r="46" spans="1:3">
      <c r="A46">
        <v>320301</v>
      </c>
      <c r="B46" s="176">
        <f>+'ACCIONES 320301'!R66+'ACCIONES 320301'!R67</f>
        <v>133162476.111065</v>
      </c>
      <c r="C46" s="176">
        <f>+'ACCIONES 320301'!R66</f>
        <v>24799393.324987195</v>
      </c>
    </row>
    <row r="47" spans="1:3">
      <c r="A47">
        <v>320302</v>
      </c>
      <c r="B47" s="176">
        <f>+'ACCIONES 320302'!P26+'ACCIONES 320302'!P27</f>
        <v>188680195</v>
      </c>
      <c r="C47" s="176">
        <f>+'ACCIONES 320302'!P26</f>
        <v>67088841</v>
      </c>
    </row>
    <row r="48" spans="1:3">
      <c r="A48">
        <v>320303</v>
      </c>
      <c r="B48" s="176">
        <f>+'ACCIONES 320303'!P14+'ACCIONES 320303'!P15</f>
        <v>133162476.111065</v>
      </c>
      <c r="C48" s="176">
        <f>+'ACCIONES 320303'!P14</f>
        <v>51202921</v>
      </c>
    </row>
    <row r="49" spans="1:3">
      <c r="A49">
        <v>320401</v>
      </c>
      <c r="B49" s="176"/>
      <c r="C49" s="176"/>
    </row>
    <row r="50" spans="1:3">
      <c r="A50">
        <v>320501</v>
      </c>
      <c r="B50" s="176">
        <f>+'ACCIONES 320501'!N22+'ACCIONES 320501'!N23</f>
        <v>111713718.945134</v>
      </c>
      <c r="C50" s="176">
        <f>+'ACCIONES 320501'!N22</f>
        <v>36369940</v>
      </c>
    </row>
    <row r="51" spans="1:3">
      <c r="A51">
        <v>320502</v>
      </c>
      <c r="B51" s="176">
        <f>+'ACCIONES 320502'!N30+'ACCIONES 320502'!N31</f>
        <v>111713719</v>
      </c>
      <c r="C51" s="176">
        <f>+'ACCIONES 320502'!N30</f>
        <v>20804903.457022648</v>
      </c>
    </row>
    <row r="52" spans="1:3">
      <c r="A52">
        <v>320503</v>
      </c>
      <c r="B52" s="176">
        <f>+'ACCIONES 320503'!N18+'ACCIONES 320503'!N19</f>
        <v>157146830.548507</v>
      </c>
      <c r="C52" s="176">
        <f>+'ACCIONES 320503'!N18</f>
        <v>19304341</v>
      </c>
    </row>
    <row r="53" spans="1:3">
      <c r="A53">
        <v>320601</v>
      </c>
      <c r="B53" s="176"/>
      <c r="C53" s="176"/>
    </row>
    <row r="54" spans="1:3">
      <c r="A54">
        <v>320801</v>
      </c>
      <c r="B54" s="176">
        <f>+'ACCIONES 320801'!O29+'ACCIONES 320801'!O30</f>
        <v>111713718.945134</v>
      </c>
      <c r="C54" s="176">
        <f>+'ACCIONES 320801'!O29</f>
        <v>39138223</v>
      </c>
    </row>
    <row r="55" spans="1:3">
      <c r="A55">
        <v>329901</v>
      </c>
      <c r="B55" s="176">
        <f>+'ACCIONES 329901'!U21+'ACCIONES 329901'!U22+'ACCIONES 329901'!U41+'ACCIONES 329901'!U42+'ACCIONES 329901'!U78+'ACCIONES 329901'!U79</f>
        <v>365119449.54697323</v>
      </c>
      <c r="C55" s="176">
        <f>+'ACCIONES 329901'!U78+'ACCIONES 329901'!U41+'ACCIONES 329901'!U21</f>
        <v>112123990</v>
      </c>
    </row>
    <row r="56" spans="1:3">
      <c r="A56">
        <v>329902</v>
      </c>
      <c r="B56" s="176">
        <f>+'ACCIONES 329902'!T164+'ACCIONES 329902'!T165+'ACCIONES 329902'!T212+'ACCIONES 329902'!T213+'ACCIONES 329902'!T247+'ACCIONES 329902'!T248+'ACCIONES 329902'!T295+'ACCIONES 329902'!T296</f>
        <v>2575994999</v>
      </c>
      <c r="C56" s="176">
        <f>+'ACCIONES 329902'!T164+'ACCIONES 329902'!T212+'ACCIONES 329902'!T247+'ACCIONES 329902'!T295</f>
        <v>802330802.21799004</v>
      </c>
    </row>
    <row r="57" spans="1:3">
      <c r="B57" s="176"/>
      <c r="C57" s="176"/>
    </row>
    <row r="58" spans="1:3">
      <c r="B58" s="176">
        <f>SUM(B42:B57)</f>
        <v>4300515215.9506578</v>
      </c>
      <c r="C58" s="176">
        <f>SUM(C42:C57)</f>
        <v>1316131464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vt:i4>
      </vt:variant>
    </vt:vector>
  </HeadingPairs>
  <TitlesOfParts>
    <vt:vector size="41" baseType="lpstr">
      <vt:lpstr>1. Estructuras PAI</vt:lpstr>
      <vt:lpstr>2. FUENTES</vt:lpstr>
      <vt:lpstr>3. PPTOS INICIALES</vt:lpstr>
      <vt:lpstr>4. NOMINA</vt:lpstr>
      <vt:lpstr>5. MATRIZ INIDICA. </vt:lpstr>
      <vt:lpstr>6. RESOLUCIONES PAC 2020-2023</vt:lpstr>
      <vt:lpstr>7. COMP.INDIC</vt:lpstr>
      <vt:lpstr>RESUMEN PAC</vt:lpstr>
      <vt:lpstr>CONSOLIDADO</vt:lpstr>
      <vt:lpstr>320101</vt:lpstr>
      <vt:lpstr>ACCIONES 320101</vt:lpstr>
      <vt:lpstr>320102</vt:lpstr>
      <vt:lpstr>ACCIONES 320102</vt:lpstr>
      <vt:lpstr>320201</vt:lpstr>
      <vt:lpstr>ACCIONES 320201</vt:lpstr>
      <vt:lpstr>320202</vt:lpstr>
      <vt:lpstr>ACCIONES 320202</vt:lpstr>
      <vt:lpstr>320301</vt:lpstr>
      <vt:lpstr>ACCIONES 320301</vt:lpstr>
      <vt:lpstr>320302</vt:lpstr>
      <vt:lpstr>ACCIONES 320302</vt:lpstr>
      <vt:lpstr>320303</vt:lpstr>
      <vt:lpstr>ACCIONES 320303</vt:lpstr>
      <vt:lpstr>320401</vt:lpstr>
      <vt:lpstr>ACCIONES 320401</vt:lpstr>
      <vt:lpstr>320501</vt:lpstr>
      <vt:lpstr>ACCIONES 320501</vt:lpstr>
      <vt:lpstr>320502</vt:lpstr>
      <vt:lpstr>ACCIONES 320502</vt:lpstr>
      <vt:lpstr>320503</vt:lpstr>
      <vt:lpstr>ACCIONES 320503</vt:lpstr>
      <vt:lpstr>320601</vt:lpstr>
      <vt:lpstr>ACCIONES 320601</vt:lpstr>
      <vt:lpstr>320801</vt:lpstr>
      <vt:lpstr>ACCIONES 320801</vt:lpstr>
      <vt:lpstr>329901</vt:lpstr>
      <vt:lpstr>ACCIONES 329901</vt:lpstr>
      <vt:lpstr>329902</vt:lpstr>
      <vt:lpstr>ACCIONES 329902</vt:lpstr>
      <vt:lpstr>ACTIVIDADES QUE NO TIENEN META</vt:lpstr>
      <vt:lpstr>'ACCIONES 320601'!Área_de_impresión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GI-113</dc:creator>
  <cp:lastModifiedBy>Leidy Lorena Montes Cabrera</cp:lastModifiedBy>
  <cp:lastPrinted>2024-05-15T20:07:04Z</cp:lastPrinted>
  <dcterms:created xsi:type="dcterms:W3CDTF">2020-06-12T14:15:38Z</dcterms:created>
  <dcterms:modified xsi:type="dcterms:W3CDTF">2024-06-19T20:26:45Z</dcterms:modified>
</cp:coreProperties>
</file>