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AM\MATRIZ DE SEGUIMIENTO\"/>
    </mc:Choice>
  </mc:AlternateContent>
  <bookViews>
    <workbookView xWindow="0" yWindow="0" windowWidth="23970" windowHeight="9000"/>
  </bookViews>
  <sheets>
    <sheet name="EVAL PGAR" sheetId="1" r:id="rId1"/>
  </sheets>
  <definedNames>
    <definedName name="_xlnm.Print_Area" localSheetId="0">'EVAL PGAR'!$A$3:$X$79</definedName>
    <definedName name="_xlnm.Print_Titles" localSheetId="0">'EVAL PGAR'!$3:$3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1" l="1"/>
  <c r="S53" i="1"/>
  <c r="R53" i="1"/>
  <c r="S61" i="1" l="1"/>
  <c r="T61" i="1" s="1"/>
  <c r="J10" i="1"/>
  <c r="N10" i="1" l="1"/>
  <c r="L10" i="1"/>
  <c r="S19" i="1"/>
  <c r="U72" i="1" l="1"/>
  <c r="U59" i="1"/>
  <c r="U60" i="1"/>
  <c r="U56" i="1"/>
  <c r="U55" i="1"/>
  <c r="U52" i="1"/>
  <c r="U45" i="1" l="1"/>
  <c r="U43" i="1"/>
  <c r="U42" i="1"/>
  <c r="U41" i="1"/>
  <c r="U40" i="1"/>
  <c r="W80" i="1"/>
  <c r="U76" i="1"/>
  <c r="Q67" i="1"/>
  <c r="O67" i="1"/>
  <c r="M67" i="1"/>
  <c r="K67" i="1"/>
  <c r="I67" i="1"/>
  <c r="U64" i="1"/>
  <c r="U63" i="1"/>
  <c r="U62" i="1"/>
  <c r="I60" i="1"/>
  <c r="T5" i="1"/>
  <c r="U9" i="1"/>
  <c r="V5" i="1"/>
  <c r="U37" i="1"/>
  <c r="U25" i="1"/>
  <c r="V20" i="1"/>
  <c r="U8" i="1"/>
  <c r="V8" i="1" s="1"/>
  <c r="U16" i="1"/>
  <c r="U7" i="1"/>
  <c r="V6" i="1"/>
  <c r="V7" i="1"/>
  <c r="V10" i="1"/>
  <c r="V11" i="1"/>
  <c r="V12" i="1"/>
  <c r="V13" i="1"/>
  <c r="V19" i="1"/>
  <c r="V24" i="1"/>
  <c r="V31" i="1"/>
  <c r="V36" i="1"/>
  <c r="K59" i="1"/>
  <c r="K26" i="1" l="1"/>
  <c r="R38" i="1" l="1"/>
  <c r="R80" i="1"/>
  <c r="S73" i="1"/>
  <c r="S72" i="1"/>
  <c r="S32" i="1"/>
  <c r="S33" i="1"/>
  <c r="S34" i="1"/>
  <c r="S35" i="1"/>
  <c r="S25" i="1"/>
  <c r="S22" i="1"/>
  <c r="S21" i="1"/>
  <c r="S20" i="1"/>
  <c r="S80" i="1" l="1"/>
  <c r="T80" i="1" s="1"/>
  <c r="R81" i="1"/>
  <c r="J42" i="1"/>
  <c r="H42" i="1"/>
  <c r="T73" i="1" l="1"/>
  <c r="S74" i="1"/>
  <c r="S75" i="1"/>
  <c r="T75" i="1" s="1"/>
  <c r="S76" i="1"/>
  <c r="T76" i="1" s="1"/>
  <c r="S77" i="1"/>
  <c r="T77" i="1" s="1"/>
  <c r="S78" i="1"/>
  <c r="S79" i="1"/>
  <c r="T79" i="1" s="1"/>
  <c r="T72" i="1"/>
  <c r="S56" i="1"/>
  <c r="T56" i="1" s="1"/>
  <c r="S57" i="1"/>
  <c r="T59" i="1"/>
  <c r="S60" i="1"/>
  <c r="T60" i="1" s="1"/>
  <c r="S63" i="1"/>
  <c r="T63" i="1" s="1"/>
  <c r="S64" i="1"/>
  <c r="T64" i="1" s="1"/>
  <c r="S65" i="1"/>
  <c r="T65" i="1" s="1"/>
  <c r="S66" i="1"/>
  <c r="T66" i="1" s="1"/>
  <c r="S67" i="1"/>
  <c r="T67" i="1" s="1"/>
  <c r="S68" i="1"/>
  <c r="T68" i="1" s="1"/>
  <c r="S69" i="1"/>
  <c r="T69" i="1" s="1"/>
  <c r="S42" i="1"/>
  <c r="T42" i="1" s="1"/>
  <c r="S45" i="1"/>
  <c r="T45" i="1" s="1"/>
  <c r="S46" i="1"/>
  <c r="T46" i="1" s="1"/>
  <c r="S47" i="1"/>
  <c r="T47" i="1" s="1"/>
  <c r="S48" i="1"/>
  <c r="T48" i="1" s="1"/>
  <c r="S50" i="1"/>
  <c r="T50" i="1" s="1"/>
  <c r="S52" i="1"/>
  <c r="T52" i="1" s="1"/>
  <c r="T25" i="1"/>
  <c r="S29" i="1"/>
  <c r="S36" i="1"/>
  <c r="T36" i="1" s="1"/>
  <c r="S16" i="1"/>
  <c r="T16" i="1" s="1"/>
  <c r="S8" i="1"/>
  <c r="T8" i="1" s="1"/>
  <c r="S11" i="1"/>
  <c r="T11" i="1" s="1"/>
  <c r="S12" i="1"/>
  <c r="T12" i="1" s="1"/>
  <c r="S13" i="1"/>
  <c r="T13" i="1" s="1"/>
  <c r="S5" i="1"/>
  <c r="P80" i="1"/>
  <c r="N80" i="1"/>
  <c r="L80" i="1"/>
  <c r="J80" i="1"/>
  <c r="H80" i="1"/>
  <c r="E80" i="1"/>
  <c r="L70" i="1"/>
  <c r="N70" i="1"/>
  <c r="P70" i="1"/>
  <c r="S70" i="1" s="1"/>
  <c r="T70" i="1" s="1"/>
  <c r="P53" i="1"/>
  <c r="N53" i="1"/>
  <c r="L53" i="1"/>
  <c r="H62" i="1" l="1"/>
  <c r="S62" i="1" s="1"/>
  <c r="T62" i="1" s="1"/>
  <c r="H58" i="1" l="1"/>
  <c r="J58" i="1"/>
  <c r="J70" i="1" s="1"/>
  <c r="S58" i="1" l="1"/>
  <c r="T58" i="1" s="1"/>
  <c r="H55" i="1"/>
  <c r="H70" i="1" l="1"/>
  <c r="S55" i="1"/>
  <c r="T55" i="1" s="1"/>
  <c r="J53" i="1"/>
  <c r="L38" i="1" l="1"/>
  <c r="L81" i="1" s="1"/>
  <c r="P38" i="1"/>
  <c r="N38" i="1"/>
  <c r="N81" i="1" s="1"/>
  <c r="P81" i="1" l="1"/>
  <c r="S38" i="1"/>
  <c r="J23" i="1"/>
  <c r="S23" i="1" s="1"/>
  <c r="T20" i="1" s="1"/>
  <c r="J38" i="1" l="1"/>
  <c r="J81" i="1" s="1"/>
  <c r="G64" i="1"/>
  <c r="H51" i="1"/>
  <c r="S51" i="1" s="1"/>
  <c r="T51" i="1" s="1"/>
  <c r="H49" i="1"/>
  <c r="S49" i="1" s="1"/>
  <c r="T49" i="1" s="1"/>
  <c r="H44" i="1"/>
  <c r="H43" i="1"/>
  <c r="S43" i="1" s="1"/>
  <c r="T43" i="1" s="1"/>
  <c r="H40" i="1"/>
  <c r="S40" i="1" s="1"/>
  <c r="T40" i="1" s="1"/>
  <c r="S41" i="1"/>
  <c r="T41" i="1" s="1"/>
  <c r="S37" i="1"/>
  <c r="T37" i="1" s="1"/>
  <c r="H24" i="1"/>
  <c r="S24" i="1" s="1"/>
  <c r="T24" i="1" s="1"/>
  <c r="H31" i="1"/>
  <c r="S31" i="1" s="1"/>
  <c r="T31" i="1" s="1"/>
  <c r="H26" i="1"/>
  <c r="S26" i="1" s="1"/>
  <c r="T26" i="1" s="1"/>
  <c r="H19" i="1"/>
  <c r="H9" i="1"/>
  <c r="S9" i="1" s="1"/>
  <c r="T9" i="1" s="1"/>
  <c r="H7" i="1"/>
  <c r="S7" i="1" s="1"/>
  <c r="T7" i="1" s="1"/>
  <c r="H6" i="1"/>
  <c r="H17" i="1"/>
  <c r="S17" i="1" s="1"/>
  <c r="T17" i="1" s="1"/>
  <c r="S10" i="1"/>
  <c r="T10" i="1" s="1"/>
  <c r="E70" i="1"/>
  <c r="E53" i="1"/>
  <c r="E38" i="1"/>
  <c r="T19" i="1" l="1"/>
  <c r="S44" i="1"/>
  <c r="T44" i="1" s="1"/>
  <c r="H38" i="1"/>
  <c r="T38" i="1" s="1"/>
  <c r="S6" i="1"/>
  <c r="T6" i="1" s="1"/>
  <c r="E81" i="1"/>
  <c r="H53" i="1"/>
  <c r="T53" i="1" s="1"/>
  <c r="V66" i="1"/>
  <c r="V58" i="1"/>
  <c r="H81" i="1" l="1"/>
  <c r="S81" i="1" l="1"/>
  <c r="T81" i="1" s="1"/>
</calcChain>
</file>

<file path=xl/comments1.xml><?xml version="1.0" encoding="utf-8"?>
<comments xmlns="http://schemas.openxmlformats.org/spreadsheetml/2006/main">
  <authors>
    <author>indira Burbano Montenegro</author>
    <author>User</author>
  </authors>
  <commentList>
    <comment ref="H5" authorId="0" shapeId="0">
      <text>
        <r>
          <rPr>
            <b/>
            <sz val="9"/>
            <color indexed="81"/>
            <rFont val="Tahoma"/>
            <family val="2"/>
          </rPr>
          <t xml:space="preserve">indira Burbano Montenegro </t>
        </r>
        <r>
          <rPr>
            <sz val="9"/>
            <color indexed="81"/>
            <rFont val="Tahoma"/>
            <family val="2"/>
          </rPr>
          <t>Se sumaron en indicador de asesoría a municipios sobre POT, pues incluye el seguimiento a los mismos</t>
        </r>
      </text>
    </comment>
    <comment ref="J5" authorId="0" shapeId="0">
      <text>
        <r>
          <rPr>
            <b/>
            <sz val="9"/>
            <color indexed="81"/>
            <rFont val="Tahoma"/>
            <family val="2"/>
          </rPr>
          <t>indira Burbano Montenegro:</t>
        </r>
        <r>
          <rPr>
            <sz val="9"/>
            <color indexed="81"/>
            <rFont val="Tahoma"/>
            <family val="2"/>
          </rPr>
          <t xml:space="preserve">
Recursos señalados en indicador sobre municipios asesorados en POT</t>
        </r>
      </text>
    </comment>
    <comment ref="L5" authorId="0" shapeId="0">
      <text>
        <r>
          <rPr>
            <b/>
            <sz val="9"/>
            <color indexed="81"/>
            <rFont val="Tahoma"/>
            <family val="2"/>
          </rPr>
          <t>indira Burbano Montenegro:</t>
        </r>
        <r>
          <rPr>
            <sz val="9"/>
            <color indexed="81"/>
            <rFont val="Tahoma"/>
            <family val="2"/>
          </rPr>
          <t xml:space="preserve">
Recursos señalados en indicador sobre municipios asesorados en POT</t>
        </r>
      </text>
    </comment>
    <comment ref="N5" authorId="0" shapeId="0">
      <text>
        <r>
          <rPr>
            <b/>
            <sz val="9"/>
            <color indexed="81"/>
            <rFont val="Tahoma"/>
            <family val="2"/>
          </rPr>
          <t>indira Burbano Montenegro:</t>
        </r>
        <r>
          <rPr>
            <sz val="9"/>
            <color indexed="81"/>
            <rFont val="Tahoma"/>
            <family val="2"/>
          </rPr>
          <t xml:space="preserve">
Recursos señalados en indicador sobre municipios asesorados en POT</t>
        </r>
      </text>
    </comment>
    <comment ref="P5" authorId="0" shapeId="0">
      <text>
        <r>
          <rPr>
            <b/>
            <sz val="9"/>
            <color indexed="81"/>
            <rFont val="Tahoma"/>
            <family val="2"/>
          </rPr>
          <t>indira Burbano Montenegro:</t>
        </r>
        <r>
          <rPr>
            <sz val="9"/>
            <color indexed="81"/>
            <rFont val="Tahoma"/>
            <family val="2"/>
          </rPr>
          <t xml:space="preserve">
Recursos señalados en indicador sobre municipios asesorados en POT</t>
        </r>
      </text>
    </comment>
    <comment ref="R5" authorId="0" shapeId="0">
      <text>
        <r>
          <rPr>
            <b/>
            <sz val="9"/>
            <color indexed="81"/>
            <rFont val="Tahoma"/>
            <family val="2"/>
          </rPr>
          <t>indira Burbano Montenegro:</t>
        </r>
        <r>
          <rPr>
            <sz val="9"/>
            <color indexed="81"/>
            <rFont val="Tahoma"/>
            <family val="2"/>
          </rPr>
          <t xml:space="preserve">
Recursos señalados en indicador sobre municipios asesorados en POT</t>
        </r>
      </text>
    </comment>
    <comment ref="H6" authorId="0" shapeId="0">
      <text>
        <r>
          <rPr>
            <b/>
            <sz val="9"/>
            <color indexed="81"/>
            <rFont val="Tahoma"/>
            <family val="2"/>
          </rPr>
          <t>indira Burbano Montenegro:</t>
        </r>
        <r>
          <rPr>
            <sz val="9"/>
            <color indexed="81"/>
            <rFont val="Tahoma"/>
            <family val="2"/>
          </rPr>
          <t xml:space="preserve">
Se asesoró  través de sus participación en consejos municipales de gestión del riesgo. Se asesoró igualmente al departamento del Huila</t>
        </r>
      </text>
    </comment>
    <comment ref="J6" authorId="0" shapeId="0">
      <text>
        <r>
          <rPr>
            <b/>
            <sz val="9"/>
            <color indexed="81"/>
            <rFont val="Tahoma"/>
            <family val="2"/>
          </rPr>
          <t>indira Burbano Montenegro:</t>
        </r>
        <r>
          <rPr>
            <sz val="9"/>
            <color indexed="81"/>
            <rFont val="Tahoma"/>
            <family val="2"/>
          </rPr>
          <t xml:space="preserve">
Se asesoró a través de la participación en comités incluye prevención de incendios forestales</t>
        </r>
      </text>
    </comment>
    <comment ref="L6" authorId="0" shapeId="0">
      <text>
        <r>
          <rPr>
            <b/>
            <sz val="9"/>
            <color indexed="81"/>
            <rFont val="Tahoma"/>
            <family val="2"/>
          </rPr>
          <t>indira Burbano Montenegro:</t>
        </r>
        <r>
          <rPr>
            <sz val="9"/>
            <color indexed="81"/>
            <rFont val="Tahoma"/>
            <family val="2"/>
          </rPr>
          <t xml:space="preserve">
Recursos involucrados en siguiente indicador</t>
        </r>
      </text>
    </comment>
    <comment ref="N6" authorId="0" shapeId="0">
      <text>
        <r>
          <rPr>
            <b/>
            <sz val="9"/>
            <color indexed="81"/>
            <rFont val="Tahoma"/>
            <family val="2"/>
          </rPr>
          <t>indira Burbano Montenegro:</t>
        </r>
        <r>
          <rPr>
            <sz val="9"/>
            <color indexed="81"/>
            <rFont val="Tahoma"/>
            <family val="2"/>
          </rPr>
          <t xml:space="preserve">
Recursos involucrados en siguiente indicador</t>
        </r>
      </text>
    </comment>
    <comment ref="P6" authorId="0" shapeId="0">
      <text>
        <r>
          <rPr>
            <b/>
            <sz val="9"/>
            <color indexed="81"/>
            <rFont val="Tahoma"/>
            <family val="2"/>
          </rPr>
          <t>indira Burbano Montenegro:</t>
        </r>
        <r>
          <rPr>
            <sz val="9"/>
            <color indexed="81"/>
            <rFont val="Tahoma"/>
            <family val="2"/>
          </rPr>
          <t xml:space="preserve">
Recursos involucrados en siguiente indicador</t>
        </r>
      </text>
    </comment>
    <comment ref="R6" authorId="0" shapeId="0">
      <text>
        <r>
          <rPr>
            <b/>
            <sz val="9"/>
            <color indexed="81"/>
            <rFont val="Tahoma"/>
            <family val="2"/>
          </rPr>
          <t>indira Burbano Montenegro:</t>
        </r>
        <r>
          <rPr>
            <sz val="9"/>
            <color indexed="81"/>
            <rFont val="Tahoma"/>
            <family val="2"/>
          </rPr>
          <t xml:space="preserve">
Recursos involucrados en siguiente indicador</t>
        </r>
      </text>
    </comment>
    <comment ref="G7" authorId="0" shapeId="0">
      <text>
        <r>
          <rPr>
            <b/>
            <sz val="9"/>
            <color indexed="81"/>
            <rFont val="Tahoma"/>
            <family val="2"/>
          </rPr>
          <t>indira Burbano Montenegro:</t>
        </r>
        <r>
          <rPr>
            <sz val="9"/>
            <color indexed="81"/>
            <rFont val="Tahoma"/>
            <family val="2"/>
          </rPr>
          <t xml:space="preserve">
En los informes se habla de 8 estudios, puesto que sobre Neiva se hicieron 6 y en Pitalito. Como el indicador está en función de municipios, se escribió 2.</t>
        </r>
      </text>
    </comment>
    <comment ref="L7" authorId="0" shapeId="0">
      <text>
        <r>
          <rPr>
            <b/>
            <sz val="9"/>
            <color indexed="81"/>
            <rFont val="Tahoma"/>
            <family val="2"/>
          </rPr>
          <t>indira Burbano Montenegro:</t>
        </r>
        <r>
          <rPr>
            <sz val="9"/>
            <color indexed="81"/>
            <rFont val="Tahoma"/>
            <family val="2"/>
          </rPr>
          <t xml:space="preserve">
Contrato celebrado cuya ejecución terminó en la siguiente vigencia</t>
        </r>
      </text>
    </comment>
    <comment ref="Q7" authorId="0" shapeId="0">
      <text>
        <r>
          <rPr>
            <b/>
            <sz val="9"/>
            <color indexed="81"/>
            <rFont val="Tahoma"/>
            <family val="2"/>
          </rPr>
          <t>indira Burbano Montenegro:</t>
        </r>
        <r>
          <rPr>
            <sz val="9"/>
            <color indexed="81"/>
            <rFont val="Tahoma"/>
            <family val="2"/>
          </rPr>
          <t xml:space="preserve">
Yaguará y Saladoblanco</t>
        </r>
      </text>
    </comment>
    <comment ref="H8" authorId="0" shapeId="0">
      <text>
        <r>
          <rPr>
            <b/>
            <sz val="9"/>
            <color indexed="81"/>
            <rFont val="Tahoma"/>
            <family val="2"/>
          </rPr>
          <t>indira Burbano Montenegro:</t>
        </r>
        <r>
          <rPr>
            <sz val="9"/>
            <color indexed="81"/>
            <rFont val="Tahoma"/>
            <family val="2"/>
          </rPr>
          <t xml:space="preserve">
Las obras ejecutadas contaron previamente con sus estudios y diseños</t>
        </r>
      </text>
    </comment>
    <comment ref="I8" authorId="0" shapeId="0">
      <text>
        <r>
          <rPr>
            <b/>
            <sz val="9"/>
            <color indexed="81"/>
            <rFont val="Tahoma"/>
            <family val="2"/>
          </rPr>
          <t>indira Burbano Montenegro:</t>
        </r>
        <r>
          <rPr>
            <sz val="9"/>
            <color indexed="81"/>
            <rFont val="Tahoma"/>
            <family val="2"/>
          </rPr>
          <t xml:space="preserve">
acotamiento de rondas de fuentes hídricas</t>
        </r>
      </text>
    </comment>
    <comment ref="J8" authorId="0" shapeId="0">
      <text>
        <r>
          <rPr>
            <b/>
            <sz val="9"/>
            <color indexed="81"/>
            <rFont val="Tahoma"/>
            <family val="2"/>
          </rPr>
          <t>indira Burbano Montenegro:</t>
        </r>
        <r>
          <rPr>
            <sz val="9"/>
            <color indexed="81"/>
            <rFont val="Tahoma"/>
            <family val="2"/>
          </rPr>
          <t xml:space="preserve">
Acotamiento de rondas hídricas</t>
        </r>
      </text>
    </comment>
    <comment ref="L8" authorId="0" shapeId="0">
      <text>
        <r>
          <rPr>
            <b/>
            <sz val="9"/>
            <color indexed="81"/>
            <rFont val="Tahoma"/>
            <family val="2"/>
          </rPr>
          <t>indira Burbano Montenegro:</t>
        </r>
        <r>
          <rPr>
            <sz val="9"/>
            <color indexed="81"/>
            <rFont val="Tahoma"/>
            <family val="2"/>
          </rPr>
          <t xml:space="preserve">
Valor contenido en estudios AVR</t>
        </r>
      </text>
    </comment>
    <comment ref="N8" authorId="0" shapeId="0">
      <text>
        <r>
          <rPr>
            <b/>
            <sz val="9"/>
            <color indexed="81"/>
            <rFont val="Tahoma"/>
            <family val="2"/>
          </rPr>
          <t>indira Burbano Montenegro:</t>
        </r>
        <r>
          <rPr>
            <sz val="9"/>
            <color indexed="81"/>
            <rFont val="Tahoma"/>
            <family val="2"/>
          </rPr>
          <t xml:space="preserve">
Valor contenido en estudios AVR</t>
        </r>
      </text>
    </comment>
    <comment ref="R8" authorId="0" shapeId="0">
      <text>
        <r>
          <rPr>
            <b/>
            <sz val="9"/>
            <color indexed="81"/>
            <rFont val="Tahoma"/>
            <family val="2"/>
          </rPr>
          <t>indira Burbano Montenegro:</t>
        </r>
        <r>
          <rPr>
            <sz val="9"/>
            <color indexed="81"/>
            <rFont val="Tahoma"/>
            <family val="2"/>
          </rPr>
          <t xml:space="preserve">
Valor contenido en estudios AVR</t>
        </r>
      </text>
    </comment>
    <comment ref="M9" authorId="0" shapeId="0">
      <text>
        <r>
          <rPr>
            <b/>
            <sz val="9"/>
            <color indexed="81"/>
            <rFont val="Tahoma"/>
            <family val="2"/>
          </rPr>
          <t>indira Burbano Montenegro:</t>
        </r>
        <r>
          <rPr>
            <sz val="9"/>
            <color indexed="81"/>
            <rFont val="Tahoma"/>
            <family val="2"/>
          </rPr>
          <t xml:space="preserve">
Obras contratadas en 2021 sobre río Suaza</t>
        </r>
      </text>
    </comment>
    <comment ref="N9" authorId="0" shapeId="0">
      <text>
        <r>
          <rPr>
            <b/>
            <sz val="9"/>
            <color indexed="81"/>
            <rFont val="Tahoma"/>
            <family val="2"/>
          </rPr>
          <t>indira Burbano Montenegro:</t>
        </r>
        <r>
          <rPr>
            <sz val="9"/>
            <color indexed="81"/>
            <rFont val="Tahoma"/>
            <family val="2"/>
          </rPr>
          <t xml:space="preserve">
Incluye recursos proyecto vigencias expiradas Timaná</t>
        </r>
      </text>
    </comment>
    <comment ref="O9" authorId="0" shapeId="0">
      <text>
        <r>
          <rPr>
            <b/>
            <sz val="9"/>
            <color indexed="81"/>
            <rFont val="Tahoma"/>
            <family val="2"/>
          </rPr>
          <t>indira Burbano Montenegro:</t>
        </r>
        <r>
          <rPr>
            <sz val="9"/>
            <color indexed="81"/>
            <rFont val="Tahoma"/>
            <family val="2"/>
          </rPr>
          <t xml:space="preserve">
Obras sobre río Timana que viene desde 2019</t>
        </r>
      </text>
    </comment>
    <comment ref="P9" authorId="0" shapeId="0">
      <text>
        <r>
          <rPr>
            <b/>
            <sz val="9"/>
            <color indexed="81"/>
            <rFont val="Tahoma"/>
            <family val="2"/>
          </rPr>
          <t>indira Burbano Montenegro:</t>
        </r>
        <r>
          <rPr>
            <sz val="9"/>
            <color indexed="81"/>
            <rFont val="Tahoma"/>
            <family val="2"/>
          </rPr>
          <t xml:space="preserve">
Incluye recursos proyecto vigencias expiradas Timaná</t>
        </r>
      </text>
    </comment>
    <comment ref="Q9" authorId="0" shapeId="0">
      <text>
        <r>
          <rPr>
            <b/>
            <sz val="9"/>
            <color indexed="81"/>
            <rFont val="Tahoma"/>
            <family val="2"/>
          </rPr>
          <t>indira Burbano Montenegro:</t>
        </r>
        <r>
          <rPr>
            <sz val="9"/>
            <color indexed="81"/>
            <rFont val="Tahoma"/>
            <family val="2"/>
          </rPr>
          <t xml:space="preserve">
Obras complementarias río Timaná</t>
        </r>
      </text>
    </comment>
    <comment ref="L10" authorId="0" shapeId="0">
      <text>
        <r>
          <rPr>
            <b/>
            <sz val="9"/>
            <color indexed="81"/>
            <rFont val="Tahoma"/>
            <family val="2"/>
          </rPr>
          <t>indira Burbano Montenegro:</t>
        </r>
        <r>
          <rPr>
            <sz val="9"/>
            <color indexed="81"/>
            <rFont val="Tahoma"/>
            <family val="2"/>
          </rPr>
          <t xml:space="preserve">
Incluye asesoría POT en gestión del cambio climático</t>
        </r>
      </text>
    </comment>
    <comment ref="H11" authorId="0" shapeId="0">
      <text>
        <r>
          <rPr>
            <b/>
            <sz val="9"/>
            <color indexed="81"/>
            <rFont val="Tahoma"/>
            <family val="2"/>
          </rPr>
          <t>indira Burbano Montenegro:</t>
        </r>
        <r>
          <rPr>
            <sz val="9"/>
            <color indexed="81"/>
            <rFont val="Tahoma"/>
            <family val="2"/>
          </rPr>
          <t xml:space="preserve">
Se hizo con personal de planta</t>
        </r>
      </text>
    </comment>
    <comment ref="H16" authorId="0" shapeId="0">
      <text>
        <r>
          <rPr>
            <b/>
            <sz val="9"/>
            <color indexed="81"/>
            <rFont val="Tahoma"/>
            <family val="2"/>
          </rPr>
          <t>indira Burbano Montenegro:</t>
        </r>
        <r>
          <rPr>
            <sz val="9"/>
            <color indexed="81"/>
            <rFont val="Tahoma"/>
            <family val="2"/>
          </rPr>
          <t xml:space="preserve">
Se realizó con recursos asignados al siguiente indicador, puesto que en este plan de acción la planificación y gestión era una sola meta.</t>
        </r>
      </text>
    </comment>
    <comment ref="J16" authorId="0" shapeId="0">
      <text>
        <r>
          <rPr>
            <b/>
            <sz val="9"/>
            <color indexed="81"/>
            <rFont val="Tahoma"/>
            <family val="2"/>
          </rPr>
          <t>indira Burbano Montenegro:</t>
        </r>
        <r>
          <rPr>
            <sz val="9"/>
            <color indexed="81"/>
            <rFont val="Tahoma"/>
            <family val="2"/>
          </rPr>
          <t xml:space="preserve">
Recursos en siguiente indicador donde se contempla la planeación y gestión </t>
        </r>
      </text>
    </comment>
    <comment ref="I17" authorId="0" shapeId="0">
      <text>
        <r>
          <rPr>
            <b/>
            <sz val="9"/>
            <color indexed="81"/>
            <rFont val="Tahoma"/>
            <family val="2"/>
          </rPr>
          <t>indira Burbano Montenegro:</t>
        </r>
        <r>
          <rPr>
            <sz val="9"/>
            <color indexed="81"/>
            <rFont val="Tahoma"/>
            <family val="2"/>
          </rPr>
          <t xml:space="preserve">
comunidades indígenas - estufas ecoeficientes, educación ambiental, buenas prácticas agrícolas</t>
        </r>
      </text>
    </comment>
    <comment ref="L17" authorId="0" shapeId="0">
      <text>
        <r>
          <rPr>
            <b/>
            <sz val="9"/>
            <color indexed="81"/>
            <rFont val="Tahoma"/>
            <family val="2"/>
          </rPr>
          <t>indira Burbano Montenegro:</t>
        </r>
        <r>
          <rPr>
            <sz val="9"/>
            <color indexed="81"/>
            <rFont val="Tahoma"/>
            <family val="2"/>
          </rPr>
          <t xml:space="preserve">
Valor total del proyecto de comunidades étnicas</t>
        </r>
      </text>
    </comment>
    <comment ref="N17" authorId="0" shapeId="0">
      <text>
        <r>
          <rPr>
            <b/>
            <sz val="9"/>
            <color indexed="81"/>
            <rFont val="Tahoma"/>
            <family val="2"/>
          </rPr>
          <t>indira Burbano Montenegro:</t>
        </r>
        <r>
          <rPr>
            <sz val="9"/>
            <color indexed="81"/>
            <rFont val="Tahoma"/>
            <family val="2"/>
          </rPr>
          <t xml:space="preserve">
Valor total del proyecto de comunidades étnicas</t>
        </r>
      </text>
    </comment>
    <comment ref="P17" authorId="0" shapeId="0">
      <text>
        <r>
          <rPr>
            <b/>
            <sz val="9"/>
            <color indexed="81"/>
            <rFont val="Tahoma"/>
            <family val="2"/>
          </rPr>
          <t>indira Burbano Montenegro:</t>
        </r>
        <r>
          <rPr>
            <sz val="9"/>
            <color indexed="81"/>
            <rFont val="Tahoma"/>
            <family val="2"/>
          </rPr>
          <t xml:space="preserve">
Valor total del proyecto de comunidades étnicas</t>
        </r>
      </text>
    </comment>
    <comment ref="R17" authorId="0" shapeId="0">
      <text>
        <r>
          <rPr>
            <b/>
            <sz val="9"/>
            <color indexed="81"/>
            <rFont val="Tahoma"/>
            <family val="2"/>
          </rPr>
          <t>indira Burbano Montenegro:</t>
        </r>
        <r>
          <rPr>
            <sz val="9"/>
            <color indexed="81"/>
            <rFont val="Tahoma"/>
            <family val="2"/>
          </rPr>
          <t xml:space="preserve">
Valor total del proyecto de comunidades étnicas</t>
        </r>
      </text>
    </comment>
    <comment ref="L19" authorId="0" shapeId="0">
      <text>
        <r>
          <rPr>
            <b/>
            <sz val="9"/>
            <color indexed="81"/>
            <rFont val="Tahoma"/>
            <family val="2"/>
          </rPr>
          <t>indira Burbano Montenegro:</t>
        </r>
        <r>
          <rPr>
            <sz val="9"/>
            <color indexed="81"/>
            <rFont val="Tahoma"/>
            <family val="2"/>
          </rPr>
          <t xml:space="preserve">
Valor total del proyecto de control y vigilancia al uso de RNR</t>
        </r>
      </text>
    </comment>
    <comment ref="N19" authorId="0" shapeId="0">
      <text>
        <r>
          <rPr>
            <b/>
            <sz val="9"/>
            <color indexed="81"/>
            <rFont val="Tahoma"/>
            <family val="2"/>
          </rPr>
          <t>indira Burbano Montenegro:</t>
        </r>
        <r>
          <rPr>
            <sz val="9"/>
            <color indexed="81"/>
            <rFont val="Tahoma"/>
            <family val="2"/>
          </rPr>
          <t xml:space="preserve">
Valor total del proyecto de control al uso de RNR</t>
        </r>
      </text>
    </comment>
    <comment ref="P19" authorId="0" shapeId="0">
      <text>
        <r>
          <rPr>
            <b/>
            <sz val="9"/>
            <color indexed="81"/>
            <rFont val="Tahoma"/>
            <family val="2"/>
          </rPr>
          <t>indira Burbano Montenegro:</t>
        </r>
        <r>
          <rPr>
            <sz val="9"/>
            <color indexed="81"/>
            <rFont val="Tahoma"/>
            <family val="2"/>
          </rPr>
          <t xml:space="preserve">
Valor total del proyecto de control al uso de RNR por ser un trabajo articulado entre red, estrategia contra la deforestación y fauna silvestre</t>
        </r>
      </text>
    </comment>
    <comment ref="R19" authorId="0" shapeId="0">
      <text>
        <r>
          <rPr>
            <b/>
            <sz val="9"/>
            <color indexed="81"/>
            <rFont val="Tahoma"/>
            <family val="2"/>
          </rPr>
          <t>indira Burbano Montenegro:</t>
        </r>
        <r>
          <rPr>
            <sz val="9"/>
            <color indexed="81"/>
            <rFont val="Tahoma"/>
            <family val="2"/>
          </rPr>
          <t xml:space="preserve">
Valor total del proyecto de control al uso de RNR por ser un trabajo articulado entre red, estrategia contra la deforestación y fauna silvestre</t>
        </r>
      </text>
    </comment>
    <comment ref="L20" authorId="0" shapeId="0">
      <text>
        <r>
          <rPr>
            <b/>
            <sz val="9"/>
            <color indexed="81"/>
            <rFont val="Tahoma"/>
            <family val="2"/>
          </rPr>
          <t>indira Burbano Montenegro:</t>
        </r>
        <r>
          <rPr>
            <sz val="9"/>
            <color indexed="81"/>
            <rFont val="Tahoma"/>
            <family val="2"/>
          </rPr>
          <t xml:space="preserve">
Recursos sumados en indicador de la fila 10</t>
        </r>
      </text>
    </comment>
    <comment ref="N20" authorId="0" shapeId="0">
      <text>
        <r>
          <rPr>
            <b/>
            <sz val="9"/>
            <color indexed="81"/>
            <rFont val="Tahoma"/>
            <family val="2"/>
          </rPr>
          <t>indira Burbano Montenegro:</t>
        </r>
        <r>
          <rPr>
            <sz val="9"/>
            <color indexed="81"/>
            <rFont val="Tahoma"/>
            <family val="2"/>
          </rPr>
          <t xml:space="preserve">
Recursos sumados en indicador de la fila 10</t>
        </r>
      </text>
    </comment>
    <comment ref="P20" authorId="0" shapeId="0">
      <text>
        <r>
          <rPr>
            <b/>
            <sz val="9"/>
            <color indexed="81"/>
            <rFont val="Tahoma"/>
            <family val="2"/>
          </rPr>
          <t>indira Burbano Montenegro:</t>
        </r>
        <r>
          <rPr>
            <sz val="9"/>
            <color indexed="81"/>
            <rFont val="Tahoma"/>
            <family val="2"/>
          </rPr>
          <t xml:space="preserve">
Recursos sumados en indicador de la fila 10</t>
        </r>
      </text>
    </comment>
    <comment ref="R20" authorId="0" shapeId="0">
      <text>
        <r>
          <rPr>
            <b/>
            <sz val="9"/>
            <color indexed="81"/>
            <rFont val="Tahoma"/>
            <family val="2"/>
          </rPr>
          <t>indira Burbano Montenegro:</t>
        </r>
        <r>
          <rPr>
            <sz val="9"/>
            <color indexed="81"/>
            <rFont val="Tahoma"/>
            <family val="2"/>
          </rPr>
          <t xml:space="preserve">
Recursos sumados en indicador de la fila 10</t>
        </r>
      </text>
    </comment>
    <comment ref="O21" authorId="1" shapeId="0">
      <text>
        <r>
          <rPr>
            <b/>
            <sz val="9"/>
            <color indexed="81"/>
            <rFont val="Tahoma"/>
            <family val="2"/>
          </rPr>
          <t>User:</t>
        </r>
        <r>
          <rPr>
            <sz val="9"/>
            <color indexed="81"/>
            <rFont val="Tahoma"/>
            <family val="2"/>
          </rPr>
          <t xml:space="preserve">
Permisos otorgados</t>
        </r>
      </text>
    </comment>
    <comment ref="R21" authorId="0" shapeId="0">
      <text>
        <r>
          <rPr>
            <b/>
            <sz val="9"/>
            <color indexed="81"/>
            <rFont val="Tahoma"/>
            <family val="2"/>
          </rPr>
          <t>indira Burbano Montenegro:</t>
        </r>
        <r>
          <rPr>
            <sz val="9"/>
            <color indexed="81"/>
            <rFont val="Tahoma"/>
            <family val="2"/>
          </rPr>
          <t xml:space="preserve">
De 2020-2023 incluye valor de indicador de permisos otorgados</t>
        </r>
      </text>
    </comment>
    <comment ref="G22" authorId="0" shapeId="0">
      <text>
        <r>
          <rPr>
            <b/>
            <sz val="9"/>
            <color indexed="81"/>
            <rFont val="Tahoma"/>
            <family val="2"/>
          </rPr>
          <t>indira Burbano Montenegro:</t>
        </r>
        <r>
          <rPr>
            <sz val="9"/>
            <color indexed="81"/>
            <rFont val="Tahoma"/>
            <family val="2"/>
          </rPr>
          <t xml:space="preserve">
proyectos piscícolas</t>
        </r>
      </text>
    </comment>
    <comment ref="I22" authorId="0" shapeId="0">
      <text>
        <r>
          <rPr>
            <b/>
            <sz val="9"/>
            <color indexed="81"/>
            <rFont val="Tahoma"/>
            <family val="2"/>
          </rPr>
          <t>indira Burbano Montenegro:</t>
        </r>
        <r>
          <rPr>
            <sz val="9"/>
            <color indexed="81"/>
            <rFont val="Tahoma"/>
            <family val="2"/>
          </rPr>
          <t xml:space="preserve">
visitas efectuadas en 328 corrientes hídricas</t>
        </r>
      </text>
    </comment>
    <comment ref="R22" authorId="0" shapeId="0">
      <text>
        <r>
          <rPr>
            <b/>
            <sz val="9"/>
            <color indexed="81"/>
            <rFont val="Tahoma"/>
            <family val="2"/>
          </rPr>
          <t>indira Burbano Montenegro:</t>
        </r>
        <r>
          <rPr>
            <sz val="9"/>
            <color indexed="81"/>
            <rFont val="Tahoma"/>
            <family val="2"/>
          </rPr>
          <t xml:space="preserve">
2020-20223 autorizaciones ambientales con seguimiento</t>
        </r>
      </text>
    </comment>
    <comment ref="G23" authorId="0" shapeId="0">
      <text>
        <r>
          <rPr>
            <b/>
            <sz val="9"/>
            <color indexed="81"/>
            <rFont val="Tahoma"/>
            <family val="2"/>
          </rPr>
          <t>indira Burbano Montenegro:</t>
        </r>
        <r>
          <rPr>
            <sz val="9"/>
            <color indexed="81"/>
            <rFont val="Tahoma"/>
            <family val="2"/>
          </rPr>
          <t xml:space="preserve">
quebrada Los Micos</t>
        </r>
      </text>
    </comment>
    <comment ref="J23" authorId="0" shapeId="0">
      <text>
        <r>
          <rPr>
            <b/>
            <sz val="9"/>
            <color indexed="81"/>
            <rFont val="Tahoma"/>
            <family val="2"/>
          </rPr>
          <t>indira Burbano Montenegro:</t>
        </r>
        <r>
          <rPr>
            <sz val="9"/>
            <color indexed="81"/>
            <rFont val="Tahoma"/>
            <family val="2"/>
          </rPr>
          <t xml:space="preserve">
Incluye PORH más valor asignada a indicador: corrientes reglamentadas</t>
        </r>
      </text>
    </comment>
    <comment ref="Q23" authorId="0" shapeId="0">
      <text>
        <r>
          <rPr>
            <b/>
            <sz val="9"/>
            <color indexed="81"/>
            <rFont val="Tahoma"/>
            <family val="2"/>
          </rPr>
          <t>indira Burbano Montenegro:</t>
        </r>
        <r>
          <rPr>
            <sz val="9"/>
            <color indexed="81"/>
            <rFont val="Tahoma"/>
            <family val="2"/>
          </rPr>
          <t xml:space="preserve">
Río Aipe</t>
        </r>
      </text>
    </comment>
    <comment ref="H26" authorId="0" shapeId="0">
      <text>
        <r>
          <rPr>
            <b/>
            <sz val="9"/>
            <color indexed="81"/>
            <rFont val="Tahoma"/>
            <family val="2"/>
          </rPr>
          <t>indira Burbano Montenegro:</t>
        </r>
        <r>
          <rPr>
            <sz val="9"/>
            <color indexed="81"/>
            <rFont val="Tahoma"/>
            <family val="2"/>
          </rPr>
          <t xml:space="preserve">
Corresponde a lo ejecutado en el proyecto de fortalecimiento institucional. Aplica para los tres indicadores relacionados con la meta.</t>
        </r>
      </text>
    </comment>
    <comment ref="J26" authorId="0" shapeId="0">
      <text>
        <r>
          <rPr>
            <b/>
            <sz val="9"/>
            <color indexed="81"/>
            <rFont val="Tahoma"/>
            <family val="2"/>
          </rPr>
          <t>indira Burbano Montenegro:</t>
        </r>
        <r>
          <rPr>
            <sz val="9"/>
            <color indexed="81"/>
            <rFont val="Tahoma"/>
            <family val="2"/>
          </rPr>
          <t xml:space="preserve">
Valor correspondiente al proyecto de fortalecimiento institucional menos lo asignado a actualización catastral</t>
        </r>
      </text>
    </comment>
    <comment ref="L26" authorId="0" shapeId="0">
      <text>
        <r>
          <rPr>
            <b/>
            <sz val="9"/>
            <color indexed="81"/>
            <rFont val="Tahoma"/>
            <family val="2"/>
          </rPr>
          <t>indira Burbano Montenegro:</t>
        </r>
        <r>
          <rPr>
            <sz val="9"/>
            <color indexed="81"/>
            <rFont val="Tahoma"/>
            <family val="2"/>
          </rPr>
          <t xml:space="preserve">
Corresponde al valor del proyecto de fortalecimiento institucional</t>
        </r>
      </text>
    </comment>
    <comment ref="N26" authorId="0" shapeId="0">
      <text>
        <r>
          <rPr>
            <b/>
            <sz val="9"/>
            <color indexed="81"/>
            <rFont val="Tahoma"/>
            <family val="2"/>
          </rPr>
          <t>indira Burbano Montenegro:</t>
        </r>
        <r>
          <rPr>
            <sz val="9"/>
            <color indexed="81"/>
            <rFont val="Tahoma"/>
            <family val="2"/>
          </rPr>
          <t xml:space="preserve">
Corresponde al valor del proyecto de fortalecimiento institucional</t>
        </r>
      </text>
    </comment>
    <comment ref="P26" authorId="0" shapeId="0">
      <text>
        <r>
          <rPr>
            <b/>
            <sz val="9"/>
            <color indexed="81"/>
            <rFont val="Tahoma"/>
            <family val="2"/>
          </rPr>
          <t>indira Burbano Montenegro:</t>
        </r>
        <r>
          <rPr>
            <sz val="9"/>
            <color indexed="81"/>
            <rFont val="Tahoma"/>
            <family val="2"/>
          </rPr>
          <t xml:space="preserve">
Corresponde al valor del proyecto de fortalecimiento institucional</t>
        </r>
      </text>
    </comment>
    <comment ref="Q26" authorId="0" shapeId="0">
      <text>
        <r>
          <rPr>
            <b/>
            <sz val="9"/>
            <color indexed="81"/>
            <rFont val="Tahoma"/>
            <family val="2"/>
          </rPr>
          <t>indira Burbano Montenegro:</t>
        </r>
        <r>
          <rPr>
            <sz val="9"/>
            <color indexed="81"/>
            <rFont val="Tahoma"/>
            <family val="2"/>
          </rPr>
          <t xml:space="preserve">
No hay medición de 2022, sigue vigente la del año anterior</t>
        </r>
      </text>
    </comment>
    <comment ref="H31" authorId="0" shapeId="0">
      <text>
        <r>
          <rPr>
            <b/>
            <sz val="9"/>
            <color indexed="81"/>
            <rFont val="Tahoma"/>
            <family val="2"/>
          </rPr>
          <t>indira Burbano Montenegro:</t>
        </r>
        <r>
          <rPr>
            <sz val="9"/>
            <color indexed="81"/>
            <rFont val="Tahoma"/>
            <family val="2"/>
          </rPr>
          <t xml:space="preserve">
Recursos asigandos al proyecto de educación ambiental, a través del cual se ejecutan las actividades derivadas de los indicadores que la conforman.</t>
        </r>
      </text>
    </comment>
    <comment ref="J31" authorId="0" shapeId="0">
      <text>
        <r>
          <rPr>
            <b/>
            <sz val="9"/>
            <color indexed="81"/>
            <rFont val="Tahoma"/>
            <family val="2"/>
          </rPr>
          <t>indira Burbano Montenegro:</t>
        </r>
        <r>
          <rPr>
            <sz val="9"/>
            <color indexed="81"/>
            <rFont val="Tahoma"/>
            <family val="2"/>
          </rPr>
          <t xml:space="preserve">
Recursos asignados al proyecto de educación ambiental, a través del cual se ejecutan las actividades derivadas de los indicadores que la conforman.</t>
        </r>
      </text>
    </comment>
    <comment ref="L31" authorId="0" shapeId="0">
      <text>
        <r>
          <rPr>
            <b/>
            <sz val="9"/>
            <color indexed="81"/>
            <rFont val="Tahoma"/>
            <family val="2"/>
          </rPr>
          <t>indira Burbano Montenegro:</t>
        </r>
        <r>
          <rPr>
            <sz val="9"/>
            <color indexed="81"/>
            <rFont val="Tahoma"/>
            <family val="2"/>
          </rPr>
          <t xml:space="preserve">
Valor ejecutado del proyecto de educación ambiental</t>
        </r>
      </text>
    </comment>
    <comment ref="N31" authorId="0" shapeId="0">
      <text>
        <r>
          <rPr>
            <b/>
            <sz val="9"/>
            <color indexed="81"/>
            <rFont val="Tahoma"/>
            <family val="2"/>
          </rPr>
          <t>indira Burbano Montenegro:</t>
        </r>
        <r>
          <rPr>
            <sz val="9"/>
            <color indexed="81"/>
            <rFont val="Tahoma"/>
            <family val="2"/>
          </rPr>
          <t xml:space="preserve">
Valor ejecutado del proyecto de educación ambiental</t>
        </r>
      </text>
    </comment>
    <comment ref="P31" authorId="0" shapeId="0">
      <text>
        <r>
          <rPr>
            <b/>
            <sz val="9"/>
            <color indexed="81"/>
            <rFont val="Tahoma"/>
            <family val="2"/>
          </rPr>
          <t>indira Burbano Montenegro:</t>
        </r>
        <r>
          <rPr>
            <sz val="9"/>
            <color indexed="81"/>
            <rFont val="Tahoma"/>
            <family val="2"/>
          </rPr>
          <t xml:space="preserve">
Valor ejecutado del proyecto de educación ambiental</t>
        </r>
      </text>
    </comment>
    <comment ref="P32" authorId="0" shapeId="0">
      <text>
        <r>
          <rPr>
            <b/>
            <sz val="9"/>
            <color indexed="81"/>
            <rFont val="Tahoma"/>
            <family val="2"/>
          </rPr>
          <t>indira Burbano Montenegro:</t>
        </r>
        <r>
          <rPr>
            <sz val="9"/>
            <color indexed="81"/>
            <rFont val="Tahoma"/>
            <family val="2"/>
          </rPr>
          <t xml:space="preserve">
Valor considerado en indicador anterior</t>
        </r>
      </text>
    </comment>
    <comment ref="R32" authorId="0" shapeId="0">
      <text>
        <r>
          <rPr>
            <b/>
            <sz val="9"/>
            <color indexed="81"/>
            <rFont val="Tahoma"/>
            <family val="2"/>
          </rPr>
          <t>indira Burbano Montenegro:</t>
        </r>
        <r>
          <rPr>
            <sz val="9"/>
            <color indexed="81"/>
            <rFont val="Tahoma"/>
            <family val="2"/>
          </rPr>
          <t xml:space="preserve">
Valor considerado en indicador anterior</t>
        </r>
      </text>
    </comment>
    <comment ref="P33" authorId="0" shapeId="0">
      <text>
        <r>
          <rPr>
            <b/>
            <sz val="9"/>
            <color indexed="81"/>
            <rFont val="Tahoma"/>
            <family val="2"/>
          </rPr>
          <t>indira Burbano Montenegro:</t>
        </r>
        <r>
          <rPr>
            <sz val="9"/>
            <color indexed="81"/>
            <rFont val="Tahoma"/>
            <family val="2"/>
          </rPr>
          <t xml:space="preserve">
Valor considerado en indicador anterior</t>
        </r>
      </text>
    </comment>
    <comment ref="R33" authorId="0" shapeId="0">
      <text>
        <r>
          <rPr>
            <b/>
            <sz val="9"/>
            <color indexed="81"/>
            <rFont val="Tahoma"/>
            <family val="2"/>
          </rPr>
          <t>indira Burbano Montenegro:</t>
        </r>
        <r>
          <rPr>
            <sz val="9"/>
            <color indexed="81"/>
            <rFont val="Tahoma"/>
            <family val="2"/>
          </rPr>
          <t xml:space="preserve">
Valor considerado en indicador anterior</t>
        </r>
      </text>
    </comment>
    <comment ref="P34" authorId="0" shapeId="0">
      <text>
        <r>
          <rPr>
            <b/>
            <sz val="9"/>
            <color indexed="81"/>
            <rFont val="Tahoma"/>
            <family val="2"/>
          </rPr>
          <t>indira Burbano Montenegro:</t>
        </r>
        <r>
          <rPr>
            <sz val="9"/>
            <color indexed="81"/>
            <rFont val="Tahoma"/>
            <family val="2"/>
          </rPr>
          <t xml:space="preserve">
Valor considerado en indicador anterior</t>
        </r>
      </text>
    </comment>
    <comment ref="R34" authorId="0" shapeId="0">
      <text>
        <r>
          <rPr>
            <b/>
            <sz val="9"/>
            <color indexed="81"/>
            <rFont val="Tahoma"/>
            <family val="2"/>
          </rPr>
          <t>indira Burbano Montenegro:</t>
        </r>
        <r>
          <rPr>
            <sz val="9"/>
            <color indexed="81"/>
            <rFont val="Tahoma"/>
            <family val="2"/>
          </rPr>
          <t xml:space="preserve">
Valor considerado en indicador anterior</t>
        </r>
      </text>
    </comment>
    <comment ref="P35" authorId="0" shapeId="0">
      <text>
        <r>
          <rPr>
            <b/>
            <sz val="9"/>
            <color indexed="81"/>
            <rFont val="Tahoma"/>
            <family val="2"/>
          </rPr>
          <t>indira Burbano Montenegro:</t>
        </r>
        <r>
          <rPr>
            <sz val="9"/>
            <color indexed="81"/>
            <rFont val="Tahoma"/>
            <family val="2"/>
          </rPr>
          <t xml:space="preserve">
Valor considerado en indicador anterior</t>
        </r>
      </text>
    </comment>
    <comment ref="R35" authorId="0" shapeId="0">
      <text>
        <r>
          <rPr>
            <b/>
            <sz val="9"/>
            <color indexed="81"/>
            <rFont val="Tahoma"/>
            <family val="2"/>
          </rPr>
          <t>indira Burbano Montenegro:</t>
        </r>
        <r>
          <rPr>
            <sz val="9"/>
            <color indexed="81"/>
            <rFont val="Tahoma"/>
            <family val="2"/>
          </rPr>
          <t xml:space="preserve">
Valor considerado en indicador anterior</t>
        </r>
      </text>
    </comment>
    <comment ref="J36" authorId="0" shapeId="0">
      <text>
        <r>
          <rPr>
            <b/>
            <sz val="9"/>
            <color indexed="81"/>
            <rFont val="Tahoma"/>
            <family val="2"/>
          </rPr>
          <t>indira Burbano Montenegro:</t>
        </r>
        <r>
          <rPr>
            <sz val="9"/>
            <color indexed="81"/>
            <rFont val="Tahoma"/>
            <family val="2"/>
          </rPr>
          <t xml:space="preserve">
Muchas de las metas del plan de acción se ejecutan en alianza con municipios. Los valores se entienden incorporados en el indicador correspondiente</t>
        </r>
      </text>
    </comment>
    <comment ref="R36" authorId="0" shapeId="0">
      <text>
        <r>
          <rPr>
            <b/>
            <sz val="9"/>
            <color indexed="81"/>
            <rFont val="Tahoma"/>
            <family val="2"/>
          </rPr>
          <t>indira Burbano Montenegro:</t>
        </r>
        <r>
          <rPr>
            <sz val="9"/>
            <color indexed="81"/>
            <rFont val="Tahoma"/>
            <family val="2"/>
          </rPr>
          <t xml:space="preserve">
Sin cuantificarse porque corresponde a contrapartidas para cumplimiento de metas del PGAR y Plan de Acción</t>
        </r>
      </text>
    </comment>
    <comment ref="R40" authorId="0" shapeId="0">
      <text>
        <r>
          <rPr>
            <b/>
            <sz val="9"/>
            <color indexed="81"/>
            <rFont val="Tahoma"/>
            <family val="2"/>
          </rPr>
          <t>indira Burbano Montenegro:</t>
        </r>
        <r>
          <rPr>
            <sz val="9"/>
            <color indexed="81"/>
            <rFont val="Tahoma"/>
            <family val="2"/>
          </rPr>
          <t xml:space="preserve">
Indicador áreas protegidas regionales con planes de manejo en ejecución</t>
        </r>
      </text>
    </comment>
    <comment ref="G41" authorId="0" shapeId="0">
      <text>
        <r>
          <rPr>
            <b/>
            <sz val="9"/>
            <color indexed="81"/>
            <rFont val="Tahoma"/>
            <family val="2"/>
          </rPr>
          <t>indira Burbano Montenegro:</t>
        </r>
        <r>
          <rPr>
            <sz val="9"/>
            <color indexed="81"/>
            <rFont val="Tahoma"/>
            <family val="2"/>
          </rPr>
          <t xml:space="preserve">
areas en PNM. El apoyo de la CAM consiste en compra de predios para ampliar zona de protección. Creación de PNM Agrado, Algeciras, Paicol, Pitalito, Suaza</t>
        </r>
      </text>
    </comment>
    <comment ref="I41" authorId="0" shapeId="0">
      <text>
        <r>
          <rPr>
            <b/>
            <sz val="9"/>
            <color indexed="81"/>
            <rFont val="Tahoma"/>
            <family val="2"/>
          </rPr>
          <t>indira Burbano Montenegro:</t>
        </r>
        <r>
          <rPr>
            <sz val="9"/>
            <color indexed="81"/>
            <rFont val="Tahoma"/>
            <family val="2"/>
          </rPr>
          <t xml:space="preserve">
Creación PNM Tello con 10.275,37 ha</t>
        </r>
      </text>
    </comment>
    <comment ref="H42" authorId="0" shapeId="0">
      <text>
        <r>
          <rPr>
            <b/>
            <sz val="9"/>
            <color indexed="81"/>
            <rFont val="Tahoma"/>
            <family val="2"/>
          </rPr>
          <t>indira Burbano Montenegro:</t>
        </r>
        <r>
          <rPr>
            <sz val="9"/>
            <color indexed="81"/>
            <rFont val="Tahoma"/>
            <family val="2"/>
          </rPr>
          <t xml:space="preserve">
Recursos destinados a estudios para declaratorias</t>
        </r>
      </text>
    </comment>
    <comment ref="I42" authorId="0" shapeId="0">
      <text>
        <r>
          <rPr>
            <b/>
            <sz val="9"/>
            <color indexed="81"/>
            <rFont val="Tahoma"/>
            <family val="2"/>
          </rPr>
          <t>indira Burbano Montenegro:</t>
        </r>
        <r>
          <rPr>
            <sz val="9"/>
            <color indexed="81"/>
            <rFont val="Tahoma"/>
            <family val="2"/>
          </rPr>
          <t xml:space="preserve">
1) Declaratoria de PNR Oseras, 2) Dorado, 3) DRMI Serranía Peñas Blancas más homologación de áreas ya existentes: PNR corredor biológico, PNR a DRMI cerro banderas ojo blanco, PNR a PNR y DRMI serranía de Minas para el total de áreas protegidas existentes hoy día</t>
        </r>
      </text>
    </comment>
    <comment ref="K42" authorId="0" shapeId="0">
      <text>
        <r>
          <rPr>
            <b/>
            <sz val="9"/>
            <color indexed="81"/>
            <rFont val="Tahoma"/>
            <family val="2"/>
          </rPr>
          <t>indira Burbano Montenegro:</t>
        </r>
        <r>
          <rPr>
            <sz val="9"/>
            <color indexed="81"/>
            <rFont val="Tahoma"/>
            <family val="2"/>
          </rPr>
          <t xml:space="preserve">
Homologación Siberia Ceibas</t>
        </r>
      </text>
    </comment>
    <comment ref="G43" authorId="0" shapeId="0">
      <text>
        <r>
          <rPr>
            <b/>
            <sz val="9"/>
            <color indexed="81"/>
            <rFont val="Tahoma"/>
            <family val="2"/>
          </rPr>
          <t>indira Burbano Montenegro:</t>
        </r>
        <r>
          <rPr>
            <sz val="9"/>
            <color indexed="81"/>
            <rFont val="Tahoma"/>
            <family val="2"/>
          </rPr>
          <t xml:space="preserve">
En Ceibas</t>
        </r>
      </text>
    </comment>
    <comment ref="Q43" authorId="0" shapeId="0">
      <text>
        <r>
          <rPr>
            <b/>
            <sz val="9"/>
            <color indexed="81"/>
            <rFont val="Tahoma"/>
            <family val="2"/>
          </rPr>
          <t>indira Burbano Montenegro:</t>
        </r>
        <r>
          <rPr>
            <sz val="9"/>
            <color indexed="81"/>
            <rFont val="Tahoma"/>
            <family val="2"/>
          </rPr>
          <t xml:space="preserve">
Corresponde al acumulado de RNSC registradas</t>
        </r>
      </text>
    </comment>
    <comment ref="G44" authorId="0" shapeId="0">
      <text>
        <r>
          <rPr>
            <b/>
            <sz val="9"/>
            <color indexed="81"/>
            <rFont val="Tahoma"/>
            <family val="2"/>
          </rPr>
          <t>indira Burbano Montenegro:</t>
        </r>
        <r>
          <rPr>
            <sz val="9"/>
            <color indexed="81"/>
            <rFont val="Tahoma"/>
            <family val="2"/>
          </rPr>
          <t xml:space="preserve">
SIRAP MACIZO, VALLE SECO DEL MAGDALENA, CEERCO</t>
        </r>
      </text>
    </comment>
    <comment ref="Q44" authorId="1" shapeId="0">
      <text>
        <r>
          <rPr>
            <b/>
            <sz val="9"/>
            <color indexed="81"/>
            <rFont val="Tahoma"/>
            <family val="2"/>
          </rPr>
          <t>User:</t>
        </r>
        <r>
          <rPr>
            <sz val="9"/>
            <color indexed="81"/>
            <rFont val="Tahoma"/>
            <family val="2"/>
          </rPr>
          <t xml:space="preserve">
Teniamos 4 pero me aparecen 3:Corredor transandino amazónico (Convenio CI), Complejo de Páramos (CEERCO) y Macizo Colombiano ( Sirap Macizo y convenio gobernación del Huila)</t>
        </r>
      </text>
    </comment>
    <comment ref="G45" authorId="0" shapeId="0">
      <text>
        <r>
          <rPr>
            <b/>
            <sz val="9"/>
            <color indexed="81"/>
            <rFont val="Tahoma"/>
            <family val="2"/>
          </rPr>
          <t>indira Burbano Montenegro:</t>
        </r>
        <r>
          <rPr>
            <sz val="9"/>
            <color indexed="81"/>
            <rFont val="Tahoma"/>
            <family val="2"/>
          </rPr>
          <t xml:space="preserve">
1) Estudios técnicos, sociales y ambientales a escala 1:25.000 que involucran a los páramos de Oseras, Miraflores y Picachos en un área de 52.433 Ha. </t>
        </r>
      </text>
    </comment>
    <comment ref="H45" authorId="0" shapeId="0">
      <text>
        <r>
          <rPr>
            <b/>
            <sz val="9"/>
            <color indexed="81"/>
            <rFont val="Tahoma"/>
            <family val="2"/>
          </rPr>
          <t>indira Burbano Montenegro:</t>
        </r>
        <r>
          <rPr>
            <sz val="9"/>
            <color indexed="81"/>
            <rFont val="Tahoma"/>
            <family val="2"/>
          </rPr>
          <t xml:space="preserve">
Recursos incluidos en indicador de PMA de páramos en ejecución </t>
        </r>
      </text>
    </comment>
    <comment ref="I45" authorId="0" shapeId="0">
      <text>
        <r>
          <rPr>
            <b/>
            <sz val="9"/>
            <color indexed="81"/>
            <rFont val="Tahoma"/>
            <family val="2"/>
          </rPr>
          <t>indira Burbano Montenegro:</t>
        </r>
        <r>
          <rPr>
            <sz val="9"/>
            <color indexed="81"/>
            <rFont val="Tahoma"/>
            <family val="2"/>
          </rPr>
          <t xml:space="preserve">
1)  Actualización del Estudio Actual de los Páramos - EEAP; 2) Diagnóstico, Caracterización y Formulación de Planes de Manejo de los Humedales Urbanos Los Colores y El Curíbano del municipio de Neiva; 3) caracterización de 40 humedales.</t>
        </r>
      </text>
    </comment>
    <comment ref="J45" authorId="0" shapeId="0">
      <text>
        <r>
          <rPr>
            <b/>
            <sz val="9"/>
            <color indexed="81"/>
            <rFont val="Tahoma"/>
            <family val="2"/>
          </rPr>
          <t>indira Burbano Montenegro:</t>
        </r>
        <r>
          <rPr>
            <sz val="9"/>
            <color indexed="81"/>
            <rFont val="Tahoma"/>
            <family val="2"/>
          </rPr>
          <t xml:space="preserve">
Incluye valor de estudios en humedales y otros ecosistemas y áreas protegidas, más páramos.</t>
        </r>
      </text>
    </comment>
    <comment ref="I46" authorId="0" shapeId="0">
      <text>
        <r>
          <rPr>
            <b/>
            <sz val="9"/>
            <color indexed="81"/>
            <rFont val="Tahoma"/>
            <family val="2"/>
          </rPr>
          <t>indira Burbano Montenegro:</t>
        </r>
        <r>
          <rPr>
            <sz val="9"/>
            <color indexed="81"/>
            <rFont val="Tahoma"/>
            <family val="2"/>
          </rPr>
          <t xml:space="preserve">
La mayor área de páramos están dentro de áreas protegidas regionales</t>
        </r>
      </text>
    </comment>
    <comment ref="L46" authorId="0" shapeId="0">
      <text>
        <r>
          <rPr>
            <b/>
            <sz val="9"/>
            <color indexed="81"/>
            <rFont val="Tahoma"/>
            <family val="2"/>
          </rPr>
          <t>indira Burbano Montenegro:</t>
        </r>
        <r>
          <rPr>
            <sz val="9"/>
            <color indexed="81"/>
            <rFont val="Tahoma"/>
            <family val="2"/>
          </rPr>
          <t xml:space="preserve">
Acciones contempladas en PMA áreas protegidas regionales</t>
        </r>
      </text>
    </comment>
    <comment ref="N46" authorId="0" shapeId="0">
      <text>
        <r>
          <rPr>
            <b/>
            <sz val="9"/>
            <color indexed="81"/>
            <rFont val="Tahoma"/>
            <family val="2"/>
          </rPr>
          <t>indira Burbano Montenegro:</t>
        </r>
        <r>
          <rPr>
            <sz val="9"/>
            <color indexed="81"/>
            <rFont val="Tahoma"/>
            <family val="2"/>
          </rPr>
          <t xml:space="preserve">
Acciones contempladas en PMA áreas protegidas regionales</t>
        </r>
      </text>
    </comment>
    <comment ref="P46" authorId="0" shapeId="0">
      <text>
        <r>
          <rPr>
            <b/>
            <sz val="9"/>
            <color indexed="81"/>
            <rFont val="Tahoma"/>
            <family val="2"/>
          </rPr>
          <t>indira Burbano Montenegro:</t>
        </r>
        <r>
          <rPr>
            <sz val="9"/>
            <color indexed="81"/>
            <rFont val="Tahoma"/>
            <family val="2"/>
          </rPr>
          <t xml:space="preserve">
Acciones contempladas en PMA áreas protegidas regionales</t>
        </r>
      </text>
    </comment>
    <comment ref="L47" authorId="0" shapeId="0">
      <text>
        <r>
          <rPr>
            <b/>
            <sz val="9"/>
            <color indexed="81"/>
            <rFont val="Tahoma"/>
            <family val="2"/>
          </rPr>
          <t>indira Burbano Montenegro:</t>
        </r>
        <r>
          <rPr>
            <sz val="9"/>
            <color indexed="81"/>
            <rFont val="Tahoma"/>
            <family val="2"/>
          </rPr>
          <t xml:space="preserve">
Recursos asignados a indicador áreas de ecosistemas en restauración rehabilitación reforestación </t>
        </r>
      </text>
    </comment>
    <comment ref="Q47" authorId="1" shapeId="0">
      <text>
        <r>
          <rPr>
            <b/>
            <sz val="9"/>
            <color indexed="81"/>
            <rFont val="Tahoma"/>
            <family val="2"/>
          </rPr>
          <t>User:</t>
        </r>
        <r>
          <rPr>
            <sz val="9"/>
            <color indexed="81"/>
            <rFont val="Tahoma"/>
            <family val="2"/>
          </rPr>
          <t xml:space="preserve">
tengo en informe que son 21 humedales con PMA</t>
        </r>
      </text>
    </comment>
    <comment ref="H48" authorId="0" shapeId="0">
      <text>
        <r>
          <rPr>
            <b/>
            <sz val="9"/>
            <color indexed="81"/>
            <rFont val="Tahoma"/>
            <family val="2"/>
          </rPr>
          <t>indira Burbano Montenegro:</t>
        </r>
        <r>
          <rPr>
            <sz val="9"/>
            <color indexed="81"/>
            <rFont val="Tahoma"/>
            <family val="2"/>
          </rPr>
          <t xml:space="preserve">
Valor cuantificado en indicador de planes de manejo de áreas protegidas en ejecución, por corresponder a Tatacoa</t>
        </r>
      </text>
    </comment>
    <comment ref="J48" authorId="0" shapeId="0">
      <text>
        <r>
          <rPr>
            <b/>
            <sz val="9"/>
            <color indexed="81"/>
            <rFont val="Tahoma"/>
            <family val="2"/>
          </rPr>
          <t>indira Burbano Montenegro:</t>
        </r>
        <r>
          <rPr>
            <sz val="9"/>
            <color indexed="81"/>
            <rFont val="Tahoma"/>
            <family val="2"/>
          </rPr>
          <t xml:space="preserve">
Valor contenido en indicador ya sumado (DRMI Tatacoa) Planes de manejo de áreas protegidas en ejecución</t>
        </r>
      </text>
    </comment>
    <comment ref="L48" authorId="0" shapeId="0">
      <text>
        <r>
          <rPr>
            <b/>
            <sz val="9"/>
            <color indexed="81"/>
            <rFont val="Tahoma"/>
            <family val="2"/>
          </rPr>
          <t>indira Burbano Montenegro:</t>
        </r>
        <r>
          <rPr>
            <sz val="9"/>
            <color indexed="81"/>
            <rFont val="Tahoma"/>
            <family val="2"/>
          </rPr>
          <t xml:space="preserve">
Ejecuciones efectuadas con cargo al anterior indicador</t>
        </r>
      </text>
    </comment>
    <comment ref="Q48" authorId="0" shapeId="0">
      <text>
        <r>
          <rPr>
            <b/>
            <sz val="9"/>
            <color indexed="81"/>
            <rFont val="Tahoma"/>
            <family val="2"/>
          </rPr>
          <t>indira Burbano Montenegro:</t>
        </r>
        <r>
          <rPr>
            <sz val="9"/>
            <color indexed="81"/>
            <rFont val="Tahoma"/>
            <family val="2"/>
          </rPr>
          <t xml:space="preserve">
Incluidas en indicador áreas protegidas por corresponder a DRMI Tatacoa</t>
        </r>
      </text>
    </comment>
    <comment ref="G49" authorId="0" shapeId="0">
      <text>
        <r>
          <rPr>
            <b/>
            <sz val="9"/>
            <color indexed="81"/>
            <rFont val="Tahoma"/>
            <family val="2"/>
          </rPr>
          <t>indira Burbano Montenegro:</t>
        </r>
        <r>
          <rPr>
            <sz val="9"/>
            <color indexed="81"/>
            <rFont val="Tahoma"/>
            <family val="2"/>
          </rPr>
          <t xml:space="preserve">
Se cuenta con17 estaciones en operación</t>
        </r>
      </text>
    </comment>
    <comment ref="H49" authorId="0" shapeId="0">
      <text>
        <r>
          <rPr>
            <b/>
            <sz val="9"/>
            <color indexed="81"/>
            <rFont val="Tahoma"/>
            <family val="2"/>
          </rPr>
          <t>indira Burbano Montenegro:</t>
        </r>
        <r>
          <rPr>
            <sz val="9"/>
            <color indexed="81"/>
            <rFont val="Tahoma"/>
            <family val="2"/>
          </rPr>
          <t xml:space="preserve">
Incluye recursos del proyecto de planificación del recurso hídrico: PORH, redes de seguimiento, etc.</t>
        </r>
      </text>
    </comment>
    <comment ref="L49" authorId="0" shapeId="0">
      <text>
        <r>
          <rPr>
            <b/>
            <sz val="9"/>
            <color indexed="81"/>
            <rFont val="Tahoma"/>
            <family val="2"/>
          </rPr>
          <t>indira Burbano Montenegro:</t>
        </r>
        <r>
          <rPr>
            <sz val="9"/>
            <color indexed="81"/>
            <rFont val="Tahoma"/>
            <family val="2"/>
          </rPr>
          <t xml:space="preserve">
Recursos ejecutados en proyecto de admón recurso hídrico ya computado</t>
        </r>
      </text>
    </comment>
    <comment ref="G50" authorId="0" shapeId="0">
      <text>
        <r>
          <rPr>
            <b/>
            <sz val="9"/>
            <color indexed="81"/>
            <rFont val="Tahoma"/>
            <family val="2"/>
          </rPr>
          <t>indira Burbano Montenegro:</t>
        </r>
        <r>
          <rPr>
            <sz val="9"/>
            <color indexed="81"/>
            <rFont val="Tahoma"/>
            <family val="2"/>
          </rPr>
          <t xml:space="preserve">
Corresponde al Plan de Ordenación Forestal</t>
        </r>
      </text>
    </comment>
    <comment ref="I50" authorId="0" shapeId="0">
      <text>
        <r>
          <rPr>
            <b/>
            <sz val="9"/>
            <color indexed="81"/>
            <rFont val="Tahoma"/>
            <family val="2"/>
          </rPr>
          <t>indira Burbano Montenegro:</t>
        </r>
        <r>
          <rPr>
            <sz val="9"/>
            <color indexed="81"/>
            <rFont val="Tahoma"/>
            <family val="2"/>
          </rPr>
          <t xml:space="preserve">
Corresponde a Plan de Ordenación Forestal</t>
        </r>
      </text>
    </comment>
    <comment ref="I51" authorId="0" shapeId="0">
      <text>
        <r>
          <rPr>
            <b/>
            <sz val="9"/>
            <color indexed="81"/>
            <rFont val="Tahoma"/>
            <family val="2"/>
          </rPr>
          <t>indira Burbano Montenegro:</t>
        </r>
        <r>
          <rPr>
            <sz val="9"/>
            <color indexed="81"/>
            <rFont val="Tahoma"/>
            <family val="2"/>
          </rPr>
          <t xml:space="preserve">
Oso, danta, caimán del Magdalena,  roble negro</t>
        </r>
      </text>
    </comment>
    <comment ref="L52" authorId="0" shapeId="0">
      <text>
        <r>
          <rPr>
            <b/>
            <sz val="9"/>
            <color indexed="81"/>
            <rFont val="Tahoma"/>
            <family val="2"/>
          </rPr>
          <t>indira Burbano Montenegro:</t>
        </r>
        <r>
          <rPr>
            <sz val="9"/>
            <color indexed="81"/>
            <rFont val="Tahoma"/>
            <family val="2"/>
          </rPr>
          <t xml:space="preserve">
Indicador cambio climático</t>
        </r>
      </text>
    </comment>
    <comment ref="G55" authorId="0" shapeId="0">
      <text>
        <r>
          <rPr>
            <b/>
            <sz val="9"/>
            <color indexed="81"/>
            <rFont val="Tahoma"/>
            <family val="2"/>
          </rPr>
          <t>indira Burbano Montenegro:</t>
        </r>
        <r>
          <rPr>
            <sz val="9"/>
            <color indexed="81"/>
            <rFont val="Tahoma"/>
            <family val="2"/>
          </rPr>
          <t xml:space="preserve">
Ceibas, Río Loro y Otros</t>
        </r>
      </text>
    </comment>
    <comment ref="I55" authorId="0" shapeId="0">
      <text>
        <r>
          <rPr>
            <b/>
            <sz val="9"/>
            <color indexed="81"/>
            <rFont val="Tahoma"/>
            <family val="2"/>
          </rPr>
          <t>indira Burbano Montenegro:</t>
        </r>
        <r>
          <rPr>
            <sz val="9"/>
            <color indexed="81"/>
            <rFont val="Tahoma"/>
            <family val="2"/>
          </rPr>
          <t xml:space="preserve">
POMCA Suaza, Guarapas, PMAM Barbillas</t>
        </r>
      </text>
    </comment>
    <comment ref="O55" authorId="0" shapeId="0">
      <text>
        <r>
          <rPr>
            <b/>
            <sz val="9"/>
            <color indexed="81"/>
            <rFont val="Tahoma"/>
            <family val="2"/>
          </rPr>
          <t>indira Burbano Montenegro:</t>
        </r>
        <r>
          <rPr>
            <sz val="9"/>
            <color indexed="81"/>
            <rFont val="Tahoma"/>
            <family val="2"/>
          </rPr>
          <t xml:space="preserve">
PMAM Yaguilga</t>
        </r>
      </text>
    </comment>
    <comment ref="Q55" authorId="0" shapeId="0">
      <text>
        <r>
          <rPr>
            <b/>
            <sz val="9"/>
            <color indexed="81"/>
            <rFont val="Tahoma"/>
            <family val="2"/>
          </rPr>
          <t>indira Burbano Montenegro:</t>
        </r>
        <r>
          <rPr>
            <sz val="9"/>
            <color indexed="81"/>
            <rFont val="Tahoma"/>
            <family val="2"/>
          </rPr>
          <t xml:space="preserve">
pomca Yaguará</t>
        </r>
      </text>
    </comment>
    <comment ref="I56" authorId="0" shapeId="0">
      <text>
        <r>
          <rPr>
            <b/>
            <sz val="9"/>
            <color indexed="81"/>
            <rFont val="Tahoma"/>
            <family val="2"/>
          </rPr>
          <t>indira Burbano Montenegro:</t>
        </r>
        <r>
          <rPr>
            <sz val="9"/>
            <color indexed="81"/>
            <rFont val="Tahoma"/>
            <family val="2"/>
          </rPr>
          <t xml:space="preserve">
Contrato de consultoría 369 de 2016</t>
        </r>
      </text>
    </comment>
    <comment ref="I57" authorId="0" shapeId="0">
      <text>
        <r>
          <rPr>
            <b/>
            <sz val="9"/>
            <color indexed="81"/>
            <rFont val="Tahoma"/>
            <family val="2"/>
          </rPr>
          <t>indira Burbano Montenegro:</t>
        </r>
        <r>
          <rPr>
            <sz val="9"/>
            <color indexed="81"/>
            <rFont val="Tahoma"/>
            <family val="2"/>
          </rPr>
          <t xml:space="preserve">
Se adoptó estudios según resolución 2243 de 2019 y modificada por resolución 3662 de 2021</t>
        </r>
      </text>
    </comment>
    <comment ref="G58" authorId="0" shapeId="0">
      <text>
        <r>
          <rPr>
            <b/>
            <sz val="9"/>
            <color indexed="81"/>
            <rFont val="Tahoma"/>
            <family val="2"/>
          </rPr>
          <t>indira Burbano Montenegro:</t>
        </r>
        <r>
          <rPr>
            <sz val="9"/>
            <color indexed="81"/>
            <rFont val="Tahoma"/>
            <family val="2"/>
          </rPr>
          <t xml:space="preserve">
Línea base mas obras realizadas en el cuatrienio  a través de PDA</t>
        </r>
      </text>
    </comment>
    <comment ref="H58" authorId="0" shapeId="0">
      <text>
        <r>
          <rPr>
            <b/>
            <sz val="9"/>
            <color indexed="81"/>
            <rFont val="Tahoma"/>
            <family val="2"/>
          </rPr>
          <t>indira Burbano Montenegro:</t>
        </r>
        <r>
          <rPr>
            <sz val="9"/>
            <color indexed="81"/>
            <rFont val="Tahoma"/>
            <family val="2"/>
          </rPr>
          <t xml:space="preserve">
Se incluye valor total de proyecto de descontaminación de fuentes hídricas</t>
        </r>
      </text>
    </comment>
    <comment ref="K58" authorId="0" shapeId="0">
      <text>
        <r>
          <rPr>
            <b/>
            <sz val="9"/>
            <color indexed="81"/>
            <rFont val="Tahoma"/>
            <family val="2"/>
          </rPr>
          <t>indira Burbano Montenegro:</t>
        </r>
        <r>
          <rPr>
            <sz val="9"/>
            <color indexed="81"/>
            <rFont val="Tahoma"/>
            <family val="2"/>
          </rPr>
          <t xml:space="preserve">
Recursos se destinan no solo a construcción de sistemas sino a estudios y diseños, planes maestros de alcantarillado, entre otros</t>
        </r>
      </text>
    </comment>
    <comment ref="L58" authorId="0" shapeId="0">
      <text>
        <r>
          <rPr>
            <b/>
            <sz val="9"/>
            <color indexed="81"/>
            <rFont val="Tahoma"/>
            <family val="2"/>
          </rPr>
          <t>indira Burbano Montenegro:</t>
        </r>
        <r>
          <rPr>
            <sz val="9"/>
            <color indexed="81"/>
            <rFont val="Tahoma"/>
            <family val="2"/>
          </rPr>
          <t xml:space="preserve">
Recursos transferidos PDA</t>
        </r>
      </text>
    </comment>
    <comment ref="N58" authorId="0" shapeId="0">
      <text>
        <r>
          <rPr>
            <b/>
            <sz val="9"/>
            <color indexed="81"/>
            <rFont val="Tahoma"/>
            <family val="2"/>
          </rPr>
          <t>indira Burbano Montenegro:</t>
        </r>
        <r>
          <rPr>
            <sz val="9"/>
            <color indexed="81"/>
            <rFont val="Tahoma"/>
            <family val="2"/>
          </rPr>
          <t xml:space="preserve">
Recursos indicador descontaminación fuentes hídricasPDA</t>
        </r>
      </text>
    </comment>
    <comment ref="P58" authorId="0" shapeId="0">
      <text>
        <r>
          <rPr>
            <b/>
            <sz val="9"/>
            <color indexed="81"/>
            <rFont val="Tahoma"/>
            <family val="2"/>
          </rPr>
          <t>indira Burbano Montenegro:</t>
        </r>
        <r>
          <rPr>
            <sz val="9"/>
            <color indexed="81"/>
            <rFont val="Tahoma"/>
            <family val="2"/>
          </rPr>
          <t xml:space="preserve">
Recursos indicador descontaminación  transferidos PDA</t>
        </r>
      </text>
    </comment>
    <comment ref="G59" authorId="0" shapeId="0">
      <text>
        <r>
          <rPr>
            <b/>
            <sz val="9"/>
            <color indexed="81"/>
            <rFont val="Tahoma"/>
            <family val="2"/>
          </rPr>
          <t>indira Burbano Montenegro:</t>
        </r>
        <r>
          <rPr>
            <sz val="9"/>
            <color indexed="81"/>
            <rFont val="Tahoma"/>
            <family val="2"/>
          </rPr>
          <t xml:space="preserve">
SMTA + 91 fosas construidas en Ceibas</t>
        </r>
      </text>
    </comment>
    <comment ref="J59" authorId="0" shapeId="0">
      <text>
        <r>
          <rPr>
            <b/>
            <sz val="9"/>
            <color indexed="81"/>
            <rFont val="Tahoma"/>
            <family val="2"/>
          </rPr>
          <t>indira Burbano Montenegro:</t>
        </r>
        <r>
          <rPr>
            <sz val="9"/>
            <color indexed="81"/>
            <rFont val="Tahoma"/>
            <family val="2"/>
          </rPr>
          <t xml:space="preserve">
Se ejecutan en el marco de las agendas sectoriales y de los POMCA adoptados</t>
        </r>
      </text>
    </comment>
    <comment ref="L59" authorId="0" shapeId="0">
      <text>
        <r>
          <rPr>
            <b/>
            <sz val="9"/>
            <color indexed="81"/>
            <rFont val="Tahoma"/>
            <family val="2"/>
          </rPr>
          <t>indira Burbano Montenegro:</t>
        </r>
        <r>
          <rPr>
            <sz val="9"/>
            <color indexed="81"/>
            <rFont val="Tahoma"/>
            <family val="2"/>
          </rPr>
          <t xml:space="preserve">
Recursos de áreas protegidas y POMCAS en ejeucución: 167 SMTA costaron $858 millones</t>
        </r>
      </text>
    </comment>
    <comment ref="J60" authorId="0" shapeId="0">
      <text>
        <r>
          <rPr>
            <b/>
            <sz val="9"/>
            <color indexed="81"/>
            <rFont val="Tahoma"/>
            <family val="2"/>
          </rPr>
          <t>indira Burbano Montenegro:</t>
        </r>
        <r>
          <rPr>
            <sz val="9"/>
            <color indexed="81"/>
            <rFont val="Tahoma"/>
            <family val="2"/>
          </rPr>
          <t xml:space="preserve">
No se lleva el control por acción sino que estas se ejecutan en el marco de pomcas, pmam entre otros; cuyo valor ya está asignado a otro indicador</t>
        </r>
      </text>
    </comment>
    <comment ref="L61" authorId="0" shapeId="0">
      <text>
        <r>
          <rPr>
            <b/>
            <sz val="9"/>
            <color indexed="81"/>
            <rFont val="Tahoma"/>
            <family val="2"/>
          </rPr>
          <t>indira Burbano Montenegro:</t>
        </r>
        <r>
          <rPr>
            <sz val="9"/>
            <color indexed="81"/>
            <rFont val="Tahoma"/>
            <family val="2"/>
          </rPr>
          <t xml:space="preserve">
Recursos destinados a PUEAA, PIRMA ERA PORH</t>
        </r>
      </text>
    </comment>
    <comment ref="G62" authorId="0" shapeId="0">
      <text>
        <r>
          <rPr>
            <b/>
            <sz val="9"/>
            <color indexed="81"/>
            <rFont val="Tahoma"/>
            <family val="2"/>
          </rPr>
          <t>indira Burbano Montenegro:</t>
        </r>
        <r>
          <rPr>
            <sz val="9"/>
            <color indexed="81"/>
            <rFont val="Tahoma"/>
            <family val="2"/>
          </rPr>
          <t xml:space="preserve">
2.509 por áreas protegidas  1661 por cuencas</t>
        </r>
      </text>
    </comment>
    <comment ref="P62" authorId="0" shapeId="0">
      <text>
        <r>
          <rPr>
            <b/>
            <sz val="9"/>
            <color indexed="81"/>
            <rFont val="Tahoma"/>
            <family val="2"/>
          </rPr>
          <t>indira Burbano Montenegro:</t>
        </r>
        <r>
          <rPr>
            <sz val="9"/>
            <color indexed="81"/>
            <rFont val="Tahoma"/>
            <family val="2"/>
          </rPr>
          <t xml:space="preserve">
aporte municipio de $30 millones</t>
        </r>
      </text>
    </comment>
    <comment ref="M63" authorId="0" shapeId="0">
      <text>
        <r>
          <rPr>
            <b/>
            <sz val="9"/>
            <color indexed="81"/>
            <rFont val="Tahoma"/>
            <family val="2"/>
          </rPr>
          <t>indira Burbano Montenegro:</t>
        </r>
        <r>
          <rPr>
            <sz val="9"/>
            <color indexed="81"/>
            <rFont val="Tahoma"/>
            <family val="2"/>
          </rPr>
          <t xml:space="preserve">
Reforestadas en el marco del convenio sucrito con Conservacion Internacional</t>
        </r>
      </text>
    </comment>
    <comment ref="R63" authorId="0" shapeId="0">
      <text>
        <r>
          <rPr>
            <b/>
            <sz val="9"/>
            <color indexed="81"/>
            <rFont val="Tahoma"/>
            <family val="2"/>
          </rPr>
          <t>indira Burbano Montenegro:</t>
        </r>
        <r>
          <rPr>
            <sz val="9"/>
            <color indexed="81"/>
            <rFont val="Tahoma"/>
            <family val="2"/>
          </rPr>
          <t xml:space="preserve">
Valor del indicador ha reforestadas y con mantenimiento</t>
        </r>
      </text>
    </comment>
    <comment ref="G64" authorId="0" shapeId="0">
      <text>
        <r>
          <rPr>
            <b/>
            <sz val="9"/>
            <color indexed="81"/>
            <rFont val="Tahoma"/>
            <family val="2"/>
          </rPr>
          <t>indira Burbano Montenegro:</t>
        </r>
        <r>
          <rPr>
            <sz val="9"/>
            <color indexed="81"/>
            <rFont val="Tahoma"/>
            <family val="2"/>
          </rPr>
          <t xml:space="preserve">
11.958 en cuencas, 54 en áreas protegidas y 10 convenio CAM - Ecopetrol</t>
        </r>
      </text>
    </comment>
    <comment ref="G66" authorId="0" shapeId="0">
      <text>
        <r>
          <rPr>
            <b/>
            <sz val="9"/>
            <color indexed="81"/>
            <rFont val="Tahoma"/>
            <family val="2"/>
          </rPr>
          <t xml:space="preserve">indira Burbano Montenegro </t>
        </r>
        <r>
          <rPr>
            <sz val="9"/>
            <color indexed="81"/>
            <rFont val="Tahoma"/>
            <family val="2"/>
          </rPr>
          <t>Municipio de Neiva cuenca Las Ceibas, 50 visitas de monitoreo a las 17,4 Ha aislamientos, 1,2 Ha en reforestación y 22, 5 Ha en sistemas agroforestales establecidos en los predios vinculados al PSA, verificando el cumplimiento a los 30 acuerdos firmados con los beneficiarios.</t>
        </r>
      </text>
    </comment>
    <comment ref="I66" authorId="0" shapeId="0">
      <text>
        <r>
          <rPr>
            <b/>
            <sz val="9"/>
            <color indexed="81"/>
            <rFont val="Tahoma"/>
            <family val="2"/>
          </rPr>
          <t>indira Burbano Montenegro:</t>
        </r>
        <r>
          <rPr>
            <sz val="9"/>
            <color indexed="81"/>
            <rFont val="Tahoma"/>
            <family val="2"/>
          </rPr>
          <t xml:space="preserve">
Verificación de cumplimiento de acuerdos con 30 visitas. Se conservan 17 ha aislamiento, 1,2 ha en reforestación y 22,5 ha en sistemas agroforestales</t>
        </r>
      </text>
    </comment>
    <comment ref="L66" authorId="0" shapeId="0">
      <text>
        <r>
          <rPr>
            <b/>
            <sz val="9"/>
            <color indexed="81"/>
            <rFont val="Tahoma"/>
            <family val="2"/>
          </rPr>
          <t>indira Burbano Montenegro:</t>
        </r>
        <r>
          <rPr>
            <sz val="9"/>
            <color indexed="81"/>
            <rFont val="Tahoma"/>
            <family val="2"/>
          </rPr>
          <t xml:space="preserve">
pago a 64 usuarios que protegen 1167 ha</t>
        </r>
      </text>
    </comment>
    <comment ref="M66" authorId="0" shapeId="0">
      <text>
        <r>
          <rPr>
            <b/>
            <sz val="9"/>
            <color indexed="81"/>
            <rFont val="Tahoma"/>
            <family val="2"/>
          </rPr>
          <t>indira Burbano Montenegro:</t>
        </r>
        <r>
          <rPr>
            <sz val="9"/>
            <color indexed="81"/>
            <rFont val="Tahoma"/>
            <family val="2"/>
          </rPr>
          <t xml:space="preserve">
85 familias en Ceibas</t>
        </r>
      </text>
    </comment>
    <comment ref="N66" authorId="0" shapeId="0">
      <text>
        <r>
          <rPr>
            <b/>
            <sz val="9"/>
            <color indexed="81"/>
            <rFont val="Tahoma"/>
            <family val="2"/>
          </rPr>
          <t>indira Burbano Montenegro:</t>
        </r>
        <r>
          <rPr>
            <sz val="9"/>
            <color indexed="81"/>
            <rFont val="Tahoma"/>
            <family val="2"/>
          </rPr>
          <t xml:space="preserve">
No se reporta pago</t>
        </r>
      </text>
    </comment>
    <comment ref="O66" authorId="0" shapeId="0">
      <text>
        <r>
          <rPr>
            <b/>
            <sz val="9"/>
            <color indexed="81"/>
            <rFont val="Tahoma"/>
            <family val="2"/>
          </rPr>
          <t>indira Burbano Montenegro:</t>
        </r>
        <r>
          <rPr>
            <sz val="9"/>
            <color indexed="81"/>
            <rFont val="Tahoma"/>
            <family val="2"/>
          </rPr>
          <t xml:space="preserve">
Ceibas</t>
        </r>
      </text>
    </comment>
    <comment ref="P66" authorId="0" shapeId="0">
      <text>
        <r>
          <rPr>
            <b/>
            <sz val="9"/>
            <color indexed="81"/>
            <rFont val="Tahoma"/>
            <family val="2"/>
          </rPr>
          <t>indira Burbano Montenegro:</t>
        </r>
        <r>
          <rPr>
            <sz val="9"/>
            <color indexed="81"/>
            <rFont val="Tahoma"/>
            <family val="2"/>
          </rPr>
          <t xml:space="preserve">
Pago a 93 proveedores que conservan 2981 ha</t>
        </r>
      </text>
    </comment>
    <comment ref="G67" authorId="0" shapeId="0">
      <text>
        <r>
          <rPr>
            <b/>
            <sz val="9"/>
            <color indexed="81"/>
            <rFont val="Tahoma"/>
            <family val="2"/>
          </rPr>
          <t>indira Burbano Montenegro:</t>
        </r>
        <r>
          <rPr>
            <sz val="9"/>
            <color indexed="81"/>
            <rFont val="Tahoma"/>
            <family val="2"/>
          </rPr>
          <t xml:space="preserve">
+1661 por POMCAS y 2509 por áreas protegidas</t>
        </r>
      </text>
    </comment>
    <comment ref="I67" authorId="0" shapeId="0">
      <text>
        <r>
          <rPr>
            <b/>
            <sz val="9"/>
            <color indexed="81"/>
            <rFont val="Tahoma"/>
            <family val="2"/>
          </rPr>
          <t>indira Burbano Montenegro:</t>
        </r>
        <r>
          <rPr>
            <sz val="9"/>
            <color indexed="81"/>
            <rFont val="Tahoma"/>
            <family val="2"/>
          </rPr>
          <t xml:space="preserve">
La Cam coadyuva con la compra de predios. La admón es responsabilidad de municipios</t>
        </r>
      </text>
    </comment>
    <comment ref="Q67" authorId="0" shapeId="0">
      <text>
        <r>
          <rPr>
            <b/>
            <sz val="9"/>
            <color indexed="81"/>
            <rFont val="Tahoma"/>
            <family val="2"/>
          </rPr>
          <t>indira Burbano Montenegro:</t>
        </r>
        <r>
          <rPr>
            <sz val="9"/>
            <color indexed="81"/>
            <rFont val="Tahoma"/>
            <family val="2"/>
          </rPr>
          <t xml:space="preserve">
7.933 ha adquiridas por el municipio de Neiva en cuenca del río Las Ceibas</t>
        </r>
      </text>
    </comment>
    <comment ref="R67" authorId="0" shapeId="0">
      <text>
        <r>
          <rPr>
            <b/>
            <sz val="9"/>
            <color indexed="81"/>
            <rFont val="Tahoma"/>
            <family val="2"/>
          </rPr>
          <t>indira Burbano Montenegro:</t>
        </r>
        <r>
          <rPr>
            <sz val="9"/>
            <color indexed="81"/>
            <rFont val="Tahoma"/>
            <family val="2"/>
          </rPr>
          <t xml:space="preserve">
Equipo técnico de cuencas y áreas protegidas</t>
        </r>
      </text>
    </comment>
    <comment ref="H68" authorId="0" shapeId="0">
      <text>
        <r>
          <rPr>
            <b/>
            <sz val="9"/>
            <color indexed="81"/>
            <rFont val="Tahoma"/>
            <family val="2"/>
          </rPr>
          <t>indira Burbano Montenegro:</t>
        </r>
        <r>
          <rPr>
            <sz val="9"/>
            <color indexed="81"/>
            <rFont val="Tahoma"/>
            <family val="2"/>
          </rPr>
          <t xml:space="preserve">
Valor computado en el indicador de la fila 23</t>
        </r>
      </text>
    </comment>
    <comment ref="G72" authorId="0" shapeId="0">
      <text>
        <r>
          <rPr>
            <b/>
            <sz val="9"/>
            <color indexed="81"/>
            <rFont val="Tahoma"/>
            <family val="2"/>
          </rPr>
          <t>indira Burbano Montenegro:</t>
        </r>
        <r>
          <rPr>
            <sz val="9"/>
            <color indexed="81"/>
            <rFont val="Tahoma"/>
            <family val="2"/>
          </rPr>
          <t xml:space="preserve">
Sectores piscícola y minero. Fosas para cafeteros y sistemas silvopastorilespara ganaderos. </t>
        </r>
      </text>
    </comment>
    <comment ref="O72" authorId="0" shapeId="0">
      <text>
        <r>
          <rPr>
            <b/>
            <sz val="9"/>
            <color indexed="81"/>
            <rFont val="Tahoma"/>
            <family val="2"/>
          </rPr>
          <t>indira Burbano Montenegro:</t>
        </r>
        <r>
          <rPr>
            <sz val="9"/>
            <color indexed="81"/>
            <rFont val="Tahoma"/>
            <family val="2"/>
          </rPr>
          <t xml:space="preserve">
Cacao, ganaderos, porcícola, piscícola, apícola, guadua/bambú, ladrilleros, cafetero, aguacate hass</t>
        </r>
      </text>
    </comment>
    <comment ref="Q72" authorId="1" shapeId="0">
      <text>
        <r>
          <rPr>
            <b/>
            <sz val="9"/>
            <color indexed="81"/>
            <rFont val="Tahoma"/>
            <family val="2"/>
          </rPr>
          <t>User:</t>
        </r>
        <r>
          <rPr>
            <sz val="9"/>
            <color indexed="81"/>
            <rFont val="Tahoma"/>
            <family val="2"/>
          </rPr>
          <t xml:space="preserve">
Ganadero, porcícola, cafetero, cacaotero, apícola, Hortofrutícola, Guadua-Bambú</t>
        </r>
      </text>
    </comment>
    <comment ref="G73" authorId="0" shapeId="0">
      <text>
        <r>
          <rPr>
            <b/>
            <sz val="9"/>
            <color indexed="81"/>
            <rFont val="Tahoma"/>
            <family val="2"/>
          </rPr>
          <t>indira Burbano Montenegro:</t>
        </r>
        <r>
          <rPr>
            <sz val="9"/>
            <color indexed="81"/>
            <rFont val="Tahoma"/>
            <family val="2"/>
          </rPr>
          <t xml:space="preserve">
matriz vigencia 2015</t>
        </r>
      </text>
    </comment>
    <comment ref="H73" authorId="0" shapeId="0">
      <text>
        <r>
          <rPr>
            <b/>
            <sz val="9"/>
            <color indexed="81"/>
            <rFont val="Tahoma"/>
            <family val="2"/>
          </rPr>
          <t>indira Burbano Montenegro:</t>
        </r>
        <r>
          <rPr>
            <sz val="9"/>
            <color indexed="81"/>
            <rFont val="Tahoma"/>
            <family val="2"/>
          </rPr>
          <t xml:space="preserve">
Se incluye valor ejecutado en proyecto estrategias de desarrollo bajas en carbono</t>
        </r>
      </text>
    </comment>
    <comment ref="L73" authorId="0" shapeId="0">
      <text>
        <r>
          <rPr>
            <b/>
            <sz val="9"/>
            <color indexed="81"/>
            <rFont val="Tahoma"/>
            <family val="2"/>
          </rPr>
          <t>indira Burbano Montenegro:</t>
        </r>
        <r>
          <rPr>
            <sz val="9"/>
            <color indexed="81"/>
            <rFont val="Tahoma"/>
            <family val="2"/>
          </rPr>
          <t xml:space="preserve">
valor total proyecto sectores productivos sostenibles
</t>
        </r>
      </text>
    </comment>
    <comment ref="G74" authorId="0" shapeId="0">
      <text>
        <r>
          <rPr>
            <b/>
            <sz val="9"/>
            <color indexed="81"/>
            <rFont val="Tahoma"/>
            <family val="2"/>
          </rPr>
          <t>indira Burbano Montenegro:</t>
        </r>
        <r>
          <rPr>
            <sz val="9"/>
            <color indexed="81"/>
            <rFont val="Tahoma"/>
            <family val="2"/>
          </rPr>
          <t xml:space="preserve">
En convenio con Minminas</t>
        </r>
      </text>
    </comment>
    <comment ref="H74" authorId="0" shapeId="0">
      <text>
        <r>
          <rPr>
            <b/>
            <sz val="9"/>
            <color indexed="81"/>
            <rFont val="Tahoma"/>
            <family val="2"/>
          </rPr>
          <t>indira Burbano Montenegro:</t>
        </r>
        <r>
          <rPr>
            <sz val="9"/>
            <color indexed="81"/>
            <rFont val="Tahoma"/>
            <family val="2"/>
          </rPr>
          <t xml:space="preserve">
Recursos destinados están incluidos en anterior indicador</t>
        </r>
      </text>
    </comment>
    <comment ref="G75" authorId="0" shapeId="0">
      <text>
        <r>
          <rPr>
            <b/>
            <sz val="9"/>
            <color indexed="81"/>
            <rFont val="Tahoma"/>
            <family val="2"/>
          </rPr>
          <t>indira Burbano Montenegro:</t>
        </r>
        <r>
          <rPr>
            <sz val="9"/>
            <color indexed="81"/>
            <rFont val="Tahoma"/>
            <family val="2"/>
          </rPr>
          <t xml:space="preserve">
Relleno Los Angeles, Biorgánicos del Sur y La Esperanza en Caquetá</t>
        </r>
      </text>
    </comment>
    <comment ref="H75" authorId="0" shapeId="0">
      <text>
        <r>
          <rPr>
            <b/>
            <sz val="9"/>
            <color indexed="81"/>
            <rFont val="Tahoma"/>
            <family val="2"/>
          </rPr>
          <t>indira Burbano Montenegro:</t>
        </r>
        <r>
          <rPr>
            <sz val="9"/>
            <color indexed="81"/>
            <rFont val="Tahoma"/>
            <family val="2"/>
          </rPr>
          <t xml:space="preserve">
Seguimiento a PGIR se efectuó con personal de planta</t>
        </r>
      </text>
    </comment>
    <comment ref="L75" authorId="0" shapeId="0">
      <text>
        <r>
          <rPr>
            <b/>
            <sz val="9"/>
            <color indexed="81"/>
            <rFont val="Tahoma"/>
            <family val="2"/>
          </rPr>
          <t>indira Burbano Montenegro:</t>
        </r>
        <r>
          <rPr>
            <sz val="9"/>
            <color indexed="81"/>
            <rFont val="Tahoma"/>
            <family val="2"/>
          </rPr>
          <t xml:space="preserve">
Valor invertido está sumado en indicador fila 10</t>
        </r>
      </text>
    </comment>
    <comment ref="N75" authorId="0" shapeId="0">
      <text>
        <r>
          <rPr>
            <b/>
            <sz val="9"/>
            <color indexed="81"/>
            <rFont val="Tahoma"/>
            <family val="2"/>
          </rPr>
          <t>indira Burbano Montenegro:</t>
        </r>
        <r>
          <rPr>
            <sz val="9"/>
            <color indexed="81"/>
            <rFont val="Tahoma"/>
            <family val="2"/>
          </rPr>
          <t xml:space="preserve">
Valor invertido está sumado en indicador fila 10</t>
        </r>
      </text>
    </comment>
    <comment ref="P75" authorId="0" shapeId="0">
      <text>
        <r>
          <rPr>
            <b/>
            <sz val="9"/>
            <color indexed="81"/>
            <rFont val="Tahoma"/>
            <family val="2"/>
          </rPr>
          <t>indira Burbano Montenegro:</t>
        </r>
        <r>
          <rPr>
            <sz val="9"/>
            <color indexed="81"/>
            <rFont val="Tahoma"/>
            <family val="2"/>
          </rPr>
          <t xml:space="preserve">
Valor invertido está sumado en indicador fila 10</t>
        </r>
      </text>
    </comment>
    <comment ref="R75" authorId="0" shapeId="0">
      <text>
        <r>
          <rPr>
            <b/>
            <sz val="9"/>
            <color indexed="81"/>
            <rFont val="Tahoma"/>
            <family val="2"/>
          </rPr>
          <t>indira Burbano Montenegro:</t>
        </r>
        <r>
          <rPr>
            <sz val="9"/>
            <color indexed="81"/>
            <rFont val="Tahoma"/>
            <family val="2"/>
          </rPr>
          <t xml:space="preserve">
Valor invertido está sumado en indicador fila 10</t>
        </r>
      </text>
    </comment>
  </commentList>
</comments>
</file>

<file path=xl/sharedStrings.xml><?xml version="1.0" encoding="utf-8"?>
<sst xmlns="http://schemas.openxmlformats.org/spreadsheetml/2006/main" count="313" uniqueCount="254">
  <si>
    <t>AREA PROGRAMATICA</t>
  </si>
  <si>
    <t>METAS ESTRATEGICAS</t>
  </si>
  <si>
    <t>PLANIFICACIÓN AMBIENTAL PARA LA ADECUADA OCUPACIÓN DEL TERRITORIO</t>
  </si>
  <si>
    <t>Seguimiento y apoyo a los 37 municipios y entidades territoriales indígenas para la incorporación de la gestión del riesgo y las determinantes ambientales en los procesos de planificación territorial</t>
  </si>
  <si>
    <t>Asesoría técnica a los 37 entes territoriales para la formulación de los planes municipales de gestión del riesgo</t>
  </si>
  <si>
    <t>Elaboración de estudios de amenazas, vulnerabilidad y riesgo de los 37 municipios</t>
  </si>
  <si>
    <t>Elaboración de estudios y diseños de obras para prevención y mitigación de riesgos y amenazas</t>
  </si>
  <si>
    <t>Construcción de obras para prevención y mitigación de riesgos</t>
  </si>
  <si>
    <t>Definición de los determinantes ambientales para los procesos de planificación regional y local</t>
  </si>
  <si>
    <t>Elaboración de estudios departamentales de amenazas por deslizamientos e inundación</t>
  </si>
  <si>
    <t>Asesoría y Asistencia Técnica a los 17 resguardos indígenas en los procesos de revisión y ajustes de sus planes de ordenamiento territorial</t>
  </si>
  <si>
    <t>Asesoría y Asistencia Técnica a los 17 resguardos indígenas en los procesos de formulación de los planes de manejo ambiental en articulación con los planes de vida</t>
  </si>
  <si>
    <t>Red de control y vigilancia contra el tráfico ilegal de productos de flora y fauna</t>
  </si>
  <si>
    <t>Red de control y vigilancia para el aprovechamiento del recurso hídrico (concesiones de agua, vertimientos)</t>
  </si>
  <si>
    <t>Red de control y vigilancia de la calidad atmosférica (ruido, emisiones, impacto visual)</t>
  </si>
  <si>
    <t>Atención eficiente de las contravenciones</t>
  </si>
  <si>
    <t>Mantener a la CAM con altos niveles de calificación Indice de Evaluación de Desempeño del Ministerio de Ambiente</t>
  </si>
  <si>
    <t>Incremento de los recursos provenientes del impuesto predial mediante la actualización catastral de los 37 municipios del departamento</t>
  </si>
  <si>
    <t>Implementación de la cátedra ambiental articulada a los PRAES</t>
  </si>
  <si>
    <t>Fortalecimiento Institucional de entes territoriales y acompañamiento socio ambiental a proyectos que estos ejecuten</t>
  </si>
  <si>
    <t>Fortalecimiento organizaciones de base comunitaria</t>
  </si>
  <si>
    <t>Acompañamiento en la creación de reservas de la sociedad civil</t>
  </si>
  <si>
    <t>Fortalecimiento y gestión ecosistemas compartidos (incluyendo SIRAP MACIZO)</t>
  </si>
  <si>
    <t>Implementación de planes de manejo de páramos, humedales y zonas secas</t>
  </si>
  <si>
    <t>Elaboración de estudios y monitoreo cualitativos y cuantitativos de coberturas forestales</t>
  </si>
  <si>
    <t>Elaboración e implementación de planes de manejo y conservación de especies focales de flora y fauna</t>
  </si>
  <si>
    <t>Formulación y/o ajuste de planes de ordenación y manejo de cuencas hidrográficas (POMCA), incluyendo la gestión del riesgo</t>
  </si>
  <si>
    <t>Apoyo a proyectos de tratamiento de aguas residuales de los sistemas de alcantarillado municipal</t>
  </si>
  <si>
    <t>Establecimiento e implementación del programa de ordenamiento del Recurso Hídrico del departamento del Huila (tasas retributivas, uso eficiente y ahorro del agua PUEAA, reducción de la vulnerabilidad del riesgo de desabastecimiento de agua para las cabeceras municipales)</t>
  </si>
  <si>
    <t>Adquisición de predios para la protección de áreas de importancia estratégica para la conservación y protección del recurso hídrico</t>
  </si>
  <si>
    <t>Ampliación de coberturas protectoras mediante el aislamiento, manejo de regeneración natural y enriquecimiento</t>
  </si>
  <si>
    <t>Acompañamiento a procesos de pagos por servicios ambientales</t>
  </si>
  <si>
    <t>Implementación y operación de redes para el monitoreo de la calidad del aire</t>
  </si>
  <si>
    <t>Monitoreo a la calidad de ruido</t>
  </si>
  <si>
    <t>Implementación y seguimiento de agendas de producción más limpia</t>
  </si>
  <si>
    <t>Apoyo a proceso de manejo integral de residuos sólidos</t>
  </si>
  <si>
    <t>Implementación de mecanismos para el control del manejo de residuos peligrosos contaminantes</t>
  </si>
  <si>
    <t>Identificación de iniciativas productivas dentro del concepto de mercados verdes y biocomercio</t>
  </si>
  <si>
    <t>INDICADORES ASOCIADOS</t>
  </si>
  <si>
    <t>Instancia departamental de coordinación para la gestión ambiental con los territorios étnicos creada y funcionando</t>
  </si>
  <si>
    <t>Red de control y vigilancia para el tráfico de productos de flora y fauna en operación</t>
  </si>
  <si>
    <t>Asistencia Técnica y gestión de apoyo a los resguardos indígenas para la implementación de los planes de manejo ambiental de los resguardos</t>
  </si>
  <si>
    <t>Creación, fortalecimiento y operación de una instancia  departamental de coordinación para la gestión ambiental de los territorios étnicos</t>
  </si>
  <si>
    <t>PSMV en seguimiento por parte de la CAM con referencia al número de cabeceras municipales de su jurisdicción</t>
  </si>
  <si>
    <t>Red de control y vigilancia de la calidad atmosférica en operación</t>
  </si>
  <si>
    <t>Indice de Desempeño Institucional</t>
  </si>
  <si>
    <t>Indice de Transparencia</t>
  </si>
  <si>
    <t>Estrategia implementada</t>
  </si>
  <si>
    <t>POMCA formulados</t>
  </si>
  <si>
    <t>Formulación e implementación de planes de manejo de aguas subterráneas</t>
  </si>
  <si>
    <t>Planes de manejo formulados</t>
  </si>
  <si>
    <t>Planes de manejo en ejecución</t>
  </si>
  <si>
    <t>No. Sistemas de tratamiento de aguas residuales en operación</t>
  </si>
  <si>
    <t>Apoyo a proyectos de descontaminación hídrica de sectores productivos</t>
  </si>
  <si>
    <t>Apoyo a proyectos de descontaminación hídrica en sectores rurales dispersos</t>
  </si>
  <si>
    <t>Programa establecido</t>
  </si>
  <si>
    <t>Establecimiento y mantenimiento de plantaciones forestales protectoras</t>
  </si>
  <si>
    <t>Apoyo al establecimiento de plantaciones forestales comerciales</t>
  </si>
  <si>
    <t>Administración y manejo de áreas adquiridas para la protección del recurso hídrico</t>
  </si>
  <si>
    <t>Registro de la calidad del aire en centros poblados mayores de 100.000 habitantes y corredores industriales, determinado en redes de monitoreo acompañadas por la Corporación</t>
  </si>
  <si>
    <t>Operación de la red de calidad del ruido</t>
  </si>
  <si>
    <t>Proyectos pilotos de producción más limpia de sectores productivos, acompañados por la Corporación</t>
  </si>
  <si>
    <t>Municipios con acceso a sitios de disposición final de residuos sólidos técnicamente adecuados y autorizados por la CAM (rellenos sanitarios, celdas transitorias) con referencia al total de municipios de la jurisdicción (cabeceras municipales)</t>
  </si>
  <si>
    <t>Seguimiento a generadores de residuos o desechos peligrosos en la jurisdicción</t>
  </si>
  <si>
    <t>LÍNEA ESTRATÉGICA 1: FORTALECIMIENTO INSTITUCIONAL, BASE PARA LA PLANIFICACIÓN AMBIENTAL Y LA GESTIÓN TERRITORIAL</t>
  </si>
  <si>
    <t>FORTALECIMIENTO DE MECANISMOS DE ADMINISTRACIÓN, CONTROL Y REGULACIÓN DE LOS RECURSOS NATURALES</t>
  </si>
  <si>
    <t>FORTALECIMIENTO INSTITUCIONAL, FISICO, ADMINISTRATIVO, FINANCIERO, LOGÍSTICOY HUMANO DE LA CAM</t>
  </si>
  <si>
    <t>EDUCACIÓN AMBIENTAL</t>
  </si>
  <si>
    <t>FORTALECIMIENTO Y APOYO INSTITUCIONAL A PROGRAMAS Y ACTORES EXTERNOS CON ACCIONAR AMBIENTAL</t>
  </si>
  <si>
    <t>CONSERVACIÓN, MANEJO Y ADMINISTRACIÓN DE ÁREAS PROTEGIDAS Y OTROS ECOSISTEMAS ESTRATÉGICOS</t>
  </si>
  <si>
    <t>EVALUACIÓN DE LA OFERTA Y DEMANDA AMBIENTAL</t>
  </si>
  <si>
    <t>IMPLEMENTACIÓN DE PROYECTOS PARA MITIGAR LOS EFECTOS DEL CAMBIO CLIMATICO</t>
  </si>
  <si>
    <t>GESTIÓN DEL RECURSO HÍDRICO</t>
  </si>
  <si>
    <t>PROTECCIÓN Y AMPLIACIÓN DE COBERTURAS FORESTALES</t>
  </si>
  <si>
    <t>GESTIÓN INTEGRAL DE LA CALIDAD ATMOSFERICA</t>
  </si>
  <si>
    <t>PRODUCCIÓN Y CONSUMO SOSTENIBLE</t>
  </si>
  <si>
    <t>MERCADOS VERDES Y BIOCOMERCIO</t>
  </si>
  <si>
    <t>LINEA ESTRATÉGICA 2: GESTIÓN INTEGRAL DE ÁREAS PROTEGIDAS Y DE SU BIODIVERSIDAD HACIA LA CONSOLIDACIÓN DEL SIRAP</t>
  </si>
  <si>
    <t>LÍNEA ESTRATÉGICA 3: GESTIÓN INTEGRAL DEL RECURSO HÍDRICO, SUELO, AIRE Y BOSQUE PARA SU ADECUADO APROVECHAMIENTO</t>
  </si>
  <si>
    <t>LÍNEA ESTRATÉGICA 4: USO Y APROVECHAMIENTO DE LA OFERTA NATURAL PARA EL DESARROLLO SOSTENIBLE DE LOS SECTORES PRODUCTIVOS</t>
  </si>
  <si>
    <t>&gt;=85</t>
  </si>
  <si>
    <t>ND</t>
  </si>
  <si>
    <t>Mipymes y empresas vinculadas a mercados verdes (uso y aprovechamiento sostenible de la biodiversidad, ecoproductos industriales y ecoturismo) acompañados por la Corporación</t>
  </si>
  <si>
    <t>Elaboración de estudios y monitoreo cualitativos y cuantitativos del recurso hídrico, incluidas las instalaciones y mecanismos de medición</t>
  </si>
  <si>
    <t>Elaboración y/o profundización de estudios de caracterización y manejo de páramos, humedales y zonas secas</t>
  </si>
  <si>
    <t>Firma de agendas para la producción más limpia en los  sectores productivos que generan impactos ambientales negativos</t>
  </si>
  <si>
    <t>Realizar un estudio de priorización de áreas urbanas, centros poblados y zonas rurales específicas donde se deben adelantar estudios de amenaza, vulnerabilidad y riesgo</t>
  </si>
  <si>
    <t xml:space="preserve"> 2012-2015</t>
  </si>
  <si>
    <t>META PGAR</t>
  </si>
  <si>
    <t>Cumplimiento promedio de los compromisos definidos en los convenios de producción más limpia y/o agendas ambientales suscritos</t>
  </si>
  <si>
    <t>Acompañamiento y asistencia técnica para la formulación e implementación de planes de manejo ambiental para la pequeña minería</t>
  </si>
  <si>
    <t>2016-2019</t>
  </si>
  <si>
    <t>Administración y manejo de áreas naturales protegidas regionales conforme a su plan de manejo</t>
  </si>
  <si>
    <t>Apoyo para la administración y manejo de áreas naturales protegidas municipales conforme a su plan de manejo</t>
  </si>
  <si>
    <t xml:space="preserve">Elaboración de estudios para la declaratoria de nuevas áreas naturales protegidas </t>
  </si>
  <si>
    <t>Meta que no depende exclusivamente de la autoridad ambiental regional, sino de las Secretarías de Educación Departamental y Municipales.</t>
  </si>
  <si>
    <t>Diseño e implementación de la estrategia de educación y capacitación ambiental dirigida a la comunidad en general, organizaciones comunitarias y ambientales en la cual se incluyan eventos que fomenten la conservación y protección del medio ambiente y los recursos naturales (concursos, foros, diplomados, festivales) y el apoyo de Proyectos Ciudadanos de Educación Ambiental (PROCEDA)</t>
  </si>
  <si>
    <t>El dato corresponde a las organizaciones apoyadas por el programa de Negocios Verdes; no obstante en cada proyecto se adelanta un trabajo de fortalecimiento de las organizaciones comunitarias, a través de las agendas sectoriales suscritas con sectores productivos y el trabajo realizado en las áreas protegidas y las cuencas hidrográficas.</t>
  </si>
  <si>
    <t xml:space="preserve">Corresponde a la administración de los 6 PNR y 4 DRMI declarados por la Corporación. </t>
  </si>
  <si>
    <t>Elaboración e implementación de estudios REDD (Reducción de emisiones por deforestación y degradación) para la adaptación y mitigación al cambio climático, reducción de emisión de CO2 y de Mecanismo de Desarrollo Limpio (MDL)</t>
  </si>
  <si>
    <t xml:space="preserve">La adquisición de predios  para la protección de fuentes hídricas, se realiza a través de convenios con los municipios, y la responsabilidad de su administración es  de los entes territoriales, quienes son los dueños de los predios. </t>
  </si>
  <si>
    <t xml:space="preserve">Evaluación del Desempeño </t>
  </si>
  <si>
    <t>La Corporación realizó seguimiento a la formulación y ejecución de PGIRS, PSMV y PMAA, conforme a sus competencias.</t>
  </si>
  <si>
    <t xml:space="preserve">Atendidas con visita de verificación de la infracción ambiental. </t>
  </si>
  <si>
    <t>Corresponde al área declarada como DRMI La Tatacoa, con jurisdicción en los municipios de Villavieja y Baraya.</t>
  </si>
  <si>
    <t xml:space="preserve">% AVANCE CONSOLIDADO   </t>
  </si>
  <si>
    <t>Determinantes ambientales formulados, adoptados mediante resolución y divulgados</t>
  </si>
  <si>
    <t>No se contempla meta en el plan de acción 2020-2023.</t>
  </si>
  <si>
    <t>Corresponde al área de 6 complejos de páramos con jurisdicción en el departamento, sobre los cuales se ejecutan acciones de manejo integral.</t>
  </si>
  <si>
    <t xml:space="preserve">Se realizó control y vigilancia a la calidad del aire por medio de dos estaciones de monitoreo de material particulado instaladas en el área urbana de la ciudad de Neiva. Las estaciones CAM Norte y Alcaldía de Neiva tienen como objetivo conocer la concentración del contaminante PM10 y su impacto en la calidad del aire. </t>
  </si>
  <si>
    <t>Nro. Estaciones en operación</t>
  </si>
  <si>
    <t>Nro. Especies de flora y fauna amenazadas con planes de conservación en ejecución</t>
  </si>
  <si>
    <t>Nro. estudios de caracterización y manejo de páramos, humedales y zonas secas</t>
  </si>
  <si>
    <t>Nro. reservas de la sociedad civil legalizadas</t>
  </si>
  <si>
    <t>Nro. organizaciones apoyadas</t>
  </si>
  <si>
    <t>Nro. municipios</t>
  </si>
  <si>
    <t>Nro. PROCEDA en ejecución</t>
  </si>
  <si>
    <t xml:space="preserve">Nro. Publicaciones </t>
  </si>
  <si>
    <t>Nro. Eventos realizados</t>
  </si>
  <si>
    <t>Nro. PRAES implementados</t>
  </si>
  <si>
    <t>Nro. establecimientos educativos con cátedra ambiental implementada</t>
  </si>
  <si>
    <t>Nro.  municipios con base catastral actualizada</t>
  </si>
  <si>
    <t>Nro. de contravenciones ambientales atendidas</t>
  </si>
  <si>
    <t>Nro. corrientes con reglamentación actualizada</t>
  </si>
  <si>
    <t>Nro. concesiones de agua con seguimiento</t>
  </si>
  <si>
    <t>Nro. concesiones de agua otorgadas</t>
  </si>
  <si>
    <t>Nro. resguardos indígenas que han implementado los planes de manejo ambiental de sus resguardos</t>
  </si>
  <si>
    <t>Nro. resguardos indígenas con sus planes de manejo ambiental articulados con sus planes de vida</t>
  </si>
  <si>
    <t>Nro. resguardos indígenas con sus POT revisados y ajustados</t>
  </si>
  <si>
    <t>Nro. estudios elaborados</t>
  </si>
  <si>
    <t>Nro. municipios asesorados para la revisión y ajuste de sus POT</t>
  </si>
  <si>
    <t>Nro. obras construidas para la prevención y mitigación de riesgos</t>
  </si>
  <si>
    <t>Nro. municipios con estudios de diseños de obras para la prevención y mitigación de riesgos y amenazas naturales</t>
  </si>
  <si>
    <t>Nro. municipios con estudios de amenaza, vulnerabilidad y riesgo por fenómenos de amenazas naturales</t>
  </si>
  <si>
    <t>Nro.  municipios asesorados por la CAM en formulación de planes de prevención y mitigación de desastres naturales</t>
  </si>
  <si>
    <t>Nro. municipios y ETIS con inclusión del riesgo en sus POT a partir de los determinantes ambientales generados por la Corporación</t>
  </si>
  <si>
    <t>Ha con planes de manejo en implementación</t>
  </si>
  <si>
    <t>Ha de áreas protegidas declaradas en jurisdicción de la Corporación</t>
  </si>
  <si>
    <t>Ha  ecosistemas estratégicos (Páramos) con planes de manejo u ordenación en ejecución</t>
  </si>
  <si>
    <t>Ha  ecosistemas estratégicos (Humedales) con planes de manejo u ordenación en ejecución</t>
  </si>
  <si>
    <t>Ha  ecosistemas estratégicos (Zonas Secas) con planes de manejo u ordenación en ejecución</t>
  </si>
  <si>
    <t>Nro.  proyectos para mitigación de los efectos de cambio climático formulados e implementados</t>
  </si>
  <si>
    <t>Nro. sistemas de descontaminación en operación</t>
  </si>
  <si>
    <t>Ha adquiridas</t>
  </si>
  <si>
    <t>Ha reforestadas para la protección de cuencas abastecedoras</t>
  </si>
  <si>
    <t>Ha revegetalizadas naturalmente para la protección de cuencas abastecedoras</t>
  </si>
  <si>
    <t>Ha Plantaciones forestales comerciales establecidas</t>
  </si>
  <si>
    <t>Nro. municipios con procesos de pagos por servicios ambientales implementados</t>
  </si>
  <si>
    <t>Ha adquiridas para la protección del recurso hídrico administradas adecuadamente</t>
  </si>
  <si>
    <t>Nro. minas con planes de manejo formulados y en implementación</t>
  </si>
  <si>
    <t xml:space="preserve">Nro. Iniciativas apoyadas </t>
  </si>
  <si>
    <t>Nro. Iniciativas con planes de negocios en ejecución</t>
  </si>
  <si>
    <t>RESPONSABLES</t>
  </si>
  <si>
    <t>CAM, MADS, Mininterior, Minjusticia, departamento (asistencia técnica) entes territoriales responsables de elaborar los planes y de formular los instrumentos de planificación local</t>
  </si>
  <si>
    <t>Los entes territoriales son responsables directos de la formulación de los instrumentos de planificación local</t>
  </si>
  <si>
    <t>CAM, MADS, Mininterior, Minjusticia, departamento (asistencia técnica) entes territoriales responsables de la elaboración de los planes</t>
  </si>
  <si>
    <t>Las administraciones municipales son responsables de la construcción de estas obras</t>
  </si>
  <si>
    <t>La CAM  y el departamento ofrecen la asistencia técnica. Los entes territoriales son responsables de la elaboración de los planes</t>
  </si>
  <si>
    <t>la CAM ofrece la asistencia técnica. Los entes territoriales son responsables de la elaboración de los planes</t>
  </si>
  <si>
    <t>CAM</t>
  </si>
  <si>
    <t>CAM y gobernación</t>
  </si>
  <si>
    <t>Los municipios son los responsables directos de esta acción. La CAM y gobernación ofrecerán apoyo</t>
  </si>
  <si>
    <t>Los resguardos indígenas son autónomos en sus acciones, por lo cual serán los responsables de la formulación de sus instrumentos de planificación. La CAM ofrecerá apoyo junto con la gobernación</t>
  </si>
  <si>
    <t>No se contempla en PGAR  a la CAM como fuente de financiación. Con el apoyo de la CAM vienen realizando actividades acorde con los planes de manejo ambiental</t>
  </si>
  <si>
    <t>CAM con apoyo de la fuerza pública</t>
  </si>
  <si>
    <t>CAM con apoyo de la fuerza pública y las administraciones municipales</t>
  </si>
  <si>
    <t>La actualización catastral es responsabilidad de cada entidad territorial, pero puede ser cofinanciada por el departamento y el IGAC</t>
  </si>
  <si>
    <t>Meta proyectada para los años 2011-2012. Asistencia técnica a través de su participación en Consejos Municipales para la Gestión del Riesgo de Desastres.</t>
  </si>
  <si>
    <t>Meta proyectada para los años 2011-2015. Se cuenta con determinantes ambientales, no fueron adoptados mediante resolución.</t>
  </si>
  <si>
    <t xml:space="preserve">La educación es una responsabilidad de los entes territoriales. La CAM y el departamento a través de la Secretaría de Educación ofrecerán apoyo. </t>
  </si>
  <si>
    <t>CAM con unión de esfuerzos con ONG, academia y medios de comunicación</t>
  </si>
  <si>
    <t>CAM en alianza estratégica con los entes territoriales emprenderán acciones encaminadas a mejorar el accionar ambiental</t>
  </si>
  <si>
    <t xml:space="preserve">CAM en alianza estratégica con las organizaciones de base comunitaria </t>
  </si>
  <si>
    <t xml:space="preserve">CAM y administraciones municipales </t>
  </si>
  <si>
    <t>CAM en coordinación con administraciones municipales</t>
  </si>
  <si>
    <t>CAM y PNN en coordinación con las administraciones municipales capacitarán a propietarios y asesorarán para el registro</t>
  </si>
  <si>
    <t>La CAM con los estudios existentes priorizará las áreas y profundizará los estudios de páramos, humedales y zonas secas</t>
  </si>
  <si>
    <t>CAM en coordinación con administraciones municipales y el IDEAM definirán las corrientes y adelantará las labores de monitoreo</t>
  </si>
  <si>
    <t>CAM en coordinación con gobernación realizará cada 5 años estudio de monitoreo de coberturas forestales</t>
  </si>
  <si>
    <t>CAM en coordinación con el departamento e INGEOMINAS</t>
  </si>
  <si>
    <t>CAM junto con PDA y las administraciones municipales</t>
  </si>
  <si>
    <t>CAM en coordinación con los gremos productivos</t>
  </si>
  <si>
    <t>CAM con recursos del Fondo Regional para la descontaminación del recurso hídrico, elaborará el programa de ordenamiento del recurso hídrico</t>
  </si>
  <si>
    <t>Entes territoriales, labor que puede ser apoyada por la CAM</t>
  </si>
  <si>
    <t xml:space="preserve">CAM junto con administraciones municipales </t>
  </si>
  <si>
    <t>CAM con Empresa Forestal del Huila e inversionistas privados</t>
  </si>
  <si>
    <t>Se estableció como única fuente de financiación la de entes territoriales. Ejercicio piloto en implementación en cuenca del río Las Ceibas.</t>
  </si>
  <si>
    <t>CAM acompañará a las administraciones municipales en la implementación del pago por servicios ambientales</t>
  </si>
  <si>
    <t>CAM asesorará a las empresas privadas para que formulen los planes de manejo para prevención de la contaminación atmosférica</t>
  </si>
  <si>
    <t xml:space="preserve">Meta proyectada para los años 2011-2015.  </t>
  </si>
  <si>
    <t>CAM promoverá la firma de los acuerdos</t>
  </si>
  <si>
    <t>Gremios implementarán los planes y CAM hará el seguimiento</t>
  </si>
  <si>
    <t>CAM y gobernación asesorarán a mineros en formulación de sus planes de manejo ambiental</t>
  </si>
  <si>
    <t>CAM en coordinación con administraciones municipales, ESP, PDA y gobernación promoverán proyectos para el manejo integral de residuos</t>
  </si>
  <si>
    <t xml:space="preserve">Meta proyecta a partir del año 2012. Se indica este  % de cumplimiento con relación a la verificación del avance de las actividades que se cumplieron en desarrollo del Plan Operativo de la vigencia  a través del seguimiento a las agendas de los sectores  </t>
  </si>
  <si>
    <t>Meta proyectada a partir del año 2012.</t>
  </si>
  <si>
    <t>Meta proyectada a partir del año 2012. Los 37 municipios dispusieron adecuadamente los residuos sólidos de sus cabeceras en los rellenos sanitarios Los Ángeles en Neiva, La Esperanza en Florencia y en Biorgánicos del Sur.</t>
  </si>
  <si>
    <t>Meta proyectada para los años 2012 y 2013. 37 municipios asesorados. Las entidades territoriales indígenas (ETI) en su autonomía no han formulado planes</t>
  </si>
  <si>
    <t>Asesoría y asistencia técnica a los 37 municipios en los procesos de revisión y ajustes y monitoreo de los planes de gestión integral de residuos sólidos, planes de saneamiento y manejo de vertimientos, planes maestros de acueducto y alcantarillado</t>
  </si>
  <si>
    <t>No se ha realizado medición  por parte de Transparencia por Colombia. No se considera este indicador al momento de determinar avance de la línea estratégica.</t>
  </si>
  <si>
    <t>No se contempla en PGAR  a la CAM como fuente de financiación. No depende exclusivamente de la CAM, por estar formulada la meta como instancia departamental. Por tanto no se cuenta esta meta al momento de ponderar avance de esta línea estratégica. Se respeta autonomía de las comunidades indígenas para definir la instancia departamental de coordinación.</t>
  </si>
  <si>
    <t>La estrategia RECAM se encuentra en ejecucción realizando acciones de seguimiento y control, la CAM viene implementando acciones para contrarrestar el aprovechamiento ilegal de las especies de fauna y flora silvestre, así como la atención de otras infracciones ambientales que afectan negativamente otros recursos naturales y el medio ambiente en general.</t>
  </si>
  <si>
    <t>En promedio 1 ha por humedal. Se cuenta con 21 PMA de humedales adoptados y en ejecución.</t>
  </si>
  <si>
    <t>Asesoría y asistencia técnica a los 37 municIpios en los procesos de revisión y ajustes de sus planes de ordenamiento territorial y en la formulación de planes parciales</t>
  </si>
  <si>
    <t>Apoyo a iniciativa de mercados verdes y biocomercio con la formulación e implementacIón de sus planes de negocios</t>
  </si>
  <si>
    <t>Nro. Ecosistemas compartidos gestionados</t>
  </si>
  <si>
    <t>COSTOS 2011-2023 (millones de pesos)</t>
  </si>
  <si>
    <t xml:space="preserve">OBSERVACIONES </t>
  </si>
  <si>
    <t>% AVANCE META FINANCIERA</t>
  </si>
  <si>
    <t>Nro. municipios asesorados en la revisión, ajuste y monitoreo de PGIRS, PSMV y PMAA</t>
  </si>
  <si>
    <t>Proyecto REDD Corredor Biológico Guácharos Puracé donde la CAM apoya, bajo la coordinacion de ONF Andina; Proyecto Hornillas ecoeficientes DPS;  Proyecto CI, paisajes cafeteros y cacaoteros corredor de transición andino amazónica</t>
  </si>
  <si>
    <t>Nro. Hectáreas monitoreadas</t>
  </si>
  <si>
    <t>CAM en coordinación con administraciones municipales implementará los planes de manejo para la conservación de especies de flora y fauna priorizadas</t>
  </si>
  <si>
    <t>Se elaboró y adoptó mediante Acuerdo No. 010 de 2018 el Plan de Ordenación Forestal del Huila. Se realizó monitoreo a comportamiento de parcelas revegetalizadas con recursos del PGN: 100 parcelas cada una de 50X20 para un total de 10 ha con monitoreo y seguimiento. El monitoreo de coberturas forestales lo realiza el IDEAM con una periodicidad anual, según el cual la tasa de deforestación en el Huila ha disminuido.</t>
  </si>
  <si>
    <t>TOTAL CONSOLIDADO</t>
  </si>
  <si>
    <t>TOTAL EJECUCIÓN FINANCIERA</t>
  </si>
  <si>
    <t>% AVANCE META FISICA</t>
  </si>
  <si>
    <t>No hay manera de determinar los recursos invertidos para el cumplimiento de esta actividad.</t>
  </si>
  <si>
    <t>Meta no se computa por no estar en cabeza de la CAM</t>
  </si>
  <si>
    <t>Se brinda apoyo a todos los municipios. Recursos asignados a proyectos municipales ya computados en otros indicadores.</t>
  </si>
  <si>
    <t>2023*</t>
  </si>
  <si>
    <t>No hay manera de determinar los recursos invertidos para el cumplimiento de esta actividad en unos años, ni se estableció meta.</t>
  </si>
  <si>
    <t>Meta proyectada para los años 2011-2018. No se cuenta con valor de los estudios elaborados.</t>
  </si>
  <si>
    <t>Obras consistentes en dragados, limpieza y descalce en algunos sitios críticos priorizados en el río Suaza contratadas en 2021; proyecto Timaná de vigencias expiradas, que viene desde 2019 pero se cuenta una sola vez en 2022 cuando culminó la ejecución de recursos regalías. En 2023, se realizan obras complementarias sobre el río Timaná.</t>
  </si>
  <si>
    <t>TOTAL EJECUCIÓN FÍSICA</t>
  </si>
  <si>
    <t>Los resguardos indígenas definirán de forma autónoma la conformación de la instancia departamental de coordinación departamental. La CAM y gobernación brindaran apoyo</t>
  </si>
  <si>
    <t>No se computa porque no es responsabilidad de la CAM. De todas maneras esta entidad cofinanció componentes de la actualización catastral del municipio de Rivera.</t>
  </si>
  <si>
    <t>Meta proyectada para los años 2011-2018. Como en 2018 no todos los municipios contaban con estudios AVR, continuaron elaborándose con recursos casi que exclusivamente de la CAM. En el año 2021 se ejecutaron los “estudios de amenaza, vulnerabilidad y riesgo y acotamiento de las rondas hídricas en la zona de influencia de los cascos urbanos de los municipios de Gigante, Hobo, Oporapa, Paicol y El Pital. En 2022 se ejecutaron al 100% los estudios AVR de Suaza, Isnos, Elías, Tello y Tesalia y se logró un avance del 20% de los “estudios de amenaza, vulnerabilidad y riesgo detallados  y acotamiento de las rondas hídrica en la zona de influencia de los cascos urbanos de los municipios de Yaguará y Saladoblanco, estos últimos concluyen en 2023.</t>
  </si>
  <si>
    <t xml:space="preserve">Se realizaron dos  seguimientos al año, para verificar el cumplimiento de los proyectos, obras y actividades contempladas en los cronogramas de los PSMV, formulados por los Prestadores del Servicio Público de Alcantarillado.  Se cuenta con red para el control del recurso hídrico a través de la cual se cumplen las metas señaladas para los indicadores aquí señalados.
</t>
  </si>
  <si>
    <t xml:space="preserve">Se promedia el cumplimiento de la meta física para efectos de determinar el avance de la meta principal. </t>
  </si>
  <si>
    <t xml:space="preserve"> IEDI, medición efectuada por el MADS.</t>
  </si>
  <si>
    <t>No se ha realizado  medición por parte del DANE. No se considera este indicador al momento de determinar avance de la línea estratégica.</t>
  </si>
  <si>
    <t>Le aporta de manera general al cumplimiento de la estrategia de educación ambiental.</t>
  </si>
  <si>
    <t xml:space="preserve"> Le aporta de manera general al cumplimiento de la estrategia de educación ambiental.</t>
  </si>
  <si>
    <t>Corresponde al área de los 27 PNM cuya administración corresponde a las administraciones municipales. La CAM coadyuva con inversiones en las cuencas hidrográficas, con prioridad en la abastecedoras de acueductos, donde generalmente se ubican los PNM. El indicador y el valor está relacionado con la met de compra de predios para protección de fuentes hídricas.</t>
  </si>
  <si>
    <t>165 RNSC registradas y legalmente constituidas, corresponde al acumulado.</t>
  </si>
  <si>
    <t>Meta proyectada para los años 2011-2018. En 2023 se espera concluir el POMCA del río Yaguará.</t>
  </si>
  <si>
    <t>Corresponde a pozos sépticos. Sin datos específicos porque las acciones van en el marco de ejecución de POMCAS y Planes de Manejo de Áreas Protegidas</t>
  </si>
  <si>
    <t>Se concluyó estudio de priorización de ordenamiento del recurso hídrico que permite señalar el cumplimiento del 100% de la meta. Se han venido formulando los Planes de Ordenación del Recurso Hídrico (15 PORH).</t>
  </si>
  <si>
    <t xml:space="preserve">Se ha trabajado con los siguientes sectores: Cacao, ganaderos, porcícola, piscícola, apícola, guadua/bambú, ladrilleros, cafetero, aguacate hass. </t>
  </si>
  <si>
    <t>Empresas activas vinculadas en el proyecto de Negocios Verdes</t>
  </si>
  <si>
    <t>Empresas vinculadas al programa Negocios Verdes.</t>
  </si>
  <si>
    <t xml:space="preserve">APORTE DEL PLAN DE ACCIÓN  AL PGAR 2011-2023 </t>
  </si>
  <si>
    <t>Se computa meta en cabeza de la CAM, porque se destinaron recursos a esta finalidad.</t>
  </si>
  <si>
    <t>EJECUCIÓN FINANCIERA</t>
  </si>
  <si>
    <t>EJECUCIÓN FINANCIERA A 31 DE OCTUBRE</t>
  </si>
  <si>
    <t>TOTAL PGAR 2012-2023</t>
  </si>
  <si>
    <t>PLAN DE ACCIÓN 2020-2023: HUILA TERRITORIO DE VIDA SOSTENIBILIDAD Y DESARROLLO</t>
  </si>
  <si>
    <t>PLAN DE ACCIÓN  2016-2019: HUILA RESILIENTE TERRITORIO NATURAL</t>
  </si>
  <si>
    <t>PLAN DE ACCIÓN 2012-2015: ALTO MAGDALENA: TERRITORIO VERDE Y CLIMÁTICAMENTE INTELIGENTE</t>
  </si>
  <si>
    <t>TOTAL LÍNEA ESTRATÉGICA 1</t>
  </si>
  <si>
    <t>TOTAL LÍNEA ESTRATÉGICA 2</t>
  </si>
  <si>
    <t>TOTAL LÍNEA ESTRATÉGICA 3</t>
  </si>
  <si>
    <t>TOTAL LÍNEA ESTRATÉGICA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</si>
</sst>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1" x14ac:knownFonts="1">
    <font>
      <sz val="11"/>
      <color theme="1"/>
      <name val="Calibri"/>
      <family val="2"/>
      <scheme val="minor"/>
    </font>
    <font>
      <sz val="9"/>
      <name val="Arial"/>
      <family val="2"/>
    </font>
    <font>
      <b/>
      <sz val="9"/>
      <name val="Arial"/>
      <family val="2"/>
    </font>
    <font>
      <sz val="11"/>
      <color theme="1"/>
      <name val="Calibri"/>
      <family val="2"/>
      <scheme val="minor"/>
    </font>
    <font>
      <b/>
      <sz val="9"/>
      <color theme="1"/>
      <name val="Arial"/>
      <family val="2"/>
    </font>
    <font>
      <sz val="9"/>
      <color theme="1"/>
      <name val="Arial"/>
      <family val="2"/>
    </font>
    <font>
      <b/>
      <sz val="9"/>
      <color indexed="81"/>
      <name val="Tahoma"/>
      <family val="2"/>
    </font>
    <font>
      <sz val="9"/>
      <color indexed="81"/>
      <name val="Tahoma"/>
      <family val="2"/>
    </font>
    <font>
      <b/>
      <sz val="9"/>
      <color theme="0"/>
      <name val="Arial"/>
      <family val="2"/>
    </font>
    <font>
      <b/>
      <sz val="9"/>
      <color rgb="FFFF0000"/>
      <name val="Arial"/>
      <family val="2"/>
    </font>
    <font>
      <sz val="9"/>
      <color rgb="FFFF0000"/>
      <name val="Arial"/>
      <family val="2"/>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11">
    <xf numFmtId="0" fontId="0" fillId="0" borderId="0" xfId="0"/>
    <xf numFmtId="9" fontId="5" fillId="4" borderId="1" xfId="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4" borderId="1" xfId="0" applyNumberFormat="1" applyFont="1" applyFill="1" applyBorder="1" applyAlignment="1">
      <alignment horizontal="justify" vertical="center" wrapText="1"/>
    </xf>
    <xf numFmtId="0" fontId="5" fillId="4" borderId="1" xfId="1" applyNumberFormat="1" applyFont="1" applyFill="1" applyBorder="1" applyAlignment="1">
      <alignment horizontal="center" vertical="center" wrapText="1"/>
    </xf>
    <xf numFmtId="0" fontId="5" fillId="4" borderId="1" xfId="0" applyFont="1" applyFill="1" applyBorder="1" applyAlignment="1">
      <alignment vertical="center" wrapText="1"/>
    </xf>
    <xf numFmtId="3" fontId="5" fillId="4" borderId="1" xfId="1" applyNumberFormat="1" applyFont="1" applyFill="1" applyBorder="1" applyAlignment="1">
      <alignment horizontal="center" vertical="center" wrapText="1"/>
    </xf>
    <xf numFmtId="0" fontId="5" fillId="4" borderId="1" xfId="1" applyNumberFormat="1" applyFont="1" applyFill="1" applyBorder="1" applyAlignment="1">
      <alignment vertical="center" wrapText="1"/>
    </xf>
    <xf numFmtId="164" fontId="5" fillId="4" borderId="1" xfId="2"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1" fillId="4" borderId="1" xfId="0" applyFont="1" applyFill="1" applyBorder="1" applyAlignment="1">
      <alignment horizontal="justify" vertical="center" wrapText="1"/>
    </xf>
    <xf numFmtId="3"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justify" vertical="center" wrapText="1"/>
    </xf>
    <xf numFmtId="9" fontId="1" fillId="4" borderId="1" xfId="1" applyFont="1" applyFill="1" applyBorder="1" applyAlignment="1">
      <alignment horizontal="center" vertical="center" wrapText="1"/>
    </xf>
    <xf numFmtId="0" fontId="1" fillId="4" borderId="1" xfId="1" applyNumberFormat="1"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0" fontId="5" fillId="4" borderId="1" xfId="0" applyFont="1" applyFill="1" applyBorder="1" applyAlignment="1">
      <alignment horizontal="justify" vertical="center" wrapText="1"/>
    </xf>
    <xf numFmtId="9" fontId="5" fillId="4" borderId="2" xfId="1" applyFont="1" applyFill="1" applyBorder="1" applyAlignment="1">
      <alignment horizontal="center" vertical="center" wrapText="1"/>
    </xf>
    <xf numFmtId="9" fontId="5" fillId="4" borderId="3" xfId="1" applyFont="1" applyFill="1" applyBorder="1" applyAlignment="1">
      <alignment horizontal="center" vertical="center" wrapText="1"/>
    </xf>
    <xf numFmtId="0" fontId="5" fillId="4" borderId="2" xfId="0" applyFont="1" applyFill="1" applyBorder="1" applyAlignment="1">
      <alignment horizontal="left" vertical="center" wrapText="1"/>
    </xf>
    <xf numFmtId="3" fontId="5" fillId="4" borderId="2" xfId="0" applyNumberFormat="1" applyFont="1" applyFill="1" applyBorder="1" applyAlignment="1">
      <alignment horizontal="justify" vertical="center" wrapText="1"/>
    </xf>
    <xf numFmtId="3" fontId="5" fillId="4" borderId="3" xfId="0" applyNumberFormat="1" applyFont="1" applyFill="1" applyBorder="1" applyAlignment="1">
      <alignment horizontal="justify" vertical="center" wrapText="1"/>
    </xf>
    <xf numFmtId="3" fontId="5" fillId="4" borderId="2"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0" fontId="5" fillId="4" borderId="3" xfId="1" applyNumberFormat="1" applyFont="1" applyFill="1" applyBorder="1" applyAlignment="1">
      <alignment horizontal="center" vertical="center" wrapText="1"/>
    </xf>
    <xf numFmtId="0" fontId="5" fillId="4" borderId="2" xfId="1" applyNumberFormat="1" applyFont="1" applyFill="1" applyBorder="1" applyAlignment="1">
      <alignment horizontal="center" vertical="center" wrapText="1"/>
    </xf>
    <xf numFmtId="3" fontId="5" fillId="4" borderId="2" xfId="0" applyNumberFormat="1" applyFont="1" applyFill="1" applyBorder="1" applyAlignment="1">
      <alignment horizontal="center" vertical="center" wrapText="1"/>
    </xf>
    <xf numFmtId="0" fontId="5" fillId="4" borderId="2" xfId="1" applyNumberFormat="1" applyFont="1" applyFill="1" applyBorder="1" applyAlignment="1">
      <alignment horizontal="center" vertical="center" wrapText="1"/>
    </xf>
    <xf numFmtId="0" fontId="5" fillId="4" borderId="1" xfId="0" applyFont="1" applyFill="1" applyBorder="1" applyAlignment="1">
      <alignment horizontal="justify" vertical="center" wrapText="1"/>
    </xf>
    <xf numFmtId="0" fontId="5" fillId="0" borderId="0" xfId="0" applyFont="1" applyAlignment="1">
      <alignment horizontal="justify" vertical="center" wrapText="1"/>
    </xf>
    <xf numFmtId="0" fontId="5" fillId="2" borderId="0" xfId="0" applyFont="1" applyFill="1" applyAlignment="1">
      <alignment horizontal="justify" vertical="center" wrapText="1"/>
    </xf>
    <xf numFmtId="2" fontId="5" fillId="2" borderId="0" xfId="0" applyNumberFormat="1" applyFont="1" applyFill="1" applyAlignment="1">
      <alignment horizontal="center" vertical="center" wrapText="1"/>
    </xf>
    <xf numFmtId="10" fontId="5" fillId="2" borderId="0" xfId="0" applyNumberFormat="1" applyFont="1" applyFill="1" applyAlignment="1">
      <alignment horizontal="justify" vertical="center" wrapText="1"/>
    </xf>
    <xf numFmtId="0" fontId="1" fillId="2" borderId="0" xfId="0" applyFont="1" applyFill="1" applyAlignment="1">
      <alignment horizontal="justify" vertical="center" wrapText="1"/>
    </xf>
    <xf numFmtId="0" fontId="5" fillId="2" borderId="0" xfId="1" applyNumberFormat="1" applyFont="1" applyFill="1" applyAlignment="1">
      <alignment horizontal="justify" vertical="center" wrapText="1"/>
    </xf>
    <xf numFmtId="0" fontId="5" fillId="2" borderId="0" xfId="0" applyFont="1" applyFill="1" applyAlignment="1">
      <alignment horizontal="center" vertical="center" wrapText="1"/>
    </xf>
    <xf numFmtId="9" fontId="5" fillId="2" borderId="0" xfId="0" applyNumberFormat="1" applyFont="1" applyFill="1" applyAlignment="1">
      <alignment horizontal="justify" vertical="center" wrapText="1"/>
    </xf>
    <xf numFmtId="2" fontId="5" fillId="2" borderId="0" xfId="0" applyNumberFormat="1" applyFont="1" applyFill="1" applyAlignment="1">
      <alignment horizontal="justify" vertical="center" wrapText="1"/>
    </xf>
    <xf numFmtId="0" fontId="10" fillId="0" borderId="0" xfId="0" applyFont="1" applyAlignment="1">
      <alignment horizontal="justify" vertical="center" wrapText="1"/>
    </xf>
    <xf numFmtId="9" fontId="5" fillId="0" borderId="0" xfId="0" applyNumberFormat="1" applyFont="1" applyAlignment="1">
      <alignment horizontal="justify" vertical="center" wrapText="1"/>
    </xf>
    <xf numFmtId="3" fontId="5" fillId="4" borderId="1" xfId="0" applyNumberFormat="1" applyFont="1" applyFill="1" applyBorder="1" applyAlignment="1">
      <alignment horizontal="center" vertical="center" wrapText="1"/>
    </xf>
    <xf numFmtId="9" fontId="5" fillId="4" borderId="1" xfId="1" applyFont="1" applyFill="1" applyBorder="1" applyAlignment="1">
      <alignment horizontal="center" vertical="center" wrapText="1"/>
    </xf>
    <xf numFmtId="0" fontId="5" fillId="4" borderId="1" xfId="1" applyNumberFormat="1" applyFont="1" applyFill="1" applyBorder="1" applyAlignment="1">
      <alignment horizontal="center" vertical="center" wrapText="1"/>
    </xf>
    <xf numFmtId="3" fontId="5" fillId="4" borderId="1" xfId="0" applyNumberFormat="1" applyFont="1" applyFill="1" applyBorder="1" applyAlignment="1">
      <alignment horizontal="justify" vertical="center" wrapText="1"/>
    </xf>
    <xf numFmtId="164" fontId="5" fillId="4" borderId="1" xfId="2" applyNumberFormat="1" applyFont="1" applyFill="1" applyBorder="1" applyAlignment="1">
      <alignment vertical="center" wrapText="1"/>
    </xf>
    <xf numFmtId="0" fontId="4" fillId="0" borderId="0" xfId="0" applyFont="1" applyBorder="1" applyAlignment="1">
      <alignment horizontal="center" vertical="center" wrapText="1"/>
    </xf>
    <xf numFmtId="0" fontId="2"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4" borderId="7" xfId="0" applyFont="1" applyFill="1" applyBorder="1" applyAlignment="1">
      <alignment horizontal="justify" vertical="center" wrapText="1"/>
    </xf>
    <xf numFmtId="0" fontId="1" fillId="4" borderId="7" xfId="0" applyFont="1" applyFill="1" applyBorder="1" applyAlignment="1">
      <alignment horizontal="justify" vertical="center" wrapText="1"/>
    </xf>
    <xf numFmtId="0" fontId="5" fillId="4" borderId="7"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3" xfId="0" applyFont="1" applyFill="1" applyBorder="1" applyAlignment="1">
      <alignment horizontal="justify" vertical="center" wrapText="1"/>
    </xf>
    <xf numFmtId="3" fontId="1" fillId="4" borderId="3" xfId="0" applyNumberFormat="1" applyFont="1" applyFill="1" applyBorder="1" applyAlignment="1">
      <alignment horizontal="center" vertical="center" wrapText="1"/>
    </xf>
    <xf numFmtId="0" fontId="5" fillId="4" borderId="11" xfId="0" applyFont="1" applyFill="1" applyBorder="1" applyAlignment="1">
      <alignment horizontal="justify"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vertical="center" wrapText="1"/>
    </xf>
    <xf numFmtId="3" fontId="5" fillId="4" borderId="1" xfId="1"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4" borderId="1" xfId="0" applyFont="1" applyFill="1" applyBorder="1" applyAlignment="1">
      <alignment horizontal="justify" vertical="center" wrapText="1"/>
    </xf>
    <xf numFmtId="9" fontId="1" fillId="4" borderId="1" xfId="1"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5" fillId="4" borderId="2" xfId="0" applyFont="1" applyFill="1" applyBorder="1" applyAlignment="1">
      <alignment horizontal="justify" vertical="center" wrapText="1"/>
    </xf>
    <xf numFmtId="3" fontId="1" fillId="4" borderId="2" xfId="0" applyNumberFormat="1" applyFont="1" applyFill="1" applyBorder="1" applyAlignment="1">
      <alignment horizontal="center" vertical="center" wrapText="1"/>
    </xf>
    <xf numFmtId="3" fontId="5" fillId="4" borderId="2" xfId="1" applyNumberFormat="1" applyFont="1" applyFill="1" applyBorder="1" applyAlignment="1">
      <alignment horizontal="center" vertical="center" wrapText="1"/>
    </xf>
    <xf numFmtId="0" fontId="5" fillId="4" borderId="20" xfId="0" applyFont="1" applyFill="1" applyBorder="1" applyAlignment="1">
      <alignment horizontal="justify"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3" fontId="4" fillId="3" borderId="13" xfId="0" applyNumberFormat="1" applyFont="1" applyFill="1" applyBorder="1" applyAlignment="1">
      <alignment horizontal="center" vertical="center" wrapText="1"/>
    </xf>
    <xf numFmtId="3" fontId="9" fillId="3" borderId="13" xfId="0" applyNumberFormat="1" applyFont="1" applyFill="1" applyBorder="1" applyAlignment="1">
      <alignment horizontal="center" vertical="center" wrapText="1"/>
    </xf>
    <xf numFmtId="9" fontId="4" fillId="3" borderId="13" xfId="1" applyFont="1" applyFill="1" applyBorder="1" applyAlignment="1">
      <alignment horizontal="center" vertical="center" wrapText="1"/>
    </xf>
    <xf numFmtId="0" fontId="4" fillId="3" borderId="13" xfId="1" applyNumberFormat="1" applyFont="1" applyFill="1" applyBorder="1" applyAlignment="1">
      <alignment horizontal="center" vertical="center" wrapText="1"/>
    </xf>
    <xf numFmtId="0" fontId="4" fillId="4" borderId="19" xfId="0" applyFont="1" applyFill="1" applyBorder="1" applyAlignment="1">
      <alignment horizontal="justify" vertical="center" wrapText="1"/>
    </xf>
    <xf numFmtId="0" fontId="2" fillId="4" borderId="19" xfId="0" applyFont="1" applyFill="1" applyBorder="1" applyAlignment="1">
      <alignment horizontal="center" vertical="center" wrapText="1"/>
    </xf>
    <xf numFmtId="0" fontId="1" fillId="4" borderId="2" xfId="0" applyFont="1" applyFill="1" applyBorder="1" applyAlignment="1">
      <alignment horizontal="justify" vertical="center" wrapText="1"/>
    </xf>
    <xf numFmtId="0" fontId="1" fillId="4" borderId="2" xfId="0" applyFont="1" applyFill="1" applyBorder="1" applyAlignment="1">
      <alignment horizontal="justify" vertical="center" wrapText="1"/>
    </xf>
    <xf numFmtId="9" fontId="1" fillId="4" borderId="2" xfId="1" applyFont="1" applyFill="1" applyBorder="1" applyAlignment="1">
      <alignment horizontal="center" vertical="center" wrapText="1"/>
    </xf>
    <xf numFmtId="0" fontId="1" fillId="4" borderId="20" xfId="0" applyFont="1" applyFill="1" applyBorder="1" applyAlignment="1">
      <alignment horizontal="justify" vertical="center" wrapText="1"/>
    </xf>
    <xf numFmtId="0" fontId="4" fillId="5" borderId="16" xfId="0" applyFont="1" applyFill="1" applyBorder="1" applyAlignment="1">
      <alignment horizontal="center" vertical="center" wrapText="1"/>
    </xf>
    <xf numFmtId="0" fontId="4" fillId="5" borderId="18" xfId="0" applyFont="1" applyFill="1" applyBorder="1" applyAlignment="1">
      <alignment horizontal="center" vertical="center" wrapText="1"/>
    </xf>
    <xf numFmtId="3" fontId="4" fillId="5" borderId="18" xfId="0" applyNumberFormat="1" applyFont="1" applyFill="1" applyBorder="1" applyAlignment="1">
      <alignment horizontal="center" vertical="center" wrapText="1"/>
    </xf>
    <xf numFmtId="9" fontId="4" fillId="5" borderId="18" xfId="1" applyFont="1" applyFill="1" applyBorder="1" applyAlignment="1">
      <alignment horizontal="center" vertical="center" wrapText="1"/>
    </xf>
    <xf numFmtId="0" fontId="4" fillId="5" borderId="18" xfId="1" applyNumberFormat="1"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3" fontId="4" fillId="3" borderId="13" xfId="0" applyNumberFormat="1" applyFont="1" applyFill="1" applyBorder="1" applyAlignment="1">
      <alignment horizontal="justify" vertical="center" wrapText="1"/>
    </xf>
    <xf numFmtId="0" fontId="4" fillId="3" borderId="14" xfId="0" applyFont="1" applyFill="1" applyBorder="1" applyAlignment="1">
      <alignment horizontal="justify" vertical="center" wrapText="1"/>
    </xf>
    <xf numFmtId="0" fontId="4" fillId="2" borderId="0" xfId="0" applyFont="1" applyFill="1" applyAlignment="1">
      <alignment horizontal="justify" vertical="center" wrapText="1"/>
    </xf>
    <xf numFmtId="0" fontId="4" fillId="5" borderId="18" xfId="0" applyFont="1" applyFill="1" applyBorder="1" applyAlignment="1">
      <alignment horizontal="justify" vertical="center" wrapText="1"/>
    </xf>
    <xf numFmtId="0" fontId="9" fillId="5" borderId="18" xfId="0" applyFont="1" applyFill="1" applyBorder="1" applyAlignment="1">
      <alignment horizontal="justify" vertical="center" wrapText="1"/>
    </xf>
    <xf numFmtId="0" fontId="4" fillId="5" borderId="24" xfId="0" applyFont="1" applyFill="1" applyBorder="1" applyAlignment="1">
      <alignment horizontal="justify" vertical="center" wrapText="1"/>
    </xf>
    <xf numFmtId="0" fontId="4" fillId="0" borderId="0" xfId="0" applyFont="1" applyAlignment="1">
      <alignment horizontal="justify" vertical="center" wrapText="1"/>
    </xf>
    <xf numFmtId="9" fontId="4" fillId="4" borderId="3"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9" fontId="4" fillId="4" borderId="1" xfId="1" applyFont="1" applyFill="1" applyBorder="1" applyAlignment="1">
      <alignment horizontal="center" vertical="center" wrapText="1"/>
    </xf>
    <xf numFmtId="9" fontId="4" fillId="4" borderId="2" xfId="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1"/>
  <sheetViews>
    <sheetView tabSelected="1" topLeftCell="D2" zoomScale="75" zoomScaleNormal="75" workbookViewId="0">
      <pane ySplit="3" topLeftCell="A5" activePane="bottomLeft" state="frozen"/>
      <selection activeCell="B2" sqref="B2"/>
      <selection pane="bottomLeft" activeCell="W105" sqref="W105"/>
    </sheetView>
  </sheetViews>
  <sheetFormatPr baseColWidth="10" defaultRowHeight="12" x14ac:dyDescent="0.25"/>
  <cols>
    <col min="1" max="1" width="46.42578125" style="29" bestFit="1" customWidth="1"/>
    <col min="2" max="2" width="27.85546875" style="29" customWidth="1"/>
    <col min="3" max="3" width="26" style="29" customWidth="1"/>
    <col min="4" max="5" width="12.5703125" style="29" customWidth="1"/>
    <col min="6" max="6" width="30.42578125" style="29" customWidth="1"/>
    <col min="7" max="7" width="13.7109375" style="29" customWidth="1"/>
    <col min="8" max="8" width="15.7109375" style="29" customWidth="1"/>
    <col min="9" max="9" width="15" style="29" customWidth="1"/>
    <col min="10" max="10" width="16.28515625" style="29" customWidth="1"/>
    <col min="11" max="11" width="7.85546875" style="29" customWidth="1"/>
    <col min="12" max="12" width="15" style="29" customWidth="1"/>
    <col min="13" max="13" width="7.7109375" style="29" customWidth="1"/>
    <col min="14" max="14" width="18.7109375" style="29" customWidth="1"/>
    <col min="15" max="15" width="8.140625" style="29" customWidth="1"/>
    <col min="16" max="16" width="16.5703125" style="29" customWidth="1"/>
    <col min="17" max="17" width="9.7109375" style="38" customWidth="1"/>
    <col min="18" max="18" width="16.42578125" style="29" customWidth="1"/>
    <col min="19" max="19" width="14.5703125" style="29" bestFit="1" customWidth="1"/>
    <col min="20" max="20" width="14.5703125" style="29" customWidth="1"/>
    <col min="21" max="21" width="13.7109375" style="29" customWidth="1"/>
    <col min="22" max="22" width="12.42578125" style="29" customWidth="1"/>
    <col min="23" max="23" width="20.42578125" style="29" customWidth="1"/>
    <col min="24" max="24" width="66" style="29" customWidth="1"/>
    <col min="25" max="16384" width="11.42578125" style="29"/>
  </cols>
  <sheetData>
    <row r="1" spans="1:26" ht="21" customHeight="1" thickBot="1" x14ac:dyDescent="0.3">
      <c r="A1" s="45" t="s">
        <v>242</v>
      </c>
      <c r="B1" s="45"/>
      <c r="C1" s="45"/>
      <c r="D1" s="45"/>
      <c r="E1" s="45"/>
      <c r="F1" s="45"/>
      <c r="G1" s="45"/>
      <c r="H1" s="45"/>
      <c r="I1" s="45"/>
      <c r="J1" s="45"/>
      <c r="K1" s="45"/>
      <c r="L1" s="45"/>
      <c r="M1" s="45"/>
      <c r="N1" s="45"/>
      <c r="O1" s="45"/>
      <c r="P1" s="45"/>
      <c r="Q1" s="45"/>
      <c r="R1" s="45"/>
      <c r="S1" s="45"/>
      <c r="T1" s="45"/>
      <c r="U1" s="45"/>
      <c r="V1" s="45"/>
      <c r="W1" s="45"/>
      <c r="X1" s="45"/>
    </row>
    <row r="2" spans="1:26" ht="72" customHeight="1" x14ac:dyDescent="0.25">
      <c r="A2" s="69" t="s">
        <v>0</v>
      </c>
      <c r="B2" s="71" t="s">
        <v>1</v>
      </c>
      <c r="C2" s="71" t="s">
        <v>38</v>
      </c>
      <c r="D2" s="46" t="s">
        <v>88</v>
      </c>
      <c r="E2" s="46" t="s">
        <v>206</v>
      </c>
      <c r="F2" s="46" t="s">
        <v>152</v>
      </c>
      <c r="G2" s="47" t="s">
        <v>249</v>
      </c>
      <c r="H2" s="47"/>
      <c r="I2" s="47" t="s">
        <v>248</v>
      </c>
      <c r="J2" s="47"/>
      <c r="K2" s="47" t="s">
        <v>247</v>
      </c>
      <c r="L2" s="47"/>
      <c r="M2" s="47"/>
      <c r="N2" s="47"/>
      <c r="O2" s="47"/>
      <c r="P2" s="47"/>
      <c r="Q2" s="47"/>
      <c r="R2" s="47"/>
      <c r="S2" s="47" t="s">
        <v>246</v>
      </c>
      <c r="T2" s="47"/>
      <c r="U2" s="47"/>
      <c r="V2" s="47"/>
      <c r="W2" s="47"/>
      <c r="X2" s="48" t="s">
        <v>207</v>
      </c>
    </row>
    <row r="3" spans="1:26" ht="57.75" customHeight="1" thickBot="1" x14ac:dyDescent="0.3">
      <c r="A3" s="70"/>
      <c r="B3" s="72"/>
      <c r="C3" s="72"/>
      <c r="D3" s="54"/>
      <c r="E3" s="54"/>
      <c r="F3" s="54"/>
      <c r="G3" s="53" t="s">
        <v>87</v>
      </c>
      <c r="H3" s="53" t="s">
        <v>244</v>
      </c>
      <c r="I3" s="53" t="s">
        <v>91</v>
      </c>
      <c r="J3" s="53" t="s">
        <v>244</v>
      </c>
      <c r="K3" s="53">
        <v>2020</v>
      </c>
      <c r="L3" s="53" t="s">
        <v>244</v>
      </c>
      <c r="M3" s="53">
        <v>2021</v>
      </c>
      <c r="N3" s="53" t="s">
        <v>244</v>
      </c>
      <c r="O3" s="53">
        <v>2022</v>
      </c>
      <c r="P3" s="53" t="s">
        <v>244</v>
      </c>
      <c r="Q3" s="53" t="s">
        <v>220</v>
      </c>
      <c r="R3" s="53" t="s">
        <v>245</v>
      </c>
      <c r="S3" s="53" t="s">
        <v>215</v>
      </c>
      <c r="T3" s="53" t="s">
        <v>208</v>
      </c>
      <c r="U3" s="53" t="s">
        <v>224</v>
      </c>
      <c r="V3" s="53" t="s">
        <v>216</v>
      </c>
      <c r="W3" s="53" t="s">
        <v>105</v>
      </c>
      <c r="X3" s="55"/>
    </row>
    <row r="4" spans="1:26" ht="26.25" customHeight="1" thickBot="1" x14ac:dyDescent="0.3">
      <c r="A4" s="60" t="s">
        <v>64</v>
      </c>
      <c r="B4" s="61"/>
      <c r="C4" s="61"/>
      <c r="D4" s="61"/>
      <c r="E4" s="61"/>
      <c r="F4" s="61"/>
      <c r="G4" s="61"/>
      <c r="H4" s="61"/>
      <c r="I4" s="61"/>
      <c r="J4" s="61"/>
      <c r="K4" s="61"/>
      <c r="L4" s="61"/>
      <c r="M4" s="61"/>
      <c r="N4" s="61"/>
      <c r="O4" s="61"/>
      <c r="P4" s="61"/>
      <c r="Q4" s="61"/>
      <c r="R4" s="61"/>
      <c r="S4" s="61"/>
      <c r="T4" s="61"/>
      <c r="U4" s="61"/>
      <c r="V4" s="61"/>
      <c r="W4" s="61"/>
      <c r="X4" s="62"/>
    </row>
    <row r="5" spans="1:26" s="30" customFormat="1" ht="84.75" customHeight="1" x14ac:dyDescent="0.25">
      <c r="A5" s="56" t="s">
        <v>2</v>
      </c>
      <c r="B5" s="57" t="s">
        <v>3</v>
      </c>
      <c r="C5" s="57" t="s">
        <v>135</v>
      </c>
      <c r="D5" s="23">
        <v>54</v>
      </c>
      <c r="E5" s="23">
        <v>300</v>
      </c>
      <c r="F5" s="21" t="s">
        <v>153</v>
      </c>
      <c r="G5" s="23">
        <v>37</v>
      </c>
      <c r="H5" s="23">
        <v>0</v>
      </c>
      <c r="I5" s="23">
        <v>37</v>
      </c>
      <c r="J5" s="23">
        <v>0</v>
      </c>
      <c r="K5" s="23">
        <v>37</v>
      </c>
      <c r="L5" s="23">
        <v>0</v>
      </c>
      <c r="M5" s="23">
        <v>37</v>
      </c>
      <c r="N5" s="23">
        <v>0</v>
      </c>
      <c r="O5" s="23">
        <v>37</v>
      </c>
      <c r="P5" s="23">
        <v>0</v>
      </c>
      <c r="Q5" s="58">
        <v>32</v>
      </c>
      <c r="R5" s="23">
        <v>0</v>
      </c>
      <c r="S5" s="23">
        <f>+H5+J5+L5+N5+P5+R5</f>
        <v>0</v>
      </c>
      <c r="T5" s="18">
        <f t="shared" ref="T5:T13" si="0">+S5/E5</f>
        <v>0</v>
      </c>
      <c r="U5" s="24">
        <v>37</v>
      </c>
      <c r="V5" s="18">
        <f>+U5/D5</f>
        <v>0.68518518518518523</v>
      </c>
      <c r="W5" s="104">
        <v>0.94</v>
      </c>
      <c r="X5" s="59" t="s">
        <v>197</v>
      </c>
      <c r="Z5" s="31"/>
    </row>
    <row r="6" spans="1:26" s="30" customFormat="1" ht="60" x14ac:dyDescent="0.25">
      <c r="A6" s="49"/>
      <c r="B6" s="16" t="s">
        <v>4</v>
      </c>
      <c r="C6" s="16" t="s">
        <v>134</v>
      </c>
      <c r="D6" s="2">
        <v>37</v>
      </c>
      <c r="E6" s="2">
        <v>300</v>
      </c>
      <c r="F6" s="3" t="s">
        <v>155</v>
      </c>
      <c r="G6" s="2">
        <v>37</v>
      </c>
      <c r="H6" s="2">
        <f>59.6+107.8+57.1+98.7</f>
        <v>323.2</v>
      </c>
      <c r="I6" s="2">
        <v>37</v>
      </c>
      <c r="J6" s="2">
        <v>1304.2</v>
      </c>
      <c r="K6" s="2">
        <v>37</v>
      </c>
      <c r="L6" s="2">
        <v>0</v>
      </c>
      <c r="M6" s="2">
        <v>37</v>
      </c>
      <c r="N6" s="2">
        <v>0</v>
      </c>
      <c r="O6" s="2">
        <v>37</v>
      </c>
      <c r="P6" s="2">
        <v>0</v>
      </c>
      <c r="Q6" s="11">
        <v>37</v>
      </c>
      <c r="R6" s="2">
        <v>0</v>
      </c>
      <c r="S6" s="2">
        <f t="shared" ref="S6:S13" si="1">+H6+J6+L6+N6+P6+R6</f>
        <v>1627.4</v>
      </c>
      <c r="T6" s="1">
        <f t="shared" si="0"/>
        <v>5.424666666666667</v>
      </c>
      <c r="U6" s="4">
        <v>37</v>
      </c>
      <c r="V6" s="1">
        <f t="shared" ref="V6:V36" si="2">+U6/D6</f>
        <v>1</v>
      </c>
      <c r="W6" s="105"/>
      <c r="X6" s="50" t="s">
        <v>167</v>
      </c>
      <c r="Y6" s="32"/>
      <c r="Z6" s="31"/>
    </row>
    <row r="7" spans="1:26" s="30" customFormat="1" ht="120" x14ac:dyDescent="0.25">
      <c r="A7" s="49"/>
      <c r="B7" s="5" t="s">
        <v>5</v>
      </c>
      <c r="C7" s="16" t="s">
        <v>133</v>
      </c>
      <c r="D7" s="2">
        <v>37</v>
      </c>
      <c r="E7" s="2">
        <v>4060</v>
      </c>
      <c r="F7" s="3" t="s">
        <v>154</v>
      </c>
      <c r="G7" s="2">
        <v>2</v>
      </c>
      <c r="H7" s="2">
        <f>1319+1309.5+1240.2</f>
        <v>3868.7</v>
      </c>
      <c r="I7" s="2">
        <v>14</v>
      </c>
      <c r="J7" s="2">
        <v>2341.1999999999998</v>
      </c>
      <c r="K7" s="2">
        <v>0</v>
      </c>
      <c r="L7" s="2">
        <v>1481</v>
      </c>
      <c r="M7" s="2">
        <v>5</v>
      </c>
      <c r="N7" s="2">
        <v>1457</v>
      </c>
      <c r="O7" s="2">
        <v>5</v>
      </c>
      <c r="P7" s="2">
        <v>735</v>
      </c>
      <c r="Q7" s="11">
        <v>2</v>
      </c>
      <c r="R7" s="2">
        <v>711</v>
      </c>
      <c r="S7" s="2">
        <f t="shared" si="1"/>
        <v>10593.9</v>
      </c>
      <c r="T7" s="1">
        <f t="shared" si="0"/>
        <v>2.6093349753694581</v>
      </c>
      <c r="U7" s="6">
        <f>+G7+I7+K7+M7+O7+Q7</f>
        <v>28</v>
      </c>
      <c r="V7" s="1">
        <f t="shared" si="2"/>
        <v>0.7567567567567568</v>
      </c>
      <c r="W7" s="105"/>
      <c r="X7" s="50" t="s">
        <v>227</v>
      </c>
    </row>
    <row r="8" spans="1:26" s="30" customFormat="1" ht="48" x14ac:dyDescent="0.25">
      <c r="A8" s="49"/>
      <c r="B8" s="16" t="s">
        <v>6</v>
      </c>
      <c r="C8" s="16" t="s">
        <v>132</v>
      </c>
      <c r="D8" s="2">
        <v>37</v>
      </c>
      <c r="E8" s="2">
        <v>4070</v>
      </c>
      <c r="F8" s="3" t="s">
        <v>154</v>
      </c>
      <c r="G8" s="2">
        <v>5</v>
      </c>
      <c r="H8" s="2">
        <v>0</v>
      </c>
      <c r="I8" s="2">
        <v>2</v>
      </c>
      <c r="J8" s="2">
        <v>1175.5</v>
      </c>
      <c r="K8" s="2">
        <v>0</v>
      </c>
      <c r="L8" s="2">
        <v>0</v>
      </c>
      <c r="M8" s="2">
        <v>5</v>
      </c>
      <c r="N8" s="2">
        <v>0</v>
      </c>
      <c r="O8" s="2">
        <v>5</v>
      </c>
      <c r="P8" s="2">
        <v>0</v>
      </c>
      <c r="Q8" s="11">
        <v>2</v>
      </c>
      <c r="R8" s="2">
        <v>0</v>
      </c>
      <c r="S8" s="2">
        <f t="shared" si="1"/>
        <v>1175.5</v>
      </c>
      <c r="T8" s="1">
        <f t="shared" si="0"/>
        <v>0.2888206388206388</v>
      </c>
      <c r="U8" s="6">
        <f>+G8+I8+K8+M8+O8+Q8</f>
        <v>19</v>
      </c>
      <c r="V8" s="1">
        <f t="shared" si="2"/>
        <v>0.51351351351351349</v>
      </c>
      <c r="W8" s="105"/>
      <c r="X8" s="50" t="s">
        <v>243</v>
      </c>
    </row>
    <row r="9" spans="1:26" s="30" customFormat="1" ht="64.5" customHeight="1" x14ac:dyDescent="0.25">
      <c r="A9" s="49"/>
      <c r="B9" s="16" t="s">
        <v>7</v>
      </c>
      <c r="C9" s="16" t="s">
        <v>131</v>
      </c>
      <c r="D9" s="2">
        <v>23</v>
      </c>
      <c r="E9" s="2">
        <v>48000</v>
      </c>
      <c r="F9" s="3" t="s">
        <v>156</v>
      </c>
      <c r="G9" s="2">
        <v>27</v>
      </c>
      <c r="H9" s="2">
        <f>1436.2+5046.6+2557.2</f>
        <v>9040</v>
      </c>
      <c r="I9" s="2">
        <v>12</v>
      </c>
      <c r="J9" s="2">
        <v>5001.3</v>
      </c>
      <c r="K9" s="2">
        <v>0</v>
      </c>
      <c r="L9" s="2">
        <v>106</v>
      </c>
      <c r="M9" s="2">
        <v>1</v>
      </c>
      <c r="N9" s="2">
        <v>4184</v>
      </c>
      <c r="O9" s="2">
        <v>1</v>
      </c>
      <c r="P9" s="2">
        <v>4491</v>
      </c>
      <c r="Q9" s="11">
        <v>1</v>
      </c>
      <c r="R9" s="2">
        <v>22</v>
      </c>
      <c r="S9" s="2">
        <f t="shared" si="1"/>
        <v>22844.3</v>
      </c>
      <c r="T9" s="1">
        <f t="shared" si="0"/>
        <v>0.47592291666666664</v>
      </c>
      <c r="U9" s="6">
        <f>+G9+I9+K9+M9+O9+Q9</f>
        <v>42</v>
      </c>
      <c r="V9" s="1">
        <v>1</v>
      </c>
      <c r="W9" s="105"/>
      <c r="X9" s="50" t="s">
        <v>223</v>
      </c>
    </row>
    <row r="10" spans="1:26" s="33" customFormat="1" ht="85.5" customHeight="1" x14ac:dyDescent="0.25">
      <c r="A10" s="49"/>
      <c r="B10" s="10" t="s">
        <v>203</v>
      </c>
      <c r="C10" s="10" t="s">
        <v>130</v>
      </c>
      <c r="D10" s="11">
        <v>37</v>
      </c>
      <c r="E10" s="11">
        <v>1650</v>
      </c>
      <c r="F10" s="12" t="s">
        <v>157</v>
      </c>
      <c r="G10" s="11">
        <v>37</v>
      </c>
      <c r="H10" s="11">
        <v>561</v>
      </c>
      <c r="I10" s="11">
        <v>37</v>
      </c>
      <c r="J10" s="11">
        <f>426+717+506+498-J17</f>
        <v>927</v>
      </c>
      <c r="K10" s="11">
        <v>37</v>
      </c>
      <c r="L10" s="11">
        <f>136+46</f>
        <v>182</v>
      </c>
      <c r="M10" s="11">
        <v>37</v>
      </c>
      <c r="N10" s="11">
        <f>221+61</f>
        <v>282</v>
      </c>
      <c r="O10" s="11">
        <v>37</v>
      </c>
      <c r="P10" s="11">
        <v>348</v>
      </c>
      <c r="Q10" s="11">
        <v>32</v>
      </c>
      <c r="R10" s="11">
        <v>361</v>
      </c>
      <c r="S10" s="11">
        <f>(+H10+J10+L10+N10+P10+R10)</f>
        <v>2661</v>
      </c>
      <c r="T10" s="13">
        <f t="shared" si="0"/>
        <v>1.6127272727272728</v>
      </c>
      <c r="U10" s="14">
        <v>37</v>
      </c>
      <c r="V10" s="13">
        <f t="shared" si="2"/>
        <v>1</v>
      </c>
      <c r="W10" s="105"/>
      <c r="X10" s="51"/>
    </row>
    <row r="11" spans="1:26" s="30" customFormat="1" ht="90.75" customHeight="1" x14ac:dyDescent="0.25">
      <c r="A11" s="49"/>
      <c r="B11" s="16" t="s">
        <v>198</v>
      </c>
      <c r="C11" s="16" t="s">
        <v>209</v>
      </c>
      <c r="D11" s="2">
        <v>37</v>
      </c>
      <c r="E11" s="2">
        <v>2780</v>
      </c>
      <c r="F11" s="3" t="s">
        <v>158</v>
      </c>
      <c r="G11" s="2">
        <v>37</v>
      </c>
      <c r="H11" s="2">
        <v>0</v>
      </c>
      <c r="I11" s="2">
        <v>37</v>
      </c>
      <c r="J11" s="2">
        <v>13.4</v>
      </c>
      <c r="K11" s="2">
        <v>37</v>
      </c>
      <c r="L11" s="2">
        <v>53</v>
      </c>
      <c r="M11" s="2">
        <v>37</v>
      </c>
      <c r="N11" s="2">
        <v>42</v>
      </c>
      <c r="O11" s="2">
        <v>37</v>
      </c>
      <c r="P11" s="2">
        <v>45</v>
      </c>
      <c r="Q11" s="11">
        <v>37</v>
      </c>
      <c r="R11" s="2">
        <v>32</v>
      </c>
      <c r="S11" s="2">
        <f t="shared" si="1"/>
        <v>185.4</v>
      </c>
      <c r="T11" s="1">
        <f t="shared" si="0"/>
        <v>6.6690647482014392E-2</v>
      </c>
      <c r="U11" s="4">
        <v>37</v>
      </c>
      <c r="V11" s="1">
        <f t="shared" si="2"/>
        <v>1</v>
      </c>
      <c r="W11" s="105"/>
      <c r="X11" s="50" t="s">
        <v>102</v>
      </c>
    </row>
    <row r="12" spans="1:26" s="30" customFormat="1" ht="63.75" customHeight="1" x14ac:dyDescent="0.25">
      <c r="A12" s="49"/>
      <c r="B12" s="16" t="s">
        <v>8</v>
      </c>
      <c r="C12" s="16" t="s">
        <v>106</v>
      </c>
      <c r="D12" s="2">
        <v>1</v>
      </c>
      <c r="E12" s="2">
        <v>250</v>
      </c>
      <c r="F12" s="2" t="s">
        <v>159</v>
      </c>
      <c r="G12" s="2">
        <v>1</v>
      </c>
      <c r="H12" s="2">
        <v>0</v>
      </c>
      <c r="I12" s="2">
        <v>0</v>
      </c>
      <c r="J12" s="2">
        <v>0</v>
      </c>
      <c r="K12" s="2">
        <v>0</v>
      </c>
      <c r="L12" s="2">
        <v>0</v>
      </c>
      <c r="M12" s="2">
        <v>0</v>
      </c>
      <c r="N12" s="2">
        <v>0</v>
      </c>
      <c r="O12" s="2">
        <v>0</v>
      </c>
      <c r="P12" s="2">
        <v>0</v>
      </c>
      <c r="Q12" s="11">
        <v>0</v>
      </c>
      <c r="R12" s="2">
        <v>0</v>
      </c>
      <c r="S12" s="2">
        <f t="shared" si="1"/>
        <v>0</v>
      </c>
      <c r="T12" s="1">
        <f t="shared" si="0"/>
        <v>0</v>
      </c>
      <c r="U12" s="4">
        <v>0</v>
      </c>
      <c r="V12" s="1">
        <f t="shared" si="2"/>
        <v>0</v>
      </c>
      <c r="W12" s="105"/>
      <c r="X12" s="50" t="s">
        <v>168</v>
      </c>
    </row>
    <row r="13" spans="1:26" s="30" customFormat="1" ht="45.75" customHeight="1" x14ac:dyDescent="0.25">
      <c r="A13" s="49"/>
      <c r="B13" s="16" t="s">
        <v>9</v>
      </c>
      <c r="C13" s="16" t="s">
        <v>129</v>
      </c>
      <c r="D13" s="2">
        <v>2</v>
      </c>
      <c r="E13" s="2">
        <v>800</v>
      </c>
      <c r="F13" s="2" t="s">
        <v>160</v>
      </c>
      <c r="G13" s="2">
        <v>0</v>
      </c>
      <c r="H13" s="2">
        <v>0</v>
      </c>
      <c r="I13" s="2">
        <v>0</v>
      </c>
      <c r="J13" s="2">
        <v>0</v>
      </c>
      <c r="K13" s="2">
        <v>0</v>
      </c>
      <c r="L13" s="2">
        <v>0</v>
      </c>
      <c r="M13" s="2">
        <v>0</v>
      </c>
      <c r="N13" s="2">
        <v>0</v>
      </c>
      <c r="O13" s="2">
        <v>0</v>
      </c>
      <c r="P13" s="2">
        <v>0</v>
      </c>
      <c r="Q13" s="11">
        <v>0</v>
      </c>
      <c r="R13" s="2">
        <v>0</v>
      </c>
      <c r="S13" s="2">
        <f t="shared" si="1"/>
        <v>0</v>
      </c>
      <c r="T13" s="1">
        <f t="shared" si="0"/>
        <v>0</v>
      </c>
      <c r="U13" s="4">
        <v>0</v>
      </c>
      <c r="V13" s="1">
        <f t="shared" si="2"/>
        <v>0</v>
      </c>
      <c r="W13" s="105"/>
      <c r="X13" s="50"/>
    </row>
    <row r="14" spans="1:26" s="30" customFormat="1" ht="70.5" customHeight="1" x14ac:dyDescent="0.25">
      <c r="A14" s="49"/>
      <c r="B14" s="16" t="s">
        <v>86</v>
      </c>
      <c r="C14" s="16" t="s">
        <v>129</v>
      </c>
      <c r="D14" s="2">
        <v>4</v>
      </c>
      <c r="E14" s="2">
        <v>500</v>
      </c>
      <c r="F14" s="3" t="s">
        <v>161</v>
      </c>
      <c r="G14" s="2"/>
      <c r="H14" s="2"/>
      <c r="I14" s="2"/>
      <c r="J14" s="2"/>
      <c r="K14" s="2"/>
      <c r="L14" s="2"/>
      <c r="M14" s="2"/>
      <c r="N14" s="2"/>
      <c r="O14" s="2"/>
      <c r="P14" s="2"/>
      <c r="Q14" s="15"/>
      <c r="R14" s="2"/>
      <c r="S14" s="2"/>
      <c r="T14" s="1"/>
      <c r="U14" s="4"/>
      <c r="V14" s="1"/>
      <c r="W14" s="105"/>
      <c r="X14" s="50" t="s">
        <v>218</v>
      </c>
    </row>
    <row r="15" spans="1:26" s="30" customFormat="1" ht="72" x14ac:dyDescent="0.25">
      <c r="A15" s="49"/>
      <c r="B15" s="16" t="s">
        <v>10</v>
      </c>
      <c r="C15" s="16" t="s">
        <v>128</v>
      </c>
      <c r="D15" s="2">
        <v>17</v>
      </c>
      <c r="E15" s="2">
        <v>1950</v>
      </c>
      <c r="F15" s="3" t="s">
        <v>162</v>
      </c>
      <c r="G15" s="2"/>
      <c r="H15" s="2"/>
      <c r="I15" s="2"/>
      <c r="J15" s="2"/>
      <c r="K15" s="2"/>
      <c r="L15" s="2"/>
      <c r="M15" s="2"/>
      <c r="N15" s="2"/>
      <c r="O15" s="2"/>
      <c r="P15" s="2"/>
      <c r="Q15" s="15"/>
      <c r="R15" s="2"/>
      <c r="S15" s="2"/>
      <c r="T15" s="1"/>
      <c r="U15" s="4"/>
      <c r="V15" s="1"/>
      <c r="W15" s="105"/>
      <c r="X15" s="50" t="s">
        <v>218</v>
      </c>
    </row>
    <row r="16" spans="1:26" s="30" customFormat="1" ht="72" x14ac:dyDescent="0.25">
      <c r="A16" s="49"/>
      <c r="B16" s="16" t="s">
        <v>11</v>
      </c>
      <c r="C16" s="16" t="s">
        <v>127</v>
      </c>
      <c r="D16" s="2">
        <v>17</v>
      </c>
      <c r="E16" s="2">
        <v>1950</v>
      </c>
      <c r="F16" s="3" t="s">
        <v>162</v>
      </c>
      <c r="G16" s="2">
        <v>6</v>
      </c>
      <c r="H16" s="2">
        <v>0</v>
      </c>
      <c r="I16" s="2">
        <v>11</v>
      </c>
      <c r="J16" s="2">
        <v>0</v>
      </c>
      <c r="K16" s="2">
        <v>0</v>
      </c>
      <c r="L16" s="2">
        <v>0</v>
      </c>
      <c r="M16" s="2">
        <v>0</v>
      </c>
      <c r="N16" s="2">
        <v>0</v>
      </c>
      <c r="O16" s="2">
        <v>0</v>
      </c>
      <c r="P16" s="2">
        <v>0</v>
      </c>
      <c r="Q16" s="11">
        <v>0</v>
      </c>
      <c r="R16" s="2">
        <v>0</v>
      </c>
      <c r="S16" s="2">
        <f t="shared" ref="S16:S69" si="3">+H16+J16+L16+N16+P16+R16</f>
        <v>0</v>
      </c>
      <c r="T16" s="1">
        <f>+S16/E16</f>
        <v>0</v>
      </c>
      <c r="U16" s="6">
        <f>+G16+I16+K16+M16+O16+Q16</f>
        <v>17</v>
      </c>
      <c r="V16" s="1">
        <v>1</v>
      </c>
      <c r="W16" s="105"/>
      <c r="X16" s="50"/>
    </row>
    <row r="17" spans="1:25" s="30" customFormat="1" ht="72" x14ac:dyDescent="0.25">
      <c r="A17" s="49"/>
      <c r="B17" s="16" t="s">
        <v>41</v>
      </c>
      <c r="C17" s="16" t="s">
        <v>126</v>
      </c>
      <c r="D17" s="2">
        <v>17</v>
      </c>
      <c r="E17" s="2">
        <v>1950</v>
      </c>
      <c r="F17" s="3" t="s">
        <v>162</v>
      </c>
      <c r="G17" s="2">
        <v>22</v>
      </c>
      <c r="H17" s="2">
        <f>17.1+38.9+158.1+169.9</f>
        <v>384</v>
      </c>
      <c r="I17" s="2">
        <v>14</v>
      </c>
      <c r="J17" s="2">
        <v>1220</v>
      </c>
      <c r="K17" s="2">
        <v>5</v>
      </c>
      <c r="L17" s="2">
        <v>192</v>
      </c>
      <c r="M17" s="2">
        <v>16</v>
      </c>
      <c r="N17" s="2">
        <v>326</v>
      </c>
      <c r="O17" s="2">
        <v>20</v>
      </c>
      <c r="P17" s="2">
        <v>418</v>
      </c>
      <c r="Q17" s="11">
        <v>23</v>
      </c>
      <c r="R17" s="2">
        <v>602</v>
      </c>
      <c r="S17" s="2">
        <f t="shared" si="3"/>
        <v>3142</v>
      </c>
      <c r="T17" s="1">
        <f>+S17/E17</f>
        <v>1.6112820512820514</v>
      </c>
      <c r="U17" s="4">
        <v>23</v>
      </c>
      <c r="V17" s="1">
        <v>1</v>
      </c>
      <c r="W17" s="105"/>
      <c r="X17" s="50" t="s">
        <v>163</v>
      </c>
    </row>
    <row r="18" spans="1:25" s="30" customFormat="1" ht="60" x14ac:dyDescent="0.25">
      <c r="A18" s="49"/>
      <c r="B18" s="16" t="s">
        <v>42</v>
      </c>
      <c r="C18" s="16" t="s">
        <v>39</v>
      </c>
      <c r="D18" s="2">
        <v>1</v>
      </c>
      <c r="E18" s="2">
        <v>1095</v>
      </c>
      <c r="F18" s="3" t="s">
        <v>225</v>
      </c>
      <c r="G18" s="2"/>
      <c r="H18" s="2"/>
      <c r="I18" s="2"/>
      <c r="J18" s="2"/>
      <c r="K18" s="2"/>
      <c r="L18" s="2"/>
      <c r="M18" s="2"/>
      <c r="N18" s="2"/>
      <c r="O18" s="2"/>
      <c r="P18" s="2"/>
      <c r="Q18" s="15"/>
      <c r="R18" s="2"/>
      <c r="S18" s="2"/>
      <c r="T18" s="1"/>
      <c r="U18" s="7"/>
      <c r="V18" s="1"/>
      <c r="W18" s="105"/>
      <c r="X18" s="50" t="s">
        <v>200</v>
      </c>
    </row>
    <row r="19" spans="1:25" s="30" customFormat="1" ht="60" x14ac:dyDescent="0.25">
      <c r="A19" s="49" t="s">
        <v>65</v>
      </c>
      <c r="B19" s="16" t="s">
        <v>12</v>
      </c>
      <c r="C19" s="16" t="s">
        <v>40</v>
      </c>
      <c r="D19" s="2">
        <v>1</v>
      </c>
      <c r="E19" s="2">
        <v>2720</v>
      </c>
      <c r="F19" s="2" t="s">
        <v>164</v>
      </c>
      <c r="G19" s="2">
        <v>1</v>
      </c>
      <c r="H19" s="2">
        <f>1051.3+419.8+870.5+930.1</f>
        <v>3271.7</v>
      </c>
      <c r="I19" s="2">
        <v>1</v>
      </c>
      <c r="J19" s="2">
        <v>3740.1</v>
      </c>
      <c r="K19" s="2">
        <v>1</v>
      </c>
      <c r="L19" s="2">
        <v>1147</v>
      </c>
      <c r="M19" s="4">
        <v>1</v>
      </c>
      <c r="N19" s="4">
        <v>976</v>
      </c>
      <c r="O19" s="4">
        <v>1</v>
      </c>
      <c r="P19" s="8">
        <v>1229</v>
      </c>
      <c r="Q19" s="14">
        <v>1</v>
      </c>
      <c r="R19" s="14">
        <v>1324</v>
      </c>
      <c r="S19" s="2">
        <f>+H19+J19+L19+N19+P19+R19</f>
        <v>11687.8</v>
      </c>
      <c r="T19" s="1">
        <f>+S19/E19</f>
        <v>4.296985294117647</v>
      </c>
      <c r="U19" s="4">
        <v>1</v>
      </c>
      <c r="V19" s="1">
        <f t="shared" si="2"/>
        <v>1</v>
      </c>
      <c r="W19" s="105"/>
      <c r="X19" s="50" t="s">
        <v>201</v>
      </c>
    </row>
    <row r="20" spans="1:25" s="30" customFormat="1" ht="72" x14ac:dyDescent="0.25">
      <c r="A20" s="49"/>
      <c r="B20" s="28" t="s">
        <v>13</v>
      </c>
      <c r="C20" s="16" t="s">
        <v>43</v>
      </c>
      <c r="D20" s="2">
        <v>37</v>
      </c>
      <c r="E20" s="2">
        <v>3900</v>
      </c>
      <c r="F20" s="40" t="s">
        <v>159</v>
      </c>
      <c r="G20" s="2">
        <v>37</v>
      </c>
      <c r="H20" s="2">
        <v>0</v>
      </c>
      <c r="I20" s="2">
        <v>37</v>
      </c>
      <c r="J20" s="2">
        <v>0</v>
      </c>
      <c r="K20" s="2">
        <v>37</v>
      </c>
      <c r="L20" s="2">
        <v>0</v>
      </c>
      <c r="M20" s="2">
        <v>37</v>
      </c>
      <c r="N20" s="2">
        <v>0</v>
      </c>
      <c r="O20" s="2">
        <v>37</v>
      </c>
      <c r="P20" s="2">
        <v>0</v>
      </c>
      <c r="Q20" s="11">
        <v>37</v>
      </c>
      <c r="R20" s="2">
        <v>0</v>
      </c>
      <c r="S20" s="2">
        <f>+H20+J20+L20+N20+P20+R20</f>
        <v>0</v>
      </c>
      <c r="T20" s="41">
        <f>+(S23+S22+S21)/E20</f>
        <v>2.5625897435897436</v>
      </c>
      <c r="U20" s="42">
        <v>1</v>
      </c>
      <c r="V20" s="41">
        <f>+U20/1</f>
        <v>1</v>
      </c>
      <c r="W20" s="105"/>
      <c r="X20" s="50" t="s">
        <v>228</v>
      </c>
      <c r="Y20" s="34"/>
    </row>
    <row r="21" spans="1:25" s="30" customFormat="1" ht="42" customHeight="1" x14ac:dyDescent="0.25">
      <c r="A21" s="49"/>
      <c r="B21" s="28"/>
      <c r="C21" s="16" t="s">
        <v>125</v>
      </c>
      <c r="D21" s="2" t="s">
        <v>81</v>
      </c>
      <c r="E21" s="2">
        <v>0</v>
      </c>
      <c r="F21" s="40"/>
      <c r="G21" s="2">
        <v>870</v>
      </c>
      <c r="H21" s="2" t="s">
        <v>81</v>
      </c>
      <c r="I21" s="2">
        <v>1893</v>
      </c>
      <c r="J21" s="2" t="s">
        <v>81</v>
      </c>
      <c r="K21" s="2">
        <v>259</v>
      </c>
      <c r="L21" s="2">
        <v>65</v>
      </c>
      <c r="M21" s="2">
        <v>285</v>
      </c>
      <c r="N21" s="2">
        <v>346</v>
      </c>
      <c r="O21" s="2">
        <v>258</v>
      </c>
      <c r="P21" s="2">
        <v>494</v>
      </c>
      <c r="Q21" s="11">
        <v>263</v>
      </c>
      <c r="R21" s="2">
        <v>448</v>
      </c>
      <c r="S21" s="2">
        <f>+R21+P21+N21+L21</f>
        <v>1353</v>
      </c>
      <c r="T21" s="41"/>
      <c r="U21" s="42"/>
      <c r="V21" s="41"/>
      <c r="W21" s="105"/>
      <c r="X21" s="50" t="s">
        <v>221</v>
      </c>
    </row>
    <row r="22" spans="1:25" s="30" customFormat="1" ht="39.75" customHeight="1" x14ac:dyDescent="0.25">
      <c r="A22" s="49"/>
      <c r="B22" s="28"/>
      <c r="C22" s="16" t="s">
        <v>124</v>
      </c>
      <c r="D22" s="2">
        <v>80</v>
      </c>
      <c r="E22" s="2">
        <v>0</v>
      </c>
      <c r="F22" s="40"/>
      <c r="G22" s="2">
        <v>152</v>
      </c>
      <c r="H22" s="2" t="s">
        <v>81</v>
      </c>
      <c r="I22" s="2">
        <v>4596</v>
      </c>
      <c r="J22" s="2">
        <v>3415</v>
      </c>
      <c r="K22" s="2">
        <v>1538</v>
      </c>
      <c r="L22" s="2">
        <v>346</v>
      </c>
      <c r="M22" s="2">
        <v>4592</v>
      </c>
      <c r="N22" s="2">
        <v>665</v>
      </c>
      <c r="O22" s="2">
        <v>7117</v>
      </c>
      <c r="P22" s="2">
        <v>630</v>
      </c>
      <c r="Q22" s="11">
        <v>5598</v>
      </c>
      <c r="R22" s="2">
        <v>593</v>
      </c>
      <c r="S22" s="2">
        <f>+R22+P22+N22+L22+J22</f>
        <v>5649</v>
      </c>
      <c r="T22" s="41"/>
      <c r="U22" s="42"/>
      <c r="V22" s="41"/>
      <c r="W22" s="105"/>
      <c r="X22" s="50" t="s">
        <v>217</v>
      </c>
    </row>
    <row r="23" spans="1:25" s="30" customFormat="1" ht="24" x14ac:dyDescent="0.25">
      <c r="A23" s="49"/>
      <c r="B23" s="28"/>
      <c r="C23" s="16" t="s">
        <v>123</v>
      </c>
      <c r="D23" s="2">
        <v>40</v>
      </c>
      <c r="E23" s="2">
        <v>0</v>
      </c>
      <c r="F23" s="40"/>
      <c r="G23" s="2">
        <v>1</v>
      </c>
      <c r="H23" s="2" t="s">
        <v>81</v>
      </c>
      <c r="I23" s="2">
        <v>17</v>
      </c>
      <c r="J23" s="2">
        <f>834.6+1547.5</f>
        <v>2382.1</v>
      </c>
      <c r="K23" s="2">
        <v>1</v>
      </c>
      <c r="L23" s="2">
        <v>199</v>
      </c>
      <c r="M23" s="2">
        <v>1</v>
      </c>
      <c r="N23" s="2">
        <v>316</v>
      </c>
      <c r="O23" s="2">
        <v>1</v>
      </c>
      <c r="P23" s="2">
        <v>2</v>
      </c>
      <c r="Q23" s="11">
        <v>1</v>
      </c>
      <c r="R23" s="2">
        <v>93</v>
      </c>
      <c r="S23" s="2">
        <f>+R23+P23+N23+L23+J23</f>
        <v>2992.1</v>
      </c>
      <c r="T23" s="41"/>
      <c r="U23" s="42"/>
      <c r="V23" s="41"/>
      <c r="W23" s="105"/>
      <c r="X23" s="50" t="s">
        <v>229</v>
      </c>
    </row>
    <row r="24" spans="1:25" s="30" customFormat="1" ht="60" x14ac:dyDescent="0.25">
      <c r="A24" s="49"/>
      <c r="B24" s="16" t="s">
        <v>14</v>
      </c>
      <c r="C24" s="16" t="s">
        <v>44</v>
      </c>
      <c r="D24" s="2">
        <v>1</v>
      </c>
      <c r="E24" s="2">
        <v>1380</v>
      </c>
      <c r="F24" s="2" t="s">
        <v>159</v>
      </c>
      <c r="G24" s="2">
        <v>1</v>
      </c>
      <c r="H24" s="2">
        <f>161.2+26.7+179.7+18</f>
        <v>385.59999999999997</v>
      </c>
      <c r="I24" s="2">
        <v>1</v>
      </c>
      <c r="J24" s="2">
        <v>273.5</v>
      </c>
      <c r="K24" s="2">
        <v>1</v>
      </c>
      <c r="L24" s="2">
        <v>16</v>
      </c>
      <c r="M24" s="4">
        <v>1</v>
      </c>
      <c r="N24" s="4">
        <v>92</v>
      </c>
      <c r="O24" s="4">
        <v>1</v>
      </c>
      <c r="P24" s="4">
        <v>81</v>
      </c>
      <c r="Q24" s="14">
        <v>1</v>
      </c>
      <c r="R24" s="4">
        <v>0</v>
      </c>
      <c r="S24" s="2">
        <f>+H24+J24+L24+N24+P24+R24</f>
        <v>848.09999999999991</v>
      </c>
      <c r="T24" s="1">
        <f>+S24/E24</f>
        <v>0.61456521739130432</v>
      </c>
      <c r="U24" s="4">
        <v>1</v>
      </c>
      <c r="V24" s="1">
        <f t="shared" si="2"/>
        <v>1</v>
      </c>
      <c r="W24" s="105"/>
      <c r="X24" s="50" t="s">
        <v>109</v>
      </c>
    </row>
    <row r="25" spans="1:25" s="30" customFormat="1" ht="24" x14ac:dyDescent="0.25">
      <c r="A25" s="49"/>
      <c r="B25" s="16" t="s">
        <v>15</v>
      </c>
      <c r="C25" s="16" t="s">
        <v>122</v>
      </c>
      <c r="D25" s="2">
        <v>80</v>
      </c>
      <c r="E25" s="2">
        <v>6500</v>
      </c>
      <c r="F25" s="3" t="s">
        <v>165</v>
      </c>
      <c r="G25" s="2">
        <v>6343</v>
      </c>
      <c r="H25" s="2">
        <v>113.8</v>
      </c>
      <c r="I25" s="2">
        <v>9134</v>
      </c>
      <c r="J25" s="2">
        <v>439.2</v>
      </c>
      <c r="K25" s="2">
        <v>3646</v>
      </c>
      <c r="L25" s="2">
        <v>215</v>
      </c>
      <c r="M25" s="2">
        <v>3521</v>
      </c>
      <c r="N25" s="2">
        <v>591</v>
      </c>
      <c r="O25" s="2">
        <v>3068</v>
      </c>
      <c r="P25" s="2">
        <v>649</v>
      </c>
      <c r="Q25" s="11">
        <v>2480</v>
      </c>
      <c r="R25" s="2">
        <v>648</v>
      </c>
      <c r="S25" s="2">
        <f>+H25+J25+L25+N25+P25+R25</f>
        <v>2656</v>
      </c>
      <c r="T25" s="1">
        <f>+S25/E25</f>
        <v>0.4086153846153846</v>
      </c>
      <c r="U25" s="6">
        <f>+G25+I25+K25+M25+O25+Q25</f>
        <v>28192</v>
      </c>
      <c r="V25" s="1">
        <v>1</v>
      </c>
      <c r="W25" s="105"/>
      <c r="X25" s="50" t="s">
        <v>103</v>
      </c>
    </row>
    <row r="26" spans="1:25" s="30" customFormat="1" ht="40.5" customHeight="1" x14ac:dyDescent="0.25">
      <c r="A26" s="49" t="s">
        <v>66</v>
      </c>
      <c r="B26" s="28" t="s">
        <v>16</v>
      </c>
      <c r="C26" s="16" t="s">
        <v>45</v>
      </c>
      <c r="D26" s="2" t="s">
        <v>80</v>
      </c>
      <c r="E26" s="2">
        <v>5200</v>
      </c>
      <c r="F26" s="40" t="s">
        <v>159</v>
      </c>
      <c r="G26" s="2" t="s">
        <v>81</v>
      </c>
      <c r="H26" s="2">
        <f>192.1+347.6+580.2+1508.7</f>
        <v>2628.6000000000004</v>
      </c>
      <c r="I26" s="2">
        <v>88.3</v>
      </c>
      <c r="J26" s="2">
        <v>6996.8</v>
      </c>
      <c r="K26" s="2">
        <f>+M26-5.83</f>
        <v>82.52</v>
      </c>
      <c r="L26" s="2">
        <v>814</v>
      </c>
      <c r="M26" s="2">
        <v>88.35</v>
      </c>
      <c r="N26" s="2">
        <v>2615</v>
      </c>
      <c r="O26" s="2" t="s">
        <v>81</v>
      </c>
      <c r="P26" s="2">
        <v>2142</v>
      </c>
      <c r="Q26" s="11" t="s">
        <v>81</v>
      </c>
      <c r="R26" s="2">
        <v>1702</v>
      </c>
      <c r="S26" s="2">
        <f t="shared" si="3"/>
        <v>16898.400000000001</v>
      </c>
      <c r="T26" s="41">
        <f>+S26/E26</f>
        <v>3.2496923076923081</v>
      </c>
      <c r="U26" s="42">
        <v>88</v>
      </c>
      <c r="V26" s="41">
        <v>1</v>
      </c>
      <c r="W26" s="105"/>
      <c r="X26" s="50" t="s">
        <v>230</v>
      </c>
      <c r="Y26" s="35"/>
    </row>
    <row r="27" spans="1:25" s="30" customFormat="1" ht="36" x14ac:dyDescent="0.25">
      <c r="A27" s="49"/>
      <c r="B27" s="28"/>
      <c r="C27" s="16" t="s">
        <v>46</v>
      </c>
      <c r="D27" s="2" t="s">
        <v>80</v>
      </c>
      <c r="E27" s="2">
        <v>0</v>
      </c>
      <c r="F27" s="40"/>
      <c r="G27" s="2" t="s">
        <v>81</v>
      </c>
      <c r="H27" s="2"/>
      <c r="I27" s="2" t="s">
        <v>81</v>
      </c>
      <c r="J27" s="2"/>
      <c r="K27" s="2" t="s">
        <v>81</v>
      </c>
      <c r="L27" s="2"/>
      <c r="M27" s="2" t="s">
        <v>81</v>
      </c>
      <c r="N27" s="2"/>
      <c r="O27" s="2" t="s">
        <v>81</v>
      </c>
      <c r="P27" s="2"/>
      <c r="Q27" s="11" t="s">
        <v>81</v>
      </c>
      <c r="R27" s="2"/>
      <c r="S27" s="2" t="s">
        <v>81</v>
      </c>
      <c r="T27" s="41"/>
      <c r="U27" s="42"/>
      <c r="V27" s="41"/>
      <c r="W27" s="105"/>
      <c r="X27" s="50" t="s">
        <v>199</v>
      </c>
    </row>
    <row r="28" spans="1:25" s="30" customFormat="1" ht="24" x14ac:dyDescent="0.25">
      <c r="A28" s="49"/>
      <c r="B28" s="28"/>
      <c r="C28" s="16" t="s">
        <v>101</v>
      </c>
      <c r="D28" s="2" t="s">
        <v>80</v>
      </c>
      <c r="E28" s="2">
        <v>0</v>
      </c>
      <c r="F28" s="40"/>
      <c r="G28" s="2">
        <v>92</v>
      </c>
      <c r="H28" s="2">
        <v>0</v>
      </c>
      <c r="I28" s="2">
        <v>88.4</v>
      </c>
      <c r="J28" s="2" t="s">
        <v>81</v>
      </c>
      <c r="K28" s="2" t="s">
        <v>81</v>
      </c>
      <c r="L28" s="2" t="s">
        <v>81</v>
      </c>
      <c r="M28" s="2" t="s">
        <v>81</v>
      </c>
      <c r="N28" s="2" t="s">
        <v>81</v>
      </c>
      <c r="O28" s="2" t="s">
        <v>81</v>
      </c>
      <c r="P28" s="2" t="s">
        <v>81</v>
      </c>
      <c r="Q28" s="11" t="s">
        <v>81</v>
      </c>
      <c r="R28" s="2" t="s">
        <v>81</v>
      </c>
      <c r="S28" s="2" t="s">
        <v>81</v>
      </c>
      <c r="T28" s="41"/>
      <c r="U28" s="42"/>
      <c r="V28" s="41"/>
      <c r="W28" s="105"/>
      <c r="X28" s="50" t="s">
        <v>231</v>
      </c>
    </row>
    <row r="29" spans="1:25" s="30" customFormat="1" ht="60" x14ac:dyDescent="0.25">
      <c r="A29" s="49"/>
      <c r="B29" s="16" t="s">
        <v>17</v>
      </c>
      <c r="C29" s="16" t="s">
        <v>121</v>
      </c>
      <c r="D29" s="2">
        <v>15</v>
      </c>
      <c r="E29" s="2">
        <v>15600</v>
      </c>
      <c r="F29" s="3" t="s">
        <v>166</v>
      </c>
      <c r="G29" s="2">
        <v>0</v>
      </c>
      <c r="H29" s="2">
        <v>0</v>
      </c>
      <c r="I29" s="2">
        <v>1</v>
      </c>
      <c r="J29" s="2">
        <v>50.2</v>
      </c>
      <c r="K29" s="2">
        <v>0</v>
      </c>
      <c r="L29" s="2">
        <v>0</v>
      </c>
      <c r="M29" s="2">
        <v>0</v>
      </c>
      <c r="N29" s="2">
        <v>0</v>
      </c>
      <c r="O29" s="2">
        <v>0</v>
      </c>
      <c r="P29" s="2">
        <v>0</v>
      </c>
      <c r="Q29" s="11">
        <v>0</v>
      </c>
      <c r="R29" s="2">
        <v>0</v>
      </c>
      <c r="S29" s="2">
        <f t="shared" si="3"/>
        <v>50.2</v>
      </c>
      <c r="T29" s="1"/>
      <c r="U29" s="4"/>
      <c r="V29" s="1"/>
      <c r="W29" s="105"/>
      <c r="X29" s="50" t="s">
        <v>226</v>
      </c>
    </row>
    <row r="30" spans="1:25" s="30" customFormat="1" ht="72" x14ac:dyDescent="0.25">
      <c r="A30" s="49" t="s">
        <v>67</v>
      </c>
      <c r="B30" s="16" t="s">
        <v>18</v>
      </c>
      <c r="C30" s="16" t="s">
        <v>120</v>
      </c>
      <c r="D30" s="2">
        <v>1000</v>
      </c>
      <c r="E30" s="2">
        <v>7800</v>
      </c>
      <c r="F30" s="3" t="s">
        <v>169</v>
      </c>
      <c r="G30" s="2"/>
      <c r="H30" s="2"/>
      <c r="I30" s="2"/>
      <c r="J30" s="2"/>
      <c r="K30" s="2"/>
      <c r="L30" s="2"/>
      <c r="M30" s="2"/>
      <c r="N30" s="2"/>
      <c r="O30" s="2"/>
      <c r="P30" s="2"/>
      <c r="Q30" s="15"/>
      <c r="R30" s="2"/>
      <c r="S30" s="2"/>
      <c r="T30" s="1"/>
      <c r="U30" s="4"/>
      <c r="V30" s="1"/>
      <c r="W30" s="105"/>
      <c r="X30" s="50" t="s">
        <v>95</v>
      </c>
      <c r="Y30" s="35"/>
    </row>
    <row r="31" spans="1:25" s="30" customFormat="1" x14ac:dyDescent="0.25">
      <c r="A31" s="49"/>
      <c r="B31" s="28" t="s">
        <v>96</v>
      </c>
      <c r="C31" s="16" t="s">
        <v>47</v>
      </c>
      <c r="D31" s="2">
        <v>1</v>
      </c>
      <c r="E31" s="2">
        <v>10200</v>
      </c>
      <c r="F31" s="43" t="s">
        <v>170</v>
      </c>
      <c r="G31" s="2">
        <v>1</v>
      </c>
      <c r="H31" s="2">
        <f>269.6+739.7+210.5+357.5</f>
        <v>1577.3000000000002</v>
      </c>
      <c r="I31" s="2">
        <v>1</v>
      </c>
      <c r="J31" s="2">
        <v>6220</v>
      </c>
      <c r="K31" s="2">
        <v>1</v>
      </c>
      <c r="L31" s="2">
        <v>723</v>
      </c>
      <c r="M31" s="2">
        <v>1</v>
      </c>
      <c r="N31" s="2">
        <v>1017</v>
      </c>
      <c r="O31" s="2">
        <v>1</v>
      </c>
      <c r="P31" s="2">
        <v>1357</v>
      </c>
      <c r="Q31" s="11">
        <v>1</v>
      </c>
      <c r="R31" s="2">
        <v>6000</v>
      </c>
      <c r="S31" s="2">
        <f t="shared" si="3"/>
        <v>16894.3</v>
      </c>
      <c r="T31" s="41">
        <f>+S31/E31</f>
        <v>1.6563039215686273</v>
      </c>
      <c r="U31" s="42">
        <v>1</v>
      </c>
      <c r="V31" s="41">
        <f t="shared" si="2"/>
        <v>1</v>
      </c>
      <c r="W31" s="105"/>
      <c r="X31" s="50"/>
    </row>
    <row r="32" spans="1:25" s="30" customFormat="1" ht="24" x14ac:dyDescent="0.25">
      <c r="A32" s="49"/>
      <c r="B32" s="28"/>
      <c r="C32" s="16" t="s">
        <v>119</v>
      </c>
      <c r="D32" s="2" t="s">
        <v>81</v>
      </c>
      <c r="E32" s="2">
        <v>0</v>
      </c>
      <c r="F32" s="43"/>
      <c r="G32" s="2">
        <v>116</v>
      </c>
      <c r="H32" s="2">
        <v>0</v>
      </c>
      <c r="I32" s="2">
        <v>102</v>
      </c>
      <c r="J32" s="2">
        <v>0</v>
      </c>
      <c r="K32" s="2">
        <v>37</v>
      </c>
      <c r="L32" s="2">
        <v>0</v>
      </c>
      <c r="M32" s="2">
        <v>37</v>
      </c>
      <c r="N32" s="2">
        <v>0</v>
      </c>
      <c r="O32" s="2">
        <v>70</v>
      </c>
      <c r="P32" s="2">
        <v>0</v>
      </c>
      <c r="Q32" s="11">
        <v>36</v>
      </c>
      <c r="R32" s="2">
        <v>0</v>
      </c>
      <c r="S32" s="2">
        <f t="shared" si="3"/>
        <v>0</v>
      </c>
      <c r="T32" s="41"/>
      <c r="U32" s="42"/>
      <c r="V32" s="41"/>
      <c r="W32" s="105"/>
      <c r="X32" s="50" t="s">
        <v>232</v>
      </c>
    </row>
    <row r="33" spans="1:26" s="30" customFormat="1" ht="34.5" customHeight="1" x14ac:dyDescent="0.25">
      <c r="A33" s="49"/>
      <c r="B33" s="28"/>
      <c r="C33" s="16" t="s">
        <v>118</v>
      </c>
      <c r="D33" s="2" t="s">
        <v>81</v>
      </c>
      <c r="E33" s="2">
        <v>0</v>
      </c>
      <c r="F33" s="43"/>
      <c r="G33" s="2">
        <v>134</v>
      </c>
      <c r="H33" s="2">
        <v>0</v>
      </c>
      <c r="I33" s="2">
        <v>3449</v>
      </c>
      <c r="J33" s="2">
        <v>0</v>
      </c>
      <c r="K33" s="2">
        <v>208</v>
      </c>
      <c r="L33" s="2">
        <v>0</v>
      </c>
      <c r="M33" s="2">
        <v>116</v>
      </c>
      <c r="N33" s="2">
        <v>0</v>
      </c>
      <c r="O33" s="2">
        <v>173</v>
      </c>
      <c r="P33" s="2">
        <v>0</v>
      </c>
      <c r="Q33" s="11">
        <v>147</v>
      </c>
      <c r="R33" s="2">
        <v>0</v>
      </c>
      <c r="S33" s="2">
        <f t="shared" si="3"/>
        <v>0</v>
      </c>
      <c r="T33" s="41"/>
      <c r="U33" s="42"/>
      <c r="V33" s="41"/>
      <c r="W33" s="105"/>
      <c r="X33" s="50" t="s">
        <v>232</v>
      </c>
    </row>
    <row r="34" spans="1:26" s="30" customFormat="1" ht="24" x14ac:dyDescent="0.25">
      <c r="A34" s="49"/>
      <c r="B34" s="28"/>
      <c r="C34" s="16" t="s">
        <v>117</v>
      </c>
      <c r="D34" s="2" t="s">
        <v>81</v>
      </c>
      <c r="E34" s="2">
        <v>0</v>
      </c>
      <c r="F34" s="43"/>
      <c r="G34" s="2">
        <v>362</v>
      </c>
      <c r="H34" s="2">
        <v>0</v>
      </c>
      <c r="I34" s="2">
        <v>2800</v>
      </c>
      <c r="J34" s="2">
        <v>0</v>
      </c>
      <c r="K34" s="2">
        <v>120</v>
      </c>
      <c r="L34" s="2">
        <v>0</v>
      </c>
      <c r="M34" s="2">
        <v>100</v>
      </c>
      <c r="N34" s="2">
        <v>0</v>
      </c>
      <c r="O34" s="2">
        <v>120</v>
      </c>
      <c r="P34" s="2">
        <v>0</v>
      </c>
      <c r="Q34" s="11">
        <v>140</v>
      </c>
      <c r="R34" s="2">
        <v>0</v>
      </c>
      <c r="S34" s="2">
        <f t="shared" si="3"/>
        <v>0</v>
      </c>
      <c r="T34" s="41"/>
      <c r="U34" s="42"/>
      <c r="V34" s="41"/>
      <c r="W34" s="105"/>
      <c r="X34" s="50" t="s">
        <v>233</v>
      </c>
    </row>
    <row r="35" spans="1:26" s="30" customFormat="1" ht="24" x14ac:dyDescent="0.25">
      <c r="A35" s="49"/>
      <c r="B35" s="28"/>
      <c r="C35" s="16" t="s">
        <v>116</v>
      </c>
      <c r="D35" s="2" t="s">
        <v>81</v>
      </c>
      <c r="E35" s="2">
        <v>0</v>
      </c>
      <c r="F35" s="43"/>
      <c r="G35" s="2">
        <v>12</v>
      </c>
      <c r="H35" s="2">
        <v>0</v>
      </c>
      <c r="I35" s="2">
        <v>78</v>
      </c>
      <c r="J35" s="2">
        <v>0</v>
      </c>
      <c r="K35" s="2">
        <v>55</v>
      </c>
      <c r="L35" s="2">
        <v>0</v>
      </c>
      <c r="M35" s="2">
        <v>70</v>
      </c>
      <c r="N35" s="2">
        <v>0</v>
      </c>
      <c r="O35" s="2">
        <v>50</v>
      </c>
      <c r="P35" s="2">
        <v>0</v>
      </c>
      <c r="Q35" s="11">
        <v>37</v>
      </c>
      <c r="R35" s="2">
        <v>0</v>
      </c>
      <c r="S35" s="2">
        <f t="shared" si="3"/>
        <v>0</v>
      </c>
      <c r="T35" s="41"/>
      <c r="U35" s="42"/>
      <c r="V35" s="41"/>
      <c r="W35" s="105"/>
      <c r="X35" s="50" t="s">
        <v>232</v>
      </c>
    </row>
    <row r="36" spans="1:26" s="30" customFormat="1" ht="60" x14ac:dyDescent="0.25">
      <c r="A36" s="49" t="s">
        <v>68</v>
      </c>
      <c r="B36" s="16" t="s">
        <v>19</v>
      </c>
      <c r="C36" s="16" t="s">
        <v>115</v>
      </c>
      <c r="D36" s="2">
        <v>37</v>
      </c>
      <c r="E36" s="2">
        <v>12700</v>
      </c>
      <c r="F36" s="3" t="s">
        <v>171</v>
      </c>
      <c r="G36" s="2">
        <v>37</v>
      </c>
      <c r="H36" s="2">
        <v>0</v>
      </c>
      <c r="I36" s="2">
        <v>37</v>
      </c>
      <c r="J36" s="2">
        <v>0</v>
      </c>
      <c r="K36" s="2">
        <v>37</v>
      </c>
      <c r="L36" s="2">
        <v>0</v>
      </c>
      <c r="M36" s="2">
        <v>37</v>
      </c>
      <c r="N36" s="2">
        <v>0</v>
      </c>
      <c r="O36" s="2">
        <v>37</v>
      </c>
      <c r="P36" s="2">
        <v>0</v>
      </c>
      <c r="Q36" s="11">
        <v>37</v>
      </c>
      <c r="R36" s="2">
        <v>0</v>
      </c>
      <c r="S36" s="2">
        <f t="shared" si="3"/>
        <v>0</v>
      </c>
      <c r="T36" s="1">
        <f>+S36/E36</f>
        <v>0</v>
      </c>
      <c r="U36" s="4">
        <v>37</v>
      </c>
      <c r="V36" s="1">
        <f t="shared" si="2"/>
        <v>1</v>
      </c>
      <c r="W36" s="105"/>
      <c r="X36" s="50" t="s">
        <v>219</v>
      </c>
      <c r="Z36" s="32"/>
    </row>
    <row r="37" spans="1:26" s="30" customFormat="1" ht="87" customHeight="1" thickBot="1" x14ac:dyDescent="0.3">
      <c r="A37" s="73"/>
      <c r="B37" s="74" t="s">
        <v>20</v>
      </c>
      <c r="C37" s="74" t="s">
        <v>114</v>
      </c>
      <c r="D37" s="22">
        <v>264</v>
      </c>
      <c r="E37" s="22">
        <v>2600</v>
      </c>
      <c r="F37" s="20" t="s">
        <v>172</v>
      </c>
      <c r="G37" s="22">
        <v>28</v>
      </c>
      <c r="H37" s="22"/>
      <c r="I37" s="22">
        <v>57</v>
      </c>
      <c r="J37" s="22"/>
      <c r="K37" s="22">
        <v>35</v>
      </c>
      <c r="L37" s="22"/>
      <c r="M37" s="22">
        <v>35</v>
      </c>
      <c r="N37" s="22"/>
      <c r="O37" s="22">
        <v>95</v>
      </c>
      <c r="P37" s="22"/>
      <c r="Q37" s="75">
        <v>84</v>
      </c>
      <c r="R37" s="22"/>
      <c r="S37" s="22">
        <f t="shared" si="3"/>
        <v>0</v>
      </c>
      <c r="T37" s="17">
        <f>+S37/E37</f>
        <v>0</v>
      </c>
      <c r="U37" s="76">
        <f>+G37+I37+K37+M37+O37+Q37</f>
        <v>334</v>
      </c>
      <c r="V37" s="17">
        <v>1</v>
      </c>
      <c r="W37" s="106"/>
      <c r="X37" s="77" t="s">
        <v>97</v>
      </c>
      <c r="Y37" s="35"/>
    </row>
    <row r="38" spans="1:26" s="99" customFormat="1" ht="21.75" customHeight="1" thickBot="1" x14ac:dyDescent="0.3">
      <c r="A38" s="78" t="s">
        <v>250</v>
      </c>
      <c r="B38" s="79"/>
      <c r="C38" s="80"/>
      <c r="D38" s="81"/>
      <c r="E38" s="81">
        <f>SUM(E5:E37)</f>
        <v>138255</v>
      </c>
      <c r="F38" s="97"/>
      <c r="G38" s="81"/>
      <c r="H38" s="81">
        <f>SUM(H5:H37)</f>
        <v>22153.899999999998</v>
      </c>
      <c r="I38" s="81"/>
      <c r="J38" s="81">
        <f>SUM(J5:J37)</f>
        <v>35499.5</v>
      </c>
      <c r="K38" s="81"/>
      <c r="L38" s="81">
        <f>SUM(L5:L37)</f>
        <v>5539</v>
      </c>
      <c r="M38" s="81"/>
      <c r="N38" s="81">
        <f>SUM(N5:N37)</f>
        <v>12909</v>
      </c>
      <c r="O38" s="81"/>
      <c r="P38" s="81">
        <f>SUM(P5:P37)</f>
        <v>12621</v>
      </c>
      <c r="Q38" s="82"/>
      <c r="R38" s="81">
        <f>SUM(R5:R37)</f>
        <v>12536</v>
      </c>
      <c r="S38" s="81">
        <f>+H38+J38+L38+N38+P38+R38</f>
        <v>101258.4</v>
      </c>
      <c r="T38" s="83">
        <f>+S38/E38</f>
        <v>0.73240316805902128</v>
      </c>
      <c r="U38" s="84"/>
      <c r="V38" s="83"/>
      <c r="W38" s="96"/>
      <c r="X38" s="98"/>
    </row>
    <row r="39" spans="1:26" s="103" customFormat="1" ht="26.25" customHeight="1" thickBot="1" x14ac:dyDescent="0.3">
      <c r="A39" s="60" t="s">
        <v>77</v>
      </c>
      <c r="B39" s="61"/>
      <c r="C39" s="61"/>
      <c r="D39" s="61"/>
      <c r="E39" s="61"/>
      <c r="F39" s="61"/>
      <c r="G39" s="61"/>
      <c r="H39" s="61"/>
      <c r="I39" s="61"/>
      <c r="J39" s="61"/>
      <c r="K39" s="61"/>
      <c r="L39" s="61"/>
      <c r="M39" s="61"/>
      <c r="N39" s="61"/>
      <c r="O39" s="61"/>
      <c r="P39" s="61"/>
      <c r="Q39" s="61"/>
      <c r="R39" s="61"/>
      <c r="S39" s="61"/>
      <c r="T39" s="61"/>
      <c r="U39" s="61"/>
      <c r="V39" s="61"/>
      <c r="W39" s="61"/>
      <c r="X39" s="62"/>
    </row>
    <row r="40" spans="1:26" s="30" customFormat="1" ht="42.75" customHeight="1" x14ac:dyDescent="0.25">
      <c r="A40" s="49" t="s">
        <v>69</v>
      </c>
      <c r="B40" s="16" t="s">
        <v>92</v>
      </c>
      <c r="C40" s="16" t="s">
        <v>136</v>
      </c>
      <c r="D40" s="2">
        <v>250000</v>
      </c>
      <c r="E40" s="2">
        <v>10400</v>
      </c>
      <c r="F40" s="3" t="s">
        <v>173</v>
      </c>
      <c r="G40" s="64">
        <v>330314</v>
      </c>
      <c r="H40" s="2">
        <f>1476.7+705.9+447.6+622.8+55.4+160.3</f>
        <v>3468.7000000000003</v>
      </c>
      <c r="I40" s="2">
        <v>302643</v>
      </c>
      <c r="J40" s="2">
        <v>5930.7</v>
      </c>
      <c r="K40" s="2">
        <v>301395</v>
      </c>
      <c r="L40" s="2">
        <v>2069</v>
      </c>
      <c r="M40" s="2">
        <v>301395</v>
      </c>
      <c r="N40" s="2">
        <v>2363</v>
      </c>
      <c r="O40" s="2">
        <v>301395</v>
      </c>
      <c r="P40" s="2">
        <v>1619</v>
      </c>
      <c r="Q40" s="11">
        <v>301395</v>
      </c>
      <c r="R40" s="2">
        <v>1189</v>
      </c>
      <c r="S40" s="2">
        <f t="shared" si="3"/>
        <v>16639.400000000001</v>
      </c>
      <c r="T40" s="1">
        <f t="shared" ref="T40:T52" si="4">+S40/E40</f>
        <v>1.5999423076923078</v>
      </c>
      <c r="U40" s="6">
        <f>+Q40</f>
        <v>301395</v>
      </c>
      <c r="V40" s="1">
        <v>1</v>
      </c>
      <c r="W40" s="105">
        <v>1</v>
      </c>
      <c r="X40" s="50" t="s">
        <v>98</v>
      </c>
    </row>
    <row r="41" spans="1:26" s="30" customFormat="1" ht="65.25" customHeight="1" x14ac:dyDescent="0.25">
      <c r="A41" s="49"/>
      <c r="B41" s="16" t="s">
        <v>93</v>
      </c>
      <c r="C41" s="16" t="s">
        <v>136</v>
      </c>
      <c r="D41" s="2">
        <v>100000</v>
      </c>
      <c r="E41" s="2">
        <v>6500</v>
      </c>
      <c r="F41" s="3" t="s">
        <v>173</v>
      </c>
      <c r="G41" s="64">
        <v>157983</v>
      </c>
      <c r="H41" s="2"/>
      <c r="I41" s="2">
        <v>168258</v>
      </c>
      <c r="J41" s="2"/>
      <c r="K41" s="2">
        <v>168258</v>
      </c>
      <c r="L41" s="2"/>
      <c r="M41" s="2">
        <v>168258</v>
      </c>
      <c r="N41" s="2"/>
      <c r="O41" s="2">
        <v>168258</v>
      </c>
      <c r="P41" s="2"/>
      <c r="Q41" s="11">
        <v>168258</v>
      </c>
      <c r="R41" s="2">
        <v>0</v>
      </c>
      <c r="S41" s="2">
        <f t="shared" si="3"/>
        <v>0</v>
      </c>
      <c r="T41" s="1">
        <f t="shared" si="4"/>
        <v>0</v>
      </c>
      <c r="U41" s="6">
        <f>+Q41</f>
        <v>168258</v>
      </c>
      <c r="V41" s="1">
        <v>1</v>
      </c>
      <c r="W41" s="105"/>
      <c r="X41" s="50" t="s">
        <v>234</v>
      </c>
    </row>
    <row r="42" spans="1:26" s="30" customFormat="1" ht="55.5" customHeight="1" x14ac:dyDescent="0.25">
      <c r="A42" s="49"/>
      <c r="B42" s="5" t="s">
        <v>94</v>
      </c>
      <c r="C42" s="16" t="s">
        <v>137</v>
      </c>
      <c r="D42" s="2">
        <v>103794</v>
      </c>
      <c r="E42" s="2">
        <v>600</v>
      </c>
      <c r="F42" s="3" t="s">
        <v>174</v>
      </c>
      <c r="G42" s="2">
        <v>0</v>
      </c>
      <c r="H42" s="2">
        <f>39.6+75.7+25.7</f>
        <v>141</v>
      </c>
      <c r="I42" s="2">
        <v>94526.48</v>
      </c>
      <c r="J42" s="2">
        <f>1366.2+49</f>
        <v>1415.2</v>
      </c>
      <c r="K42" s="2">
        <v>0</v>
      </c>
      <c r="L42" s="2">
        <v>0</v>
      </c>
      <c r="M42" s="2">
        <v>0</v>
      </c>
      <c r="N42" s="2">
        <v>0</v>
      </c>
      <c r="O42" s="2">
        <v>0</v>
      </c>
      <c r="P42" s="2">
        <v>0</v>
      </c>
      <c r="Q42" s="11">
        <v>301395</v>
      </c>
      <c r="R42" s="2">
        <v>0</v>
      </c>
      <c r="S42" s="2">
        <f t="shared" si="3"/>
        <v>1556.2</v>
      </c>
      <c r="T42" s="1">
        <f t="shared" si="4"/>
        <v>2.5936666666666666</v>
      </c>
      <c r="U42" s="6">
        <f>+Q42</f>
        <v>301395</v>
      </c>
      <c r="V42" s="1">
        <v>1</v>
      </c>
      <c r="W42" s="105"/>
      <c r="X42" s="50" t="s">
        <v>107</v>
      </c>
    </row>
    <row r="43" spans="1:26" s="30" customFormat="1" ht="62.25" customHeight="1" x14ac:dyDescent="0.25">
      <c r="A43" s="49"/>
      <c r="B43" s="16" t="s">
        <v>21</v>
      </c>
      <c r="C43" s="16" t="s">
        <v>113</v>
      </c>
      <c r="D43" s="2">
        <v>1</v>
      </c>
      <c r="E43" s="2">
        <v>1260</v>
      </c>
      <c r="F43" s="3" t="s">
        <v>175</v>
      </c>
      <c r="G43" s="2">
        <v>11</v>
      </c>
      <c r="H43" s="2">
        <f>1259.3+741.4+48.6+33.2</f>
        <v>2082.4999999999995</v>
      </c>
      <c r="I43" s="2">
        <v>116</v>
      </c>
      <c r="J43" s="2">
        <v>295.8</v>
      </c>
      <c r="K43" s="2">
        <v>126</v>
      </c>
      <c r="L43" s="2">
        <v>127</v>
      </c>
      <c r="M43" s="2">
        <v>131</v>
      </c>
      <c r="N43" s="2">
        <v>67</v>
      </c>
      <c r="O43" s="2">
        <v>157</v>
      </c>
      <c r="P43" s="2">
        <v>208</v>
      </c>
      <c r="Q43" s="11">
        <v>175</v>
      </c>
      <c r="R43" s="2">
        <v>118</v>
      </c>
      <c r="S43" s="2">
        <f t="shared" si="3"/>
        <v>2898.2999999999997</v>
      </c>
      <c r="T43" s="1">
        <f t="shared" si="4"/>
        <v>2.300238095238095</v>
      </c>
      <c r="U43" s="6">
        <f>+Q43</f>
        <v>175</v>
      </c>
      <c r="V43" s="1">
        <v>1</v>
      </c>
      <c r="W43" s="105"/>
      <c r="X43" s="50" t="s">
        <v>235</v>
      </c>
    </row>
    <row r="44" spans="1:26" s="30" customFormat="1" ht="58.5" customHeight="1" x14ac:dyDescent="0.25">
      <c r="A44" s="49"/>
      <c r="B44" s="63" t="s">
        <v>22</v>
      </c>
      <c r="C44" s="16" t="s">
        <v>205</v>
      </c>
      <c r="D44" s="2">
        <v>4</v>
      </c>
      <c r="E44" s="2">
        <v>3900</v>
      </c>
      <c r="F44" s="2" t="s">
        <v>160</v>
      </c>
      <c r="G44" s="2">
        <v>4</v>
      </c>
      <c r="H44" s="2">
        <f>43.9+39.9+75.4+78.1</f>
        <v>237.29999999999998</v>
      </c>
      <c r="I44" s="2">
        <v>4</v>
      </c>
      <c r="J44" s="2">
        <v>115.4</v>
      </c>
      <c r="K44" s="2">
        <v>4</v>
      </c>
      <c r="L44" s="2">
        <v>105</v>
      </c>
      <c r="M44" s="2">
        <v>4</v>
      </c>
      <c r="N44" s="2">
        <v>23</v>
      </c>
      <c r="O44" s="2">
        <v>4</v>
      </c>
      <c r="P44" s="2">
        <v>951</v>
      </c>
      <c r="Q44" s="11">
        <v>4</v>
      </c>
      <c r="R44" s="11">
        <v>2113</v>
      </c>
      <c r="S44" s="2">
        <f>+H44+J44+L44+N44+P44+R44</f>
        <v>3544.7</v>
      </c>
      <c r="T44" s="1">
        <f t="shared" si="4"/>
        <v>0.90889743589743588</v>
      </c>
      <c r="U44" s="4">
        <v>4</v>
      </c>
      <c r="V44" s="1">
        <v>1</v>
      </c>
      <c r="W44" s="105"/>
      <c r="X44" s="50"/>
    </row>
    <row r="45" spans="1:26" s="30" customFormat="1" ht="63" customHeight="1" x14ac:dyDescent="0.25">
      <c r="A45" s="49"/>
      <c r="B45" s="63" t="s">
        <v>84</v>
      </c>
      <c r="C45" s="16" t="s">
        <v>112</v>
      </c>
      <c r="D45" s="2">
        <v>2</v>
      </c>
      <c r="E45" s="2">
        <v>2400</v>
      </c>
      <c r="F45" s="3" t="s">
        <v>176</v>
      </c>
      <c r="G45" s="2">
        <v>1</v>
      </c>
      <c r="H45" s="2">
        <v>0</v>
      </c>
      <c r="I45" s="2">
        <v>3</v>
      </c>
      <c r="J45" s="2">
        <v>2281.1</v>
      </c>
      <c r="K45" s="2">
        <v>1</v>
      </c>
      <c r="L45" s="2">
        <v>111</v>
      </c>
      <c r="M45" s="2">
        <v>0</v>
      </c>
      <c r="N45" s="2">
        <v>55</v>
      </c>
      <c r="O45" s="2">
        <v>1</v>
      </c>
      <c r="P45" s="2">
        <v>14</v>
      </c>
      <c r="Q45" s="11">
        <v>0</v>
      </c>
      <c r="R45" s="2">
        <v>20</v>
      </c>
      <c r="S45" s="2">
        <f t="shared" si="3"/>
        <v>2481.1</v>
      </c>
      <c r="T45" s="1">
        <f t="shared" si="4"/>
        <v>1.0337916666666667</v>
      </c>
      <c r="U45" s="6">
        <f>+G45+I45+K45+M45+O45+Q45</f>
        <v>6</v>
      </c>
      <c r="V45" s="1">
        <v>1</v>
      </c>
      <c r="W45" s="105"/>
      <c r="X45" s="50"/>
    </row>
    <row r="46" spans="1:26" s="30" customFormat="1" ht="48" customHeight="1" x14ac:dyDescent="0.25">
      <c r="A46" s="49"/>
      <c r="B46" s="28" t="s">
        <v>23</v>
      </c>
      <c r="C46" s="16" t="s">
        <v>138</v>
      </c>
      <c r="D46" s="2">
        <v>20000</v>
      </c>
      <c r="E46" s="2">
        <v>2400</v>
      </c>
      <c r="F46" s="43" t="s">
        <v>174</v>
      </c>
      <c r="G46" s="2">
        <v>131228</v>
      </c>
      <c r="H46" s="2">
        <v>106.6</v>
      </c>
      <c r="I46" s="2">
        <v>119256.3</v>
      </c>
      <c r="J46" s="2">
        <v>0</v>
      </c>
      <c r="K46" s="2">
        <v>119256</v>
      </c>
      <c r="L46" s="2">
        <v>0</v>
      </c>
      <c r="M46" s="2">
        <v>119256</v>
      </c>
      <c r="N46" s="2">
        <v>0</v>
      </c>
      <c r="O46" s="2">
        <v>119256</v>
      </c>
      <c r="P46" s="2">
        <v>0</v>
      </c>
      <c r="Q46" s="11">
        <v>119256</v>
      </c>
      <c r="R46" s="2">
        <v>0</v>
      </c>
      <c r="S46" s="2">
        <f t="shared" si="3"/>
        <v>106.6</v>
      </c>
      <c r="T46" s="1">
        <f t="shared" si="4"/>
        <v>4.4416666666666667E-2</v>
      </c>
      <c r="U46" s="65">
        <v>3</v>
      </c>
      <c r="V46" s="41">
        <v>1</v>
      </c>
      <c r="W46" s="105"/>
      <c r="X46" s="50" t="s">
        <v>108</v>
      </c>
    </row>
    <row r="47" spans="1:26" s="30" customFormat="1" ht="60" customHeight="1" x14ac:dyDescent="0.25">
      <c r="A47" s="49"/>
      <c r="B47" s="28"/>
      <c r="C47" s="16" t="s">
        <v>139</v>
      </c>
      <c r="D47" s="2">
        <v>4145</v>
      </c>
      <c r="E47" s="2">
        <v>2400</v>
      </c>
      <c r="F47" s="43"/>
      <c r="G47" s="2">
        <v>4145</v>
      </c>
      <c r="H47" s="2">
        <v>101.5</v>
      </c>
      <c r="I47" s="2" t="s">
        <v>81</v>
      </c>
      <c r="J47" s="2">
        <v>419</v>
      </c>
      <c r="K47" s="2">
        <v>73</v>
      </c>
      <c r="L47" s="2">
        <v>487</v>
      </c>
      <c r="M47" s="2">
        <v>25</v>
      </c>
      <c r="N47" s="2">
        <v>499</v>
      </c>
      <c r="O47" s="2">
        <v>25</v>
      </c>
      <c r="P47" s="2">
        <v>288</v>
      </c>
      <c r="Q47" s="11">
        <v>25</v>
      </c>
      <c r="R47" s="2">
        <v>346</v>
      </c>
      <c r="S47" s="2">
        <f t="shared" si="3"/>
        <v>2140.5</v>
      </c>
      <c r="T47" s="1">
        <f t="shared" si="4"/>
        <v>0.89187499999999997</v>
      </c>
      <c r="U47" s="65"/>
      <c r="V47" s="41"/>
      <c r="W47" s="105"/>
      <c r="X47" s="50" t="s">
        <v>202</v>
      </c>
    </row>
    <row r="48" spans="1:26" s="30" customFormat="1" ht="58.5" customHeight="1" x14ac:dyDescent="0.25">
      <c r="A48" s="49"/>
      <c r="B48" s="28"/>
      <c r="C48" s="16" t="s">
        <v>140</v>
      </c>
      <c r="D48" s="2">
        <v>35830</v>
      </c>
      <c r="E48" s="2">
        <v>2400</v>
      </c>
      <c r="F48" s="43"/>
      <c r="G48" s="2">
        <v>35356</v>
      </c>
      <c r="H48" s="2">
        <v>0</v>
      </c>
      <c r="I48" s="2">
        <v>35140</v>
      </c>
      <c r="J48" s="2">
        <v>0</v>
      </c>
      <c r="K48" s="2">
        <v>35140</v>
      </c>
      <c r="L48" s="2">
        <v>0</v>
      </c>
      <c r="M48" s="2">
        <v>35140</v>
      </c>
      <c r="N48" s="2">
        <v>0</v>
      </c>
      <c r="O48" s="2">
        <v>35140</v>
      </c>
      <c r="P48" s="2">
        <v>0</v>
      </c>
      <c r="Q48" s="11">
        <v>35140</v>
      </c>
      <c r="R48" s="2">
        <v>0</v>
      </c>
      <c r="S48" s="2">
        <f t="shared" si="3"/>
        <v>0</v>
      </c>
      <c r="T48" s="1">
        <f t="shared" si="4"/>
        <v>0</v>
      </c>
      <c r="U48" s="65"/>
      <c r="V48" s="41"/>
      <c r="W48" s="105"/>
      <c r="X48" s="50" t="s">
        <v>104</v>
      </c>
    </row>
    <row r="49" spans="1:26" s="30" customFormat="1" ht="72" customHeight="1" x14ac:dyDescent="0.25">
      <c r="A49" s="49" t="s">
        <v>70</v>
      </c>
      <c r="B49" s="16" t="s">
        <v>83</v>
      </c>
      <c r="C49" s="16" t="s">
        <v>110</v>
      </c>
      <c r="D49" s="2">
        <v>37</v>
      </c>
      <c r="E49" s="2">
        <v>3600</v>
      </c>
      <c r="F49" s="3" t="s">
        <v>177</v>
      </c>
      <c r="G49" s="2">
        <v>17</v>
      </c>
      <c r="H49" s="2">
        <f>397+680.9+1227.3+2095.4</f>
        <v>4400.6000000000004</v>
      </c>
      <c r="I49" s="2">
        <v>40</v>
      </c>
      <c r="J49" s="2">
        <v>166.9</v>
      </c>
      <c r="K49" s="2">
        <v>40</v>
      </c>
      <c r="L49" s="2">
        <v>0</v>
      </c>
      <c r="M49" s="2">
        <v>40</v>
      </c>
      <c r="N49" s="2">
        <v>0</v>
      </c>
      <c r="O49" s="2">
        <v>40</v>
      </c>
      <c r="P49" s="2">
        <v>0</v>
      </c>
      <c r="Q49" s="11">
        <v>40</v>
      </c>
      <c r="R49" s="2">
        <v>0</v>
      </c>
      <c r="S49" s="2">
        <f t="shared" si="3"/>
        <v>4567.5</v>
      </c>
      <c r="T49" s="1">
        <f t="shared" si="4"/>
        <v>1.26875</v>
      </c>
      <c r="U49" s="4">
        <v>40</v>
      </c>
      <c r="V49" s="1">
        <v>1</v>
      </c>
      <c r="W49" s="105"/>
      <c r="X49" s="50"/>
    </row>
    <row r="50" spans="1:26" s="30" customFormat="1" ht="72" x14ac:dyDescent="0.25">
      <c r="A50" s="49"/>
      <c r="B50" s="16" t="s">
        <v>24</v>
      </c>
      <c r="C50" s="16" t="s">
        <v>211</v>
      </c>
      <c r="D50" s="2">
        <v>3</v>
      </c>
      <c r="E50" s="2">
        <v>3600</v>
      </c>
      <c r="F50" s="3" t="s">
        <v>178</v>
      </c>
      <c r="G50" s="2">
        <v>1</v>
      </c>
      <c r="H50" s="2">
        <v>1949.5</v>
      </c>
      <c r="I50" s="2">
        <v>1</v>
      </c>
      <c r="J50" s="2">
        <v>211.6</v>
      </c>
      <c r="K50" s="2">
        <v>10</v>
      </c>
      <c r="L50" s="2">
        <v>0</v>
      </c>
      <c r="M50" s="2">
        <v>10</v>
      </c>
      <c r="N50" s="2">
        <v>0</v>
      </c>
      <c r="O50" s="2">
        <v>0</v>
      </c>
      <c r="P50" s="2">
        <v>0</v>
      </c>
      <c r="Q50" s="11">
        <v>0</v>
      </c>
      <c r="R50" s="2">
        <v>0</v>
      </c>
      <c r="S50" s="2">
        <f t="shared" si="3"/>
        <v>2161.1</v>
      </c>
      <c r="T50" s="1">
        <f t="shared" si="4"/>
        <v>0.60030555555555554</v>
      </c>
      <c r="U50" s="4">
        <v>10</v>
      </c>
      <c r="V50" s="1">
        <v>1</v>
      </c>
      <c r="W50" s="105"/>
      <c r="X50" s="50" t="s">
        <v>213</v>
      </c>
    </row>
    <row r="51" spans="1:26" s="30" customFormat="1" ht="60" x14ac:dyDescent="0.25">
      <c r="A51" s="49"/>
      <c r="B51" s="16" t="s">
        <v>25</v>
      </c>
      <c r="C51" s="16" t="s">
        <v>111</v>
      </c>
      <c r="D51" s="2">
        <v>5</v>
      </c>
      <c r="E51" s="2">
        <v>650</v>
      </c>
      <c r="F51" s="3" t="s">
        <v>212</v>
      </c>
      <c r="G51" s="2">
        <v>4</v>
      </c>
      <c r="H51" s="2">
        <f>55.6+25.8+43.8+55</f>
        <v>180.2</v>
      </c>
      <c r="I51" s="2">
        <v>4</v>
      </c>
      <c r="J51" s="2">
        <v>340.5</v>
      </c>
      <c r="K51" s="2">
        <v>5</v>
      </c>
      <c r="L51" s="2">
        <v>137</v>
      </c>
      <c r="M51" s="2">
        <v>5</v>
      </c>
      <c r="N51" s="2">
        <v>300</v>
      </c>
      <c r="O51" s="2">
        <v>9</v>
      </c>
      <c r="P51" s="2">
        <v>241</v>
      </c>
      <c r="Q51" s="11">
        <v>9</v>
      </c>
      <c r="R51" s="2">
        <v>296</v>
      </c>
      <c r="S51" s="2">
        <f t="shared" si="3"/>
        <v>1494.7</v>
      </c>
      <c r="T51" s="1">
        <f t="shared" si="4"/>
        <v>2.2995384615384618</v>
      </c>
      <c r="U51" s="4">
        <v>9</v>
      </c>
      <c r="V51" s="1">
        <v>1</v>
      </c>
      <c r="W51" s="105"/>
      <c r="X51" s="50"/>
    </row>
    <row r="52" spans="1:26" s="30" customFormat="1" ht="93" customHeight="1" thickBot="1" x14ac:dyDescent="0.3">
      <c r="A52" s="85" t="s">
        <v>71</v>
      </c>
      <c r="B52" s="74" t="s">
        <v>99</v>
      </c>
      <c r="C52" s="74" t="s">
        <v>141</v>
      </c>
      <c r="D52" s="22">
        <v>3</v>
      </c>
      <c r="E52" s="22">
        <v>17500</v>
      </c>
      <c r="F52" s="22" t="s">
        <v>159</v>
      </c>
      <c r="G52" s="22">
        <v>1</v>
      </c>
      <c r="H52" s="22">
        <v>786.8</v>
      </c>
      <c r="I52" s="22">
        <v>0</v>
      </c>
      <c r="J52" s="22">
        <v>0</v>
      </c>
      <c r="K52" s="22">
        <v>0</v>
      </c>
      <c r="L52" s="22">
        <v>97</v>
      </c>
      <c r="M52" s="22">
        <v>1</v>
      </c>
      <c r="N52" s="22">
        <v>364</v>
      </c>
      <c r="O52" s="22">
        <v>0</v>
      </c>
      <c r="P52" s="22">
        <v>220</v>
      </c>
      <c r="Q52" s="75">
        <v>1</v>
      </c>
      <c r="R52" s="22">
        <v>5208</v>
      </c>
      <c r="S52" s="22">
        <f t="shared" si="3"/>
        <v>6675.8</v>
      </c>
      <c r="T52" s="17">
        <f t="shared" si="4"/>
        <v>0.38147428571428571</v>
      </c>
      <c r="U52" s="76">
        <f>+G52+I52+K52+M52+O52+Q52</f>
        <v>3</v>
      </c>
      <c r="V52" s="17">
        <v>1</v>
      </c>
      <c r="W52" s="106"/>
      <c r="X52" s="77" t="s">
        <v>210</v>
      </c>
    </row>
    <row r="53" spans="1:26" s="99" customFormat="1" ht="21.75" customHeight="1" thickBot="1" x14ac:dyDescent="0.3">
      <c r="A53" s="78" t="s">
        <v>251</v>
      </c>
      <c r="B53" s="79"/>
      <c r="C53" s="80"/>
      <c r="D53" s="81"/>
      <c r="E53" s="81">
        <f>SUM(E40:E52)</f>
        <v>57610</v>
      </c>
      <c r="F53" s="97"/>
      <c r="G53" s="81"/>
      <c r="H53" s="81">
        <f>SUM(H40:H52)</f>
        <v>13454.7</v>
      </c>
      <c r="I53" s="81"/>
      <c r="J53" s="81">
        <f>SUM(J40:J52)</f>
        <v>11176.199999999999</v>
      </c>
      <c r="K53" s="81"/>
      <c r="L53" s="81">
        <f>SUM(L40:L52)</f>
        <v>3133</v>
      </c>
      <c r="M53" s="81"/>
      <c r="N53" s="81">
        <f>SUM(N40:N52)</f>
        <v>3671</v>
      </c>
      <c r="O53" s="81"/>
      <c r="P53" s="81">
        <f>SUM(P40:P52)</f>
        <v>3541</v>
      </c>
      <c r="Q53" s="82"/>
      <c r="R53" s="81">
        <f>SUM(R40:R52)</f>
        <v>9290</v>
      </c>
      <c r="S53" s="81">
        <f>+H53+J53+L53+N53+P53+R53</f>
        <v>44265.9</v>
      </c>
      <c r="T53" s="83">
        <f>+S53/E53</f>
        <v>0.7683718104495747</v>
      </c>
      <c r="U53" s="84"/>
      <c r="V53" s="83"/>
      <c r="W53" s="96"/>
      <c r="X53" s="98"/>
    </row>
    <row r="54" spans="1:26" s="103" customFormat="1" ht="26.25" customHeight="1" thickBot="1" x14ac:dyDescent="0.3">
      <c r="A54" s="60" t="s">
        <v>78</v>
      </c>
      <c r="B54" s="61"/>
      <c r="C54" s="61"/>
      <c r="D54" s="61"/>
      <c r="E54" s="61"/>
      <c r="F54" s="61"/>
      <c r="G54" s="61"/>
      <c r="H54" s="61"/>
      <c r="I54" s="61"/>
      <c r="J54" s="61"/>
      <c r="K54" s="61"/>
      <c r="L54" s="61"/>
      <c r="M54" s="61"/>
      <c r="N54" s="61"/>
      <c r="O54" s="61"/>
      <c r="P54" s="61"/>
      <c r="Q54" s="61"/>
      <c r="R54" s="61"/>
      <c r="S54" s="61"/>
      <c r="T54" s="61"/>
      <c r="U54" s="61"/>
      <c r="V54" s="61"/>
      <c r="W54" s="61"/>
      <c r="X54" s="62"/>
    </row>
    <row r="55" spans="1:26" s="30" customFormat="1" ht="51.75" customHeight="1" x14ac:dyDescent="0.25">
      <c r="A55" s="49" t="s">
        <v>72</v>
      </c>
      <c r="B55" s="16" t="s">
        <v>26</v>
      </c>
      <c r="C55" s="16" t="s">
        <v>48</v>
      </c>
      <c r="D55" s="2">
        <v>4</v>
      </c>
      <c r="E55" s="2">
        <v>54000</v>
      </c>
      <c r="F55" s="2" t="s">
        <v>159</v>
      </c>
      <c r="G55" s="2">
        <v>1</v>
      </c>
      <c r="H55" s="2">
        <f>317+643</f>
        <v>960</v>
      </c>
      <c r="I55" s="2">
        <v>3</v>
      </c>
      <c r="J55" s="2">
        <v>230</v>
      </c>
      <c r="K55" s="2">
        <v>0</v>
      </c>
      <c r="L55" s="2">
        <v>667</v>
      </c>
      <c r="M55" s="2">
        <v>0</v>
      </c>
      <c r="N55" s="2">
        <v>1477</v>
      </c>
      <c r="O55" s="2">
        <v>1</v>
      </c>
      <c r="P55" s="2">
        <v>2478</v>
      </c>
      <c r="Q55" s="11">
        <v>1</v>
      </c>
      <c r="R55" s="2">
        <v>1388</v>
      </c>
      <c r="S55" s="2">
        <f t="shared" si="3"/>
        <v>7200</v>
      </c>
      <c r="T55" s="1">
        <f>+S55/E55</f>
        <v>0.13333333333333333</v>
      </c>
      <c r="U55" s="4">
        <f>+G55+I55+K55+M55+O55+Q55</f>
        <v>6</v>
      </c>
      <c r="V55" s="1">
        <v>1</v>
      </c>
      <c r="W55" s="107">
        <v>0.83</v>
      </c>
      <c r="X55" s="50" t="s">
        <v>236</v>
      </c>
      <c r="Y55" s="36"/>
      <c r="Z55" s="37"/>
    </row>
    <row r="56" spans="1:26" s="30" customFormat="1" ht="35.25" customHeight="1" x14ac:dyDescent="0.25">
      <c r="A56" s="49"/>
      <c r="B56" s="28" t="s">
        <v>49</v>
      </c>
      <c r="C56" s="16" t="s">
        <v>50</v>
      </c>
      <c r="D56" s="2">
        <v>1</v>
      </c>
      <c r="E56" s="2">
        <v>3150</v>
      </c>
      <c r="F56" s="43" t="s">
        <v>179</v>
      </c>
      <c r="G56" s="2">
        <v>0</v>
      </c>
      <c r="H56" s="2">
        <v>0</v>
      </c>
      <c r="I56" s="2">
        <v>1</v>
      </c>
      <c r="J56" s="2">
        <v>0</v>
      </c>
      <c r="K56" s="2">
        <v>0</v>
      </c>
      <c r="L56" s="2">
        <v>0</v>
      </c>
      <c r="M56" s="2">
        <v>0</v>
      </c>
      <c r="N56" s="2">
        <v>0</v>
      </c>
      <c r="O56" s="2">
        <v>0</v>
      </c>
      <c r="P56" s="2">
        <v>0</v>
      </c>
      <c r="Q56" s="11">
        <v>0</v>
      </c>
      <c r="R56" s="2">
        <v>0</v>
      </c>
      <c r="S56" s="2">
        <f t="shared" si="3"/>
        <v>0</v>
      </c>
      <c r="T56" s="1">
        <f t="shared" ref="T56:T69" si="5">+S56/E56</f>
        <v>0</v>
      </c>
      <c r="U56" s="4">
        <f>+G56+I56+K56+M56+O56+Q56</f>
        <v>1</v>
      </c>
      <c r="V56" s="41">
        <v>1</v>
      </c>
      <c r="W56" s="107"/>
      <c r="X56" s="52" t="s">
        <v>222</v>
      </c>
    </row>
    <row r="57" spans="1:26" s="30" customFormat="1" ht="12.75" customHeight="1" x14ac:dyDescent="0.25">
      <c r="A57" s="49"/>
      <c r="B57" s="28"/>
      <c r="C57" s="16" t="s">
        <v>51</v>
      </c>
      <c r="D57" s="2">
        <v>1</v>
      </c>
      <c r="E57" s="2">
        <v>0</v>
      </c>
      <c r="F57" s="43"/>
      <c r="G57" s="2">
        <v>0</v>
      </c>
      <c r="H57" s="2">
        <v>0</v>
      </c>
      <c r="I57" s="2">
        <v>1</v>
      </c>
      <c r="J57" s="2">
        <v>0</v>
      </c>
      <c r="K57" s="2">
        <v>1</v>
      </c>
      <c r="L57" s="2">
        <v>0</v>
      </c>
      <c r="M57" s="2">
        <v>1</v>
      </c>
      <c r="N57" s="2">
        <v>0</v>
      </c>
      <c r="O57" s="2">
        <v>1</v>
      </c>
      <c r="P57" s="2">
        <v>0</v>
      </c>
      <c r="Q57" s="11">
        <v>1</v>
      </c>
      <c r="R57" s="2">
        <v>0</v>
      </c>
      <c r="S57" s="2">
        <f t="shared" si="3"/>
        <v>0</v>
      </c>
      <c r="T57" s="1">
        <v>0</v>
      </c>
      <c r="U57" s="4">
        <v>1</v>
      </c>
      <c r="V57" s="41"/>
      <c r="W57" s="107"/>
      <c r="X57" s="52"/>
    </row>
    <row r="58" spans="1:26" s="30" customFormat="1" ht="48.75" customHeight="1" x14ac:dyDescent="0.25">
      <c r="A58" s="49"/>
      <c r="B58" s="16" t="s">
        <v>27</v>
      </c>
      <c r="C58" s="16" t="s">
        <v>52</v>
      </c>
      <c r="D58" s="2">
        <v>37</v>
      </c>
      <c r="E58" s="2">
        <v>52000</v>
      </c>
      <c r="F58" s="3" t="s">
        <v>180</v>
      </c>
      <c r="G58" s="2">
        <v>21</v>
      </c>
      <c r="H58" s="2">
        <f>1498+4589+2814+1044</f>
        <v>9945</v>
      </c>
      <c r="I58" s="2">
        <v>22</v>
      </c>
      <c r="J58" s="44">
        <f>1877+1854+1392+1134</f>
        <v>6257</v>
      </c>
      <c r="K58" s="2">
        <v>22</v>
      </c>
      <c r="L58" s="2">
        <v>3577</v>
      </c>
      <c r="M58" s="2">
        <v>23</v>
      </c>
      <c r="N58" s="2">
        <v>2063</v>
      </c>
      <c r="O58" s="2">
        <v>23</v>
      </c>
      <c r="P58" s="2">
        <v>2541</v>
      </c>
      <c r="Q58" s="11">
        <v>23</v>
      </c>
      <c r="R58" s="2">
        <v>2076</v>
      </c>
      <c r="S58" s="2">
        <f t="shared" si="3"/>
        <v>26459</v>
      </c>
      <c r="T58" s="1">
        <f t="shared" si="5"/>
        <v>0.50882692307692312</v>
      </c>
      <c r="U58" s="4">
        <v>23</v>
      </c>
      <c r="V58" s="1">
        <f>+O58/D58</f>
        <v>0.6216216216216216</v>
      </c>
      <c r="W58" s="107"/>
      <c r="X58" s="50"/>
    </row>
    <row r="59" spans="1:26" s="30" customFormat="1" ht="50.25" customHeight="1" x14ac:dyDescent="0.25">
      <c r="A59" s="49"/>
      <c r="B59" s="16" t="s">
        <v>53</v>
      </c>
      <c r="C59" s="16" t="s">
        <v>142</v>
      </c>
      <c r="D59" s="2">
        <v>200</v>
      </c>
      <c r="E59" s="2">
        <v>13000</v>
      </c>
      <c r="F59" s="3" t="s">
        <v>181</v>
      </c>
      <c r="G59" s="2">
        <v>146</v>
      </c>
      <c r="H59" s="2">
        <v>0</v>
      </c>
      <c r="I59" s="2">
        <v>266</v>
      </c>
      <c r="J59" s="2">
        <v>0</v>
      </c>
      <c r="K59" s="2">
        <f>63+167</f>
        <v>230</v>
      </c>
      <c r="L59" s="2">
        <v>1182</v>
      </c>
      <c r="M59" s="2">
        <v>0</v>
      </c>
      <c r="N59" s="2">
        <v>0</v>
      </c>
      <c r="O59" s="2">
        <v>0</v>
      </c>
      <c r="P59" s="2">
        <v>0</v>
      </c>
      <c r="Q59" s="11">
        <v>0</v>
      </c>
      <c r="R59" s="2">
        <v>0</v>
      </c>
      <c r="S59" s="2">
        <v>0</v>
      </c>
      <c r="T59" s="1">
        <f t="shared" si="5"/>
        <v>0</v>
      </c>
      <c r="U59" s="6">
        <f>+G59+I59+K59+M59+O59+Q59</f>
        <v>642</v>
      </c>
      <c r="V59" s="1">
        <v>1</v>
      </c>
      <c r="W59" s="107"/>
      <c r="X59" s="50"/>
    </row>
    <row r="60" spans="1:26" s="30" customFormat="1" ht="39.75" customHeight="1" x14ac:dyDescent="0.25">
      <c r="A60" s="49"/>
      <c r="B60" s="16" t="s">
        <v>54</v>
      </c>
      <c r="C60" s="16" t="s">
        <v>142</v>
      </c>
      <c r="D60" s="2">
        <v>20</v>
      </c>
      <c r="E60" s="2">
        <v>15600</v>
      </c>
      <c r="F60" s="3" t="s">
        <v>180</v>
      </c>
      <c r="G60" s="2">
        <v>182</v>
      </c>
      <c r="H60" s="2">
        <v>0</v>
      </c>
      <c r="I60" s="2">
        <f>148+58</f>
        <v>206</v>
      </c>
      <c r="J60" s="2">
        <v>0</v>
      </c>
      <c r="K60" s="2">
        <v>135</v>
      </c>
      <c r="L60" s="2">
        <v>0</v>
      </c>
      <c r="M60" s="2">
        <v>34</v>
      </c>
      <c r="N60" s="2">
        <v>0</v>
      </c>
      <c r="O60" s="2">
        <v>77</v>
      </c>
      <c r="P60" s="2">
        <v>0</v>
      </c>
      <c r="Q60" s="11">
        <v>0</v>
      </c>
      <c r="R60" s="2">
        <v>0</v>
      </c>
      <c r="S60" s="2">
        <f t="shared" si="3"/>
        <v>0</v>
      </c>
      <c r="T60" s="1">
        <f t="shared" si="5"/>
        <v>0</v>
      </c>
      <c r="U60" s="6">
        <f>+G60+I60+K60+M60+O60+Q60</f>
        <v>634</v>
      </c>
      <c r="V60" s="1">
        <v>1</v>
      </c>
      <c r="W60" s="107"/>
      <c r="X60" s="50" t="s">
        <v>237</v>
      </c>
    </row>
    <row r="61" spans="1:26" s="30" customFormat="1" ht="120" x14ac:dyDescent="0.25">
      <c r="A61" s="49"/>
      <c r="B61" s="16" t="s">
        <v>28</v>
      </c>
      <c r="C61" s="16" t="s">
        <v>55</v>
      </c>
      <c r="D61" s="2">
        <v>1</v>
      </c>
      <c r="E61" s="2">
        <v>6500</v>
      </c>
      <c r="F61" s="3" t="s">
        <v>182</v>
      </c>
      <c r="G61" s="2">
        <v>1</v>
      </c>
      <c r="H61" s="2">
        <v>4401</v>
      </c>
      <c r="I61" s="2">
        <v>1</v>
      </c>
      <c r="J61" s="2">
        <v>7223</v>
      </c>
      <c r="K61" s="2">
        <v>1</v>
      </c>
      <c r="L61" s="2">
        <v>1872</v>
      </c>
      <c r="M61" s="2">
        <v>1</v>
      </c>
      <c r="N61" s="2">
        <v>2302</v>
      </c>
      <c r="O61" s="2">
        <v>1</v>
      </c>
      <c r="P61" s="2">
        <v>2523</v>
      </c>
      <c r="Q61" s="11">
        <v>1</v>
      </c>
      <c r="R61" s="2">
        <v>2755</v>
      </c>
      <c r="S61" s="2">
        <f>+H61+J61+L61+N61+P61+R61</f>
        <v>21076</v>
      </c>
      <c r="T61" s="1">
        <f t="shared" si="5"/>
        <v>3.2424615384615385</v>
      </c>
      <c r="U61" s="6">
        <v>1</v>
      </c>
      <c r="V61" s="1">
        <v>1</v>
      </c>
      <c r="W61" s="107"/>
      <c r="X61" s="50" t="s">
        <v>238</v>
      </c>
    </row>
    <row r="62" spans="1:26" s="30" customFormat="1" ht="69" customHeight="1" x14ac:dyDescent="0.25">
      <c r="A62" s="49"/>
      <c r="B62" s="16" t="s">
        <v>29</v>
      </c>
      <c r="C62" s="16" t="s">
        <v>143</v>
      </c>
      <c r="D62" s="2">
        <v>6500</v>
      </c>
      <c r="E62" s="2">
        <v>13000</v>
      </c>
      <c r="F62" s="3" t="s">
        <v>183</v>
      </c>
      <c r="G62" s="2">
        <v>4170</v>
      </c>
      <c r="H62" s="2">
        <f>2006+2005</f>
        <v>4011</v>
      </c>
      <c r="I62" s="2">
        <v>1792</v>
      </c>
      <c r="J62" s="2">
        <v>1380</v>
      </c>
      <c r="K62" s="2">
        <v>1570.9</v>
      </c>
      <c r="L62" s="2">
        <v>338</v>
      </c>
      <c r="M62" s="2">
        <v>16.8</v>
      </c>
      <c r="N62" s="2">
        <v>2</v>
      </c>
      <c r="O62" s="2">
        <v>200</v>
      </c>
      <c r="P62" s="2">
        <v>215</v>
      </c>
      <c r="Q62" s="11">
        <v>0</v>
      </c>
      <c r="R62" s="2">
        <v>0</v>
      </c>
      <c r="S62" s="2">
        <f t="shared" si="3"/>
        <v>5946</v>
      </c>
      <c r="T62" s="1">
        <f t="shared" si="5"/>
        <v>0.45738461538461539</v>
      </c>
      <c r="U62" s="6">
        <f>+G62+I62+K62+M62+O62+Q62</f>
        <v>7749.7</v>
      </c>
      <c r="V62" s="1">
        <v>1</v>
      </c>
      <c r="W62" s="107"/>
      <c r="X62" s="50"/>
    </row>
    <row r="63" spans="1:26" s="30" customFormat="1" ht="33" customHeight="1" x14ac:dyDescent="0.25">
      <c r="A63" s="49" t="s">
        <v>73</v>
      </c>
      <c r="B63" s="16" t="s">
        <v>56</v>
      </c>
      <c r="C63" s="16" t="s">
        <v>144</v>
      </c>
      <c r="D63" s="2">
        <v>1150</v>
      </c>
      <c r="E63" s="2">
        <v>10400</v>
      </c>
      <c r="F63" s="3" t="s">
        <v>184</v>
      </c>
      <c r="G63" s="2">
        <v>815</v>
      </c>
      <c r="H63" s="2">
        <v>1850</v>
      </c>
      <c r="I63" s="2">
        <v>619.5</v>
      </c>
      <c r="J63" s="2">
        <v>1217</v>
      </c>
      <c r="K63" s="2">
        <v>36</v>
      </c>
      <c r="L63" s="2">
        <v>304</v>
      </c>
      <c r="M63" s="2">
        <v>99</v>
      </c>
      <c r="N63" s="2">
        <v>169</v>
      </c>
      <c r="O63" s="2">
        <v>32.5</v>
      </c>
      <c r="P63" s="2">
        <v>315</v>
      </c>
      <c r="Q63" s="11">
        <v>19.78</v>
      </c>
      <c r="R63" s="2">
        <v>254</v>
      </c>
      <c r="S63" s="2">
        <f t="shared" si="3"/>
        <v>4109</v>
      </c>
      <c r="T63" s="1">
        <f t="shared" si="5"/>
        <v>0.39509615384615382</v>
      </c>
      <c r="U63" s="6">
        <f>+Q63+O63+M63+K63+I63+G63</f>
        <v>1621.78</v>
      </c>
      <c r="V63" s="1">
        <v>1</v>
      </c>
      <c r="W63" s="107"/>
      <c r="X63" s="50"/>
    </row>
    <row r="64" spans="1:26" s="30" customFormat="1" ht="54.75" customHeight="1" x14ac:dyDescent="0.25">
      <c r="A64" s="49"/>
      <c r="B64" s="16" t="s">
        <v>30</v>
      </c>
      <c r="C64" s="16" t="s">
        <v>145</v>
      </c>
      <c r="D64" s="2">
        <v>12000</v>
      </c>
      <c r="E64" s="2">
        <v>13000</v>
      </c>
      <c r="F64" s="3" t="s">
        <v>184</v>
      </c>
      <c r="G64" s="2">
        <f>11958+54+10</f>
        <v>12022</v>
      </c>
      <c r="H64" s="2">
        <v>4775</v>
      </c>
      <c r="I64" s="2">
        <v>14307</v>
      </c>
      <c r="J64" s="2">
        <v>6768</v>
      </c>
      <c r="K64" s="2">
        <v>500</v>
      </c>
      <c r="L64" s="2">
        <v>674</v>
      </c>
      <c r="M64" s="2">
        <v>357</v>
      </c>
      <c r="N64" s="2">
        <v>78</v>
      </c>
      <c r="O64" s="2">
        <v>300</v>
      </c>
      <c r="P64" s="2">
        <v>175</v>
      </c>
      <c r="Q64" s="11">
        <v>24</v>
      </c>
      <c r="R64" s="2">
        <v>191</v>
      </c>
      <c r="S64" s="2">
        <f t="shared" si="3"/>
        <v>12661</v>
      </c>
      <c r="T64" s="1">
        <f t="shared" si="5"/>
        <v>0.97392307692307689</v>
      </c>
      <c r="U64" s="6">
        <f>+Q64+O64+M64+K64+I64+G64</f>
        <v>27510</v>
      </c>
      <c r="V64" s="1">
        <v>1</v>
      </c>
      <c r="W64" s="107"/>
      <c r="X64" s="50"/>
    </row>
    <row r="65" spans="1:24" s="30" customFormat="1" ht="36.75" customHeight="1" x14ac:dyDescent="0.25">
      <c r="A65" s="49"/>
      <c r="B65" s="16" t="s">
        <v>57</v>
      </c>
      <c r="C65" s="16" t="s">
        <v>146</v>
      </c>
      <c r="D65" s="2">
        <v>2400</v>
      </c>
      <c r="E65" s="2">
        <v>10400</v>
      </c>
      <c r="F65" s="3" t="s">
        <v>185</v>
      </c>
      <c r="G65" s="2">
        <v>0</v>
      </c>
      <c r="H65" s="2">
        <v>0</v>
      </c>
      <c r="I65" s="2">
        <v>0</v>
      </c>
      <c r="J65" s="2">
        <v>0</v>
      </c>
      <c r="K65" s="2">
        <v>0</v>
      </c>
      <c r="L65" s="2">
        <v>0</v>
      </c>
      <c r="M65" s="2">
        <v>0</v>
      </c>
      <c r="N65" s="2">
        <v>0</v>
      </c>
      <c r="O65" s="2">
        <v>0</v>
      </c>
      <c r="P65" s="2">
        <v>0</v>
      </c>
      <c r="Q65" s="2">
        <v>0</v>
      </c>
      <c r="R65" s="2">
        <v>0</v>
      </c>
      <c r="S65" s="2">
        <f t="shared" si="3"/>
        <v>0</v>
      </c>
      <c r="T65" s="1">
        <f t="shared" si="5"/>
        <v>0</v>
      </c>
      <c r="U65" s="4">
        <v>0</v>
      </c>
      <c r="V65" s="1">
        <v>0</v>
      </c>
      <c r="W65" s="107"/>
      <c r="X65" s="50"/>
    </row>
    <row r="66" spans="1:24" s="30" customFormat="1" ht="50.25" customHeight="1" x14ac:dyDescent="0.25">
      <c r="A66" s="49"/>
      <c r="B66" s="16" t="s">
        <v>31</v>
      </c>
      <c r="C66" s="16" t="s">
        <v>147</v>
      </c>
      <c r="D66" s="2">
        <v>5</v>
      </c>
      <c r="E66" s="2">
        <v>12720</v>
      </c>
      <c r="F66" s="3" t="s">
        <v>187</v>
      </c>
      <c r="G66" s="2">
        <v>1</v>
      </c>
      <c r="H66" s="2">
        <v>0</v>
      </c>
      <c r="I66" s="2">
        <v>1</v>
      </c>
      <c r="J66" s="2">
        <v>0</v>
      </c>
      <c r="K66" s="2">
        <v>1</v>
      </c>
      <c r="L66" s="2">
        <v>223</v>
      </c>
      <c r="M66" s="2">
        <v>1</v>
      </c>
      <c r="N66" s="2">
        <v>0</v>
      </c>
      <c r="O66" s="2">
        <v>1</v>
      </c>
      <c r="P66" s="2">
        <v>346</v>
      </c>
      <c r="Q66" s="11">
        <v>1</v>
      </c>
      <c r="R66" s="2">
        <v>0</v>
      </c>
      <c r="S66" s="2">
        <f t="shared" si="3"/>
        <v>569</v>
      </c>
      <c r="T66" s="1">
        <f t="shared" si="5"/>
        <v>4.473270440251572E-2</v>
      </c>
      <c r="U66" s="4">
        <v>1</v>
      </c>
      <c r="V66" s="1">
        <f>1/D66</f>
        <v>0.2</v>
      </c>
      <c r="W66" s="107"/>
      <c r="X66" s="50" t="s">
        <v>186</v>
      </c>
    </row>
    <row r="67" spans="1:24" s="30" customFormat="1" ht="59.25" customHeight="1" x14ac:dyDescent="0.25">
      <c r="A67" s="49"/>
      <c r="B67" s="16" t="s">
        <v>58</v>
      </c>
      <c r="C67" s="16" t="s">
        <v>148</v>
      </c>
      <c r="D67" s="2">
        <v>6500</v>
      </c>
      <c r="E67" s="2">
        <v>6500</v>
      </c>
      <c r="F67" s="3" t="s">
        <v>174</v>
      </c>
      <c r="G67" s="2">
        <v>4170</v>
      </c>
      <c r="H67" s="2">
        <v>0</v>
      </c>
      <c r="I67" s="2">
        <f>+G67+I62</f>
        <v>5962</v>
      </c>
      <c r="J67" s="2">
        <v>0</v>
      </c>
      <c r="K67" s="2">
        <f>+I67+K62</f>
        <v>7532.9</v>
      </c>
      <c r="L67" s="2">
        <v>0</v>
      </c>
      <c r="M67" s="2">
        <f>+K67+M62</f>
        <v>7549.7</v>
      </c>
      <c r="N67" s="2">
        <v>0</v>
      </c>
      <c r="O67" s="2">
        <f>+M67+O62</f>
        <v>7749.7</v>
      </c>
      <c r="P67" s="2">
        <v>0</v>
      </c>
      <c r="Q67" s="2">
        <f>+O67+7933</f>
        <v>15682.7</v>
      </c>
      <c r="R67" s="2">
        <v>0</v>
      </c>
      <c r="S67" s="2">
        <f t="shared" si="3"/>
        <v>0</v>
      </c>
      <c r="T67" s="1">
        <f t="shared" si="5"/>
        <v>0</v>
      </c>
      <c r="U67" s="8">
        <v>15683</v>
      </c>
      <c r="V67" s="1">
        <v>1</v>
      </c>
      <c r="W67" s="107"/>
      <c r="X67" s="50" t="s">
        <v>100</v>
      </c>
    </row>
    <row r="68" spans="1:24" s="30" customFormat="1" ht="60" customHeight="1" x14ac:dyDescent="0.25">
      <c r="A68" s="49" t="s">
        <v>74</v>
      </c>
      <c r="B68" s="16" t="s">
        <v>32</v>
      </c>
      <c r="C68" s="16" t="s">
        <v>59</v>
      </c>
      <c r="D68" s="2">
        <v>1</v>
      </c>
      <c r="E68" s="2">
        <v>650</v>
      </c>
      <c r="F68" s="3" t="s">
        <v>184</v>
      </c>
      <c r="G68" s="2">
        <v>1</v>
      </c>
      <c r="H68" s="2"/>
      <c r="I68" s="2">
        <v>1</v>
      </c>
      <c r="J68" s="2"/>
      <c r="K68" s="2">
        <v>1</v>
      </c>
      <c r="L68" s="2"/>
      <c r="M68" s="2">
        <v>1</v>
      </c>
      <c r="N68" s="2"/>
      <c r="O68" s="2">
        <v>1</v>
      </c>
      <c r="P68" s="2"/>
      <c r="Q68" s="2">
        <v>1</v>
      </c>
      <c r="R68" s="2"/>
      <c r="S68" s="2">
        <f t="shared" si="3"/>
        <v>0</v>
      </c>
      <c r="T68" s="1">
        <f t="shared" si="5"/>
        <v>0</v>
      </c>
      <c r="U68" s="4">
        <v>1</v>
      </c>
      <c r="V68" s="1">
        <v>1</v>
      </c>
      <c r="W68" s="107"/>
      <c r="X68" s="50"/>
    </row>
    <row r="69" spans="1:24" s="30" customFormat="1" ht="62.25" customHeight="1" thickBot="1" x14ac:dyDescent="0.3">
      <c r="A69" s="73"/>
      <c r="B69" s="19" t="s">
        <v>33</v>
      </c>
      <c r="C69" s="74" t="s">
        <v>60</v>
      </c>
      <c r="D69" s="22">
        <v>1</v>
      </c>
      <c r="E69" s="22">
        <v>650</v>
      </c>
      <c r="F69" s="20" t="s">
        <v>188</v>
      </c>
      <c r="G69" s="22">
        <v>1</v>
      </c>
      <c r="H69" s="22">
        <v>81</v>
      </c>
      <c r="I69" s="22">
        <v>1</v>
      </c>
      <c r="J69" s="22">
        <v>273</v>
      </c>
      <c r="K69" s="22">
        <v>1</v>
      </c>
      <c r="L69" s="22">
        <v>21</v>
      </c>
      <c r="M69" s="22">
        <v>1</v>
      </c>
      <c r="N69" s="22">
        <v>23</v>
      </c>
      <c r="O69" s="22">
        <v>1</v>
      </c>
      <c r="P69" s="22">
        <v>8</v>
      </c>
      <c r="Q69" s="22">
        <v>1</v>
      </c>
      <c r="R69" s="22">
        <v>8</v>
      </c>
      <c r="S69" s="22">
        <f t="shared" si="3"/>
        <v>414</v>
      </c>
      <c r="T69" s="17">
        <f t="shared" si="5"/>
        <v>0.63692307692307693</v>
      </c>
      <c r="U69" s="25">
        <v>1</v>
      </c>
      <c r="V69" s="17">
        <v>1</v>
      </c>
      <c r="W69" s="108"/>
      <c r="X69" s="77" t="s">
        <v>189</v>
      </c>
    </row>
    <row r="70" spans="1:24" s="99" customFormat="1" ht="21.75" customHeight="1" thickBot="1" x14ac:dyDescent="0.3">
      <c r="A70" s="78" t="s">
        <v>252</v>
      </c>
      <c r="B70" s="79"/>
      <c r="C70" s="80"/>
      <c r="D70" s="81"/>
      <c r="E70" s="81">
        <f>SUM(E55:E69)</f>
        <v>211570</v>
      </c>
      <c r="F70" s="97"/>
      <c r="G70" s="81"/>
      <c r="H70" s="81">
        <f>SUM(H55:H69)</f>
        <v>26023</v>
      </c>
      <c r="I70" s="81"/>
      <c r="J70" s="81">
        <f>SUM(J55:J69)</f>
        <v>23348</v>
      </c>
      <c r="K70" s="81"/>
      <c r="L70" s="81">
        <f>SUM(L55:L69)</f>
        <v>8858</v>
      </c>
      <c r="M70" s="81"/>
      <c r="N70" s="81">
        <f>SUM(N55:N69)</f>
        <v>6114</v>
      </c>
      <c r="O70" s="81"/>
      <c r="P70" s="81">
        <f>SUM(P55:P69)</f>
        <v>8601</v>
      </c>
      <c r="Q70" s="82"/>
      <c r="R70" s="81">
        <f>SUM(R55:R69)</f>
        <v>6672</v>
      </c>
      <c r="S70" s="81">
        <f>+H70+J70+L70+N70+P70+R70</f>
        <v>79616</v>
      </c>
      <c r="T70" s="83">
        <f>+S70/E70</f>
        <v>0.37631044098879801</v>
      </c>
      <c r="U70" s="84"/>
      <c r="V70" s="83"/>
      <c r="W70" s="96"/>
      <c r="X70" s="98"/>
    </row>
    <row r="71" spans="1:24" s="103" customFormat="1" ht="26.25" customHeight="1" thickBot="1" x14ac:dyDescent="0.3">
      <c r="A71" s="60" t="s">
        <v>79</v>
      </c>
      <c r="B71" s="61"/>
      <c r="C71" s="61"/>
      <c r="D71" s="61"/>
      <c r="E71" s="61"/>
      <c r="F71" s="61"/>
      <c r="G71" s="61"/>
      <c r="H71" s="61"/>
      <c r="I71" s="61"/>
      <c r="J71" s="61"/>
      <c r="K71" s="61"/>
      <c r="L71" s="61"/>
      <c r="M71" s="61"/>
      <c r="N71" s="61"/>
      <c r="O71" s="61"/>
      <c r="P71" s="61"/>
      <c r="Q71" s="61"/>
      <c r="R71" s="61"/>
      <c r="S71" s="61"/>
      <c r="T71" s="61"/>
      <c r="U71" s="61"/>
      <c r="V71" s="61"/>
      <c r="W71" s="61"/>
      <c r="X71" s="62"/>
    </row>
    <row r="72" spans="1:24" s="30" customFormat="1" ht="60" x14ac:dyDescent="0.25">
      <c r="A72" s="66" t="s">
        <v>75</v>
      </c>
      <c r="B72" s="10" t="s">
        <v>85</v>
      </c>
      <c r="C72" s="10" t="s">
        <v>61</v>
      </c>
      <c r="D72" s="2">
        <v>20</v>
      </c>
      <c r="E72" s="2">
        <v>360</v>
      </c>
      <c r="F72" s="3" t="s">
        <v>190</v>
      </c>
      <c r="G72" s="11">
        <v>6</v>
      </c>
      <c r="H72" s="11">
        <v>0</v>
      </c>
      <c r="I72" s="11">
        <v>11</v>
      </c>
      <c r="J72" s="11">
        <v>0</v>
      </c>
      <c r="K72" s="11">
        <v>5</v>
      </c>
      <c r="L72" s="11">
        <v>0</v>
      </c>
      <c r="M72" s="11">
        <v>8</v>
      </c>
      <c r="N72" s="11">
        <v>0</v>
      </c>
      <c r="O72" s="11">
        <v>9</v>
      </c>
      <c r="P72" s="11">
        <v>0</v>
      </c>
      <c r="Q72" s="2">
        <v>7</v>
      </c>
      <c r="R72" s="11">
        <v>0</v>
      </c>
      <c r="S72" s="2">
        <f t="shared" ref="S72:S79" si="6">+H72+J72+L72+N72+P72+R72</f>
        <v>0</v>
      </c>
      <c r="T72" s="1">
        <f t="shared" ref="T72:T79" si="7">+S72/E72</f>
        <v>0</v>
      </c>
      <c r="U72" s="6">
        <f>+G72+I72+K72+M72+O72+Q72</f>
        <v>46</v>
      </c>
      <c r="V72" s="13">
        <v>1</v>
      </c>
      <c r="W72" s="109">
        <v>1</v>
      </c>
      <c r="X72" s="51" t="s">
        <v>239</v>
      </c>
    </row>
    <row r="73" spans="1:24" s="30" customFormat="1" ht="66.75" customHeight="1" x14ac:dyDescent="0.25">
      <c r="A73" s="66"/>
      <c r="B73" s="10" t="s">
        <v>34</v>
      </c>
      <c r="C73" s="10" t="s">
        <v>89</v>
      </c>
      <c r="D73" s="2">
        <v>80</v>
      </c>
      <c r="E73" s="2">
        <v>26000</v>
      </c>
      <c r="F73" s="3" t="s">
        <v>191</v>
      </c>
      <c r="G73" s="11">
        <v>80</v>
      </c>
      <c r="H73" s="11">
        <v>4414</v>
      </c>
      <c r="I73" s="11">
        <v>80</v>
      </c>
      <c r="J73" s="11">
        <v>2414</v>
      </c>
      <c r="K73" s="11">
        <v>80</v>
      </c>
      <c r="L73" s="11">
        <v>88</v>
      </c>
      <c r="M73" s="11">
        <v>80</v>
      </c>
      <c r="N73" s="11">
        <v>276</v>
      </c>
      <c r="O73" s="11">
        <v>80</v>
      </c>
      <c r="P73" s="11">
        <v>556</v>
      </c>
      <c r="Q73" s="2">
        <v>80</v>
      </c>
      <c r="R73" s="11">
        <v>2225</v>
      </c>
      <c r="S73" s="2">
        <f>+H73+J73+L73+N73+P73+R73</f>
        <v>9973</v>
      </c>
      <c r="T73" s="1">
        <f t="shared" si="7"/>
        <v>0.38357692307692309</v>
      </c>
      <c r="U73" s="4">
        <v>80</v>
      </c>
      <c r="V73" s="13">
        <v>1</v>
      </c>
      <c r="W73" s="109"/>
      <c r="X73" s="51" t="s">
        <v>194</v>
      </c>
    </row>
    <row r="74" spans="1:24" s="30" customFormat="1" ht="60" x14ac:dyDescent="0.25">
      <c r="A74" s="66"/>
      <c r="B74" s="10" t="s">
        <v>90</v>
      </c>
      <c r="C74" s="10" t="s">
        <v>149</v>
      </c>
      <c r="D74" s="2">
        <v>50</v>
      </c>
      <c r="E74" s="2">
        <v>0</v>
      </c>
      <c r="F74" s="3" t="s">
        <v>192</v>
      </c>
      <c r="G74" s="11">
        <v>109</v>
      </c>
      <c r="H74" s="11">
        <v>0</v>
      </c>
      <c r="I74" s="11">
        <v>0</v>
      </c>
      <c r="J74" s="11">
        <v>0</v>
      </c>
      <c r="K74" s="11">
        <v>0</v>
      </c>
      <c r="L74" s="11">
        <v>0</v>
      </c>
      <c r="M74" s="11">
        <v>0</v>
      </c>
      <c r="N74" s="11">
        <v>0</v>
      </c>
      <c r="O74" s="11">
        <v>0</v>
      </c>
      <c r="P74" s="11">
        <v>0</v>
      </c>
      <c r="Q74" s="11">
        <v>0</v>
      </c>
      <c r="R74" s="11">
        <v>0</v>
      </c>
      <c r="S74" s="2">
        <f t="shared" si="6"/>
        <v>0</v>
      </c>
      <c r="T74" s="1">
        <v>0</v>
      </c>
      <c r="U74" s="4">
        <v>109</v>
      </c>
      <c r="V74" s="13">
        <v>1</v>
      </c>
      <c r="W74" s="109"/>
      <c r="X74" s="51" t="s">
        <v>195</v>
      </c>
    </row>
    <row r="75" spans="1:24" s="30" customFormat="1" ht="108" x14ac:dyDescent="0.25">
      <c r="A75" s="66"/>
      <c r="B75" s="10" t="s">
        <v>35</v>
      </c>
      <c r="C75" s="10" t="s">
        <v>62</v>
      </c>
      <c r="D75" s="2">
        <v>37</v>
      </c>
      <c r="E75" s="2">
        <v>13000</v>
      </c>
      <c r="F75" s="3" t="s">
        <v>193</v>
      </c>
      <c r="G75" s="11">
        <v>37</v>
      </c>
      <c r="H75" s="11">
        <v>0</v>
      </c>
      <c r="I75" s="11">
        <v>37</v>
      </c>
      <c r="J75" s="11">
        <v>0</v>
      </c>
      <c r="K75" s="11">
        <v>37</v>
      </c>
      <c r="L75" s="11">
        <v>0</v>
      </c>
      <c r="M75" s="11">
        <v>37</v>
      </c>
      <c r="N75" s="11">
        <v>0</v>
      </c>
      <c r="O75" s="11">
        <v>37</v>
      </c>
      <c r="P75" s="11">
        <v>0</v>
      </c>
      <c r="Q75" s="11">
        <v>37</v>
      </c>
      <c r="R75" s="11">
        <v>0</v>
      </c>
      <c r="S75" s="2">
        <f t="shared" si="6"/>
        <v>0</v>
      </c>
      <c r="T75" s="1">
        <f t="shared" si="7"/>
        <v>0</v>
      </c>
      <c r="U75" s="4">
        <v>37</v>
      </c>
      <c r="V75" s="13">
        <v>1</v>
      </c>
      <c r="W75" s="109"/>
      <c r="X75" s="51" t="s">
        <v>196</v>
      </c>
    </row>
    <row r="76" spans="1:24" s="30" customFormat="1" ht="48" customHeight="1" x14ac:dyDescent="0.25">
      <c r="A76" s="66"/>
      <c r="B76" s="10" t="s">
        <v>36</v>
      </c>
      <c r="C76" s="10" t="s">
        <v>63</v>
      </c>
      <c r="D76" s="2">
        <v>200</v>
      </c>
      <c r="E76" s="2">
        <v>1800</v>
      </c>
      <c r="F76" s="2" t="s">
        <v>159</v>
      </c>
      <c r="G76" s="11">
        <v>320</v>
      </c>
      <c r="H76" s="11">
        <v>123</v>
      </c>
      <c r="I76" s="11">
        <v>384</v>
      </c>
      <c r="J76" s="11">
        <v>268</v>
      </c>
      <c r="K76" s="11">
        <v>553</v>
      </c>
      <c r="L76" s="11">
        <v>68</v>
      </c>
      <c r="M76" s="11">
        <v>569</v>
      </c>
      <c r="N76" s="11">
        <v>65</v>
      </c>
      <c r="O76" s="11">
        <v>344</v>
      </c>
      <c r="P76" s="11">
        <v>51</v>
      </c>
      <c r="Q76" s="11">
        <v>505</v>
      </c>
      <c r="R76" s="11">
        <v>78</v>
      </c>
      <c r="S76" s="2">
        <f t="shared" si="6"/>
        <v>653</v>
      </c>
      <c r="T76" s="1">
        <f t="shared" si="7"/>
        <v>0.36277777777777775</v>
      </c>
      <c r="U76" s="6">
        <f>+G76+I76+K76+M76+O76+Q76</f>
        <v>2675</v>
      </c>
      <c r="V76" s="13">
        <v>1</v>
      </c>
      <c r="W76" s="109"/>
      <c r="X76" s="51"/>
    </row>
    <row r="77" spans="1:24" s="30" customFormat="1" ht="84" x14ac:dyDescent="0.25">
      <c r="A77" s="66" t="s">
        <v>76</v>
      </c>
      <c r="B77" s="10" t="s">
        <v>37</v>
      </c>
      <c r="C77" s="10" t="s">
        <v>82</v>
      </c>
      <c r="D77" s="2">
        <v>100</v>
      </c>
      <c r="E77" s="2">
        <v>1560</v>
      </c>
      <c r="F77" s="2" t="s">
        <v>159</v>
      </c>
      <c r="G77" s="11">
        <v>28</v>
      </c>
      <c r="H77" s="11">
        <v>503</v>
      </c>
      <c r="I77" s="11">
        <v>153</v>
      </c>
      <c r="J77" s="11">
        <v>885</v>
      </c>
      <c r="K77" s="11">
        <v>235</v>
      </c>
      <c r="L77" s="11">
        <v>130</v>
      </c>
      <c r="M77" s="11">
        <v>204</v>
      </c>
      <c r="N77" s="11">
        <v>363</v>
      </c>
      <c r="O77" s="11">
        <v>192</v>
      </c>
      <c r="P77" s="11">
        <v>417</v>
      </c>
      <c r="Q77" s="11">
        <v>203</v>
      </c>
      <c r="R77" s="11">
        <v>1505</v>
      </c>
      <c r="S77" s="2">
        <f t="shared" si="6"/>
        <v>3803</v>
      </c>
      <c r="T77" s="1">
        <f t="shared" si="7"/>
        <v>2.437820512820513</v>
      </c>
      <c r="U77" s="6">
        <v>192</v>
      </c>
      <c r="V77" s="13">
        <v>1</v>
      </c>
      <c r="W77" s="109"/>
      <c r="X77" s="51" t="s">
        <v>240</v>
      </c>
    </row>
    <row r="78" spans="1:24" s="30" customFormat="1" ht="15" customHeight="1" x14ac:dyDescent="0.25">
      <c r="A78" s="66"/>
      <c r="B78" s="67" t="s">
        <v>204</v>
      </c>
      <c r="C78" s="10" t="s">
        <v>150</v>
      </c>
      <c r="D78" s="2">
        <v>50</v>
      </c>
      <c r="E78" s="2">
        <v>0</v>
      </c>
      <c r="F78" s="40" t="s">
        <v>159</v>
      </c>
      <c r="G78" s="11">
        <v>28</v>
      </c>
      <c r="H78" s="11">
        <v>0</v>
      </c>
      <c r="I78" s="11">
        <v>57</v>
      </c>
      <c r="J78" s="11">
        <v>0</v>
      </c>
      <c r="K78" s="11">
        <v>35</v>
      </c>
      <c r="L78" s="11">
        <v>0</v>
      </c>
      <c r="M78" s="11">
        <v>102</v>
      </c>
      <c r="N78" s="11">
        <v>0</v>
      </c>
      <c r="O78" s="11">
        <v>192</v>
      </c>
      <c r="P78" s="11">
        <v>0</v>
      </c>
      <c r="Q78" s="11">
        <v>203</v>
      </c>
      <c r="R78" s="11">
        <v>0</v>
      </c>
      <c r="S78" s="2">
        <f t="shared" si="6"/>
        <v>0</v>
      </c>
      <c r="T78" s="1">
        <v>0</v>
      </c>
      <c r="U78" s="42">
        <v>192</v>
      </c>
      <c r="V78" s="68">
        <v>1</v>
      </c>
      <c r="W78" s="109"/>
      <c r="X78" s="51"/>
    </row>
    <row r="79" spans="1:24" s="30" customFormat="1" ht="35.25" customHeight="1" thickBot="1" x14ac:dyDescent="0.3">
      <c r="A79" s="86"/>
      <c r="B79" s="87"/>
      <c r="C79" s="88" t="s">
        <v>151</v>
      </c>
      <c r="D79" s="22">
        <v>50</v>
      </c>
      <c r="E79" s="22">
        <v>6500</v>
      </c>
      <c r="F79" s="26"/>
      <c r="G79" s="75">
        <v>28</v>
      </c>
      <c r="H79" s="75">
        <v>0</v>
      </c>
      <c r="I79" s="75">
        <v>218</v>
      </c>
      <c r="J79" s="75">
        <v>0</v>
      </c>
      <c r="K79" s="75">
        <v>235</v>
      </c>
      <c r="L79" s="75">
        <v>0</v>
      </c>
      <c r="M79" s="75">
        <v>204</v>
      </c>
      <c r="N79" s="75">
        <v>0</v>
      </c>
      <c r="O79" s="75">
        <v>192</v>
      </c>
      <c r="P79" s="75">
        <v>0</v>
      </c>
      <c r="Q79" s="75">
        <v>203</v>
      </c>
      <c r="R79" s="75">
        <v>0</v>
      </c>
      <c r="S79" s="22">
        <f t="shared" si="6"/>
        <v>0</v>
      </c>
      <c r="T79" s="17">
        <f t="shared" si="7"/>
        <v>0</v>
      </c>
      <c r="U79" s="27"/>
      <c r="V79" s="89"/>
      <c r="W79" s="110"/>
      <c r="X79" s="90" t="s">
        <v>241</v>
      </c>
    </row>
    <row r="80" spans="1:24" s="99" customFormat="1" ht="21.75" customHeight="1" thickBot="1" x14ac:dyDescent="0.3">
      <c r="A80" s="78" t="s">
        <v>253</v>
      </c>
      <c r="B80" s="79"/>
      <c r="C80" s="80"/>
      <c r="D80" s="81"/>
      <c r="E80" s="81">
        <f>SUM(E72:E79)</f>
        <v>49220</v>
      </c>
      <c r="F80" s="97"/>
      <c r="G80" s="81"/>
      <c r="H80" s="81">
        <f>SUM(H72:H79)</f>
        <v>5040</v>
      </c>
      <c r="I80" s="81"/>
      <c r="J80" s="81">
        <f>SUM(J72:J79)</f>
        <v>3567</v>
      </c>
      <c r="K80" s="81"/>
      <c r="L80" s="81">
        <f>SUM(L72:L79)</f>
        <v>286</v>
      </c>
      <c r="M80" s="81"/>
      <c r="N80" s="81">
        <f>SUM(N72:N79)</f>
        <v>704</v>
      </c>
      <c r="O80" s="81"/>
      <c r="P80" s="81">
        <f>SUM(P72:P79)</f>
        <v>1024</v>
      </c>
      <c r="Q80" s="82"/>
      <c r="R80" s="81">
        <f>SUM(R72:R79)</f>
        <v>3808</v>
      </c>
      <c r="S80" s="81">
        <f>+H80+J80+L80+N80+P80+R80</f>
        <v>14429</v>
      </c>
      <c r="T80" s="83">
        <f>+S80/E80</f>
        <v>0.29315318976026006</v>
      </c>
      <c r="U80" s="84"/>
      <c r="V80" s="83"/>
      <c r="W80" s="96">
        <f>+(W72+W55+W40+W5)/4</f>
        <v>0.9425</v>
      </c>
      <c r="X80" s="98"/>
    </row>
    <row r="81" spans="1:24" s="103" customFormat="1" ht="31.5" customHeight="1" thickBot="1" x14ac:dyDescent="0.3">
      <c r="A81" s="91" t="s">
        <v>214</v>
      </c>
      <c r="B81" s="92"/>
      <c r="C81" s="92"/>
      <c r="D81" s="92"/>
      <c r="E81" s="93">
        <f>+E80+E70+E53+E38</f>
        <v>456655</v>
      </c>
      <c r="F81" s="100"/>
      <c r="G81" s="100"/>
      <c r="H81" s="93">
        <f>+H80+H70+H53+H38</f>
        <v>66671.599999999991</v>
      </c>
      <c r="I81" s="100"/>
      <c r="J81" s="93">
        <f>+J80+J70+J53+J38</f>
        <v>73590.7</v>
      </c>
      <c r="K81" s="100"/>
      <c r="L81" s="93">
        <f>+L80+L70+L53+L38</f>
        <v>17816</v>
      </c>
      <c r="M81" s="100"/>
      <c r="N81" s="93">
        <f>+N80+N70+N53+N38</f>
        <v>23398</v>
      </c>
      <c r="O81" s="100"/>
      <c r="P81" s="93">
        <f>+P80+P70+P53+P38</f>
        <v>25787</v>
      </c>
      <c r="Q81" s="101"/>
      <c r="R81" s="93">
        <f>+R80+R70+R53+R38</f>
        <v>32306</v>
      </c>
      <c r="S81" s="93">
        <f>+H81+J81+L81+N81+P81+R81</f>
        <v>239569.3</v>
      </c>
      <c r="T81" s="94">
        <f>+S81/E81</f>
        <v>0.52461770921154915</v>
      </c>
      <c r="U81" s="95"/>
      <c r="V81" s="94"/>
      <c r="W81" s="100"/>
      <c r="X81" s="102"/>
    </row>
    <row r="82" spans="1:24" hidden="1" x14ac:dyDescent="0.25"/>
    <row r="83" spans="1:24" hidden="1" x14ac:dyDescent="0.25"/>
    <row r="84" spans="1:24" hidden="1" x14ac:dyDescent="0.25"/>
    <row r="85" spans="1:24" x14ac:dyDescent="0.25">
      <c r="C85" s="9"/>
    </row>
    <row r="91" spans="1:24" x14ac:dyDescent="0.25">
      <c r="W91" s="39"/>
    </row>
  </sheetData>
  <mergeCells count="64">
    <mergeCell ref="A80:C80"/>
    <mergeCell ref="A2:A3"/>
    <mergeCell ref="B2:B3"/>
    <mergeCell ref="C2:C3"/>
    <mergeCell ref="K2:R2"/>
    <mergeCell ref="S2:W2"/>
    <mergeCell ref="X2:X3"/>
    <mergeCell ref="D2:D3"/>
    <mergeCell ref="E2:E3"/>
    <mergeCell ref="F2:F3"/>
    <mergeCell ref="G2:H2"/>
    <mergeCell ref="I2:J2"/>
    <mergeCell ref="A81:D81"/>
    <mergeCell ref="A1:X1"/>
    <mergeCell ref="A4:X4"/>
    <mergeCell ref="A39:X39"/>
    <mergeCell ref="A54:X54"/>
    <mergeCell ref="A71:X71"/>
    <mergeCell ref="B20:B23"/>
    <mergeCell ref="B26:B28"/>
    <mergeCell ref="B31:B35"/>
    <mergeCell ref="B56:B57"/>
    <mergeCell ref="B46:B48"/>
    <mergeCell ref="A68:A69"/>
    <mergeCell ref="A5:A18"/>
    <mergeCell ref="V46:V48"/>
    <mergeCell ref="U46:U48"/>
    <mergeCell ref="V56:V57"/>
    <mergeCell ref="A19:A25"/>
    <mergeCell ref="A36:A37"/>
    <mergeCell ref="A63:A67"/>
    <mergeCell ref="A26:A29"/>
    <mergeCell ref="A49:A51"/>
    <mergeCell ref="A55:A62"/>
    <mergeCell ref="A30:A35"/>
    <mergeCell ref="A38:C38"/>
    <mergeCell ref="A53:C53"/>
    <mergeCell ref="X56:X57"/>
    <mergeCell ref="F31:F35"/>
    <mergeCell ref="W5:W37"/>
    <mergeCell ref="F20:F23"/>
    <mergeCell ref="F26:F28"/>
    <mergeCell ref="U20:U23"/>
    <mergeCell ref="T20:T23"/>
    <mergeCell ref="V20:V23"/>
    <mergeCell ref="V26:V28"/>
    <mergeCell ref="U26:U28"/>
    <mergeCell ref="T26:T28"/>
    <mergeCell ref="V31:V35"/>
    <mergeCell ref="U31:U35"/>
    <mergeCell ref="T31:T35"/>
    <mergeCell ref="A77:A79"/>
    <mergeCell ref="B78:B79"/>
    <mergeCell ref="A72:A76"/>
    <mergeCell ref="W72:W79"/>
    <mergeCell ref="A40:A48"/>
    <mergeCell ref="F46:F48"/>
    <mergeCell ref="F56:F57"/>
    <mergeCell ref="F78:F79"/>
    <mergeCell ref="W40:W52"/>
    <mergeCell ref="W55:W69"/>
    <mergeCell ref="V78:V79"/>
    <mergeCell ref="U78:U79"/>
    <mergeCell ref="A70:C70"/>
  </mergeCells>
  <printOptions horizontalCentered="1" gridLines="1"/>
  <pageMargins left="0.23622047244094491" right="0.23622047244094491" top="0.74803149606299213" bottom="0.74803149606299213" header="0.31496062992125984" footer="0.31496062992125984"/>
  <pageSetup orientation="landscape" horizontalDpi="300" verticalDpi="300" r:id="rId1"/>
  <headerFooter>
    <oddHeader>&amp;CANEXO 2:  AVANCE DEL  CUMPLIMIENTO PGAR 2011-2023  A PARTIR DE LA EJECUCIÓN DE LOS PLANES DE ACCIÓN DE LA CAM</oddHeader>
  </headerFooter>
  <ignoredErrors>
    <ignoredError sqref="S1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EVAL PGAR</vt:lpstr>
      <vt:lpstr>'EVAL PGAR'!Área_de_impresión</vt:lpstr>
      <vt:lpstr>'EVAL PGAR'!Títulos_a_imprimir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User</cp:lastModifiedBy>
  <cp:lastPrinted>2016-03-13T22:10:18Z</cp:lastPrinted>
  <dcterms:created xsi:type="dcterms:W3CDTF">2016-02-08T21:22:49Z</dcterms:created>
  <dcterms:modified xsi:type="dcterms:W3CDTF">2023-11-16T01:23:12Z</dcterms:modified>
</cp:coreProperties>
</file>