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1" activeTab="1"/>
  </bookViews>
  <sheets>
    <sheet name="ACUMULADO A DICIEMBRE 2015" sheetId="1" state="hidden" r:id="rId1"/>
    <sheet name="Anexo 1 Matriz SINA Inf Gestión" sheetId="2" r:id="rId2"/>
    <sheet name="Anexo 2 Matriz Inf. Ejecución" sheetId="3" r:id="rId3"/>
    <sheet name="Anexo 3 Matriz Ind Min Jun" sheetId="4" r:id="rId4"/>
    <sheet name="ANEXO5-1 INGRESOS " sheetId="5" r:id="rId5"/>
    <sheet name="Anexo 5-2 Gastos" sheetId="6" r:id="rId6"/>
    <sheet name="Anexo 7 FCO" sheetId="7" r:id="rId7"/>
    <sheet name="Anexo 8" sheetId="8" r:id="rId8"/>
    <sheet name="Anexo 2 Protocolo Inf Gestión" sheetId="9" state="hidden" r:id="rId9"/>
    <sheet name="Anexo 4 ProtocoloMatrizINdica" sheetId="10" state="hidden" r:id="rId10"/>
    <sheet name="Hoja1"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1">'Anexo 1 Matriz SINA Inf Gestión'!$B$1:$S$139</definedName>
    <definedName name="_xlnm.Print_Area" localSheetId="2">'Anexo 2 Matriz Inf. Ejecución'!$A$1:$I$186</definedName>
    <definedName name="_xlnm.Print_Area" localSheetId="8">'Anexo 2 Protocolo Inf Gestión'!$A$1:$B$23</definedName>
    <definedName name="_xlnm.Print_Area" localSheetId="9">'Anexo 4 ProtocoloMatrizINdica'!$A$1:$B$15</definedName>
    <definedName name="_xlnm.Print_Area" localSheetId="5">'Anexo 5-2 Gastos'!$A$1:$G$53</definedName>
    <definedName name="_xlnm.Print_Area" localSheetId="6">'Anexo 7 FCO'!$A$1:$G$11</definedName>
    <definedName name="_xlnm.Print_Area" localSheetId="4">'ANEXO5-1 INGRESOS '!$A$1:$D$57</definedName>
    <definedName name="_xlnm.Print_Titles" localSheetId="0">'ACUMULADO A DICIEMBRE 2015'!$3:$4</definedName>
    <definedName name="_xlnm.Print_Titles" localSheetId="1">'Anexo 1 Matriz SINA Inf Gestión'!$3:$4</definedName>
    <definedName name="_xlnm.Print_Titles" localSheetId="2">'Anexo 2 Matriz Inf. Ejecución'!$7:$8</definedName>
    <definedName name="_xlnm.Print_Titles" localSheetId="3">'Anexo 3 Matriz Ind Min Jun'!$7:$7</definedName>
    <definedName name="_xlnm.Print_Titles" localSheetId="5">'Anexo 5-2 Gastos'!$7:$8</definedName>
  </definedNames>
  <calcPr fullCalcOnLoad="1"/>
</workbook>
</file>

<file path=xl/comments1.xml><?xml version="1.0" encoding="utf-8"?>
<comments xmlns="http://schemas.openxmlformats.org/spreadsheetml/2006/main">
  <authors>
    <author>esilva</author>
  </authors>
  <commentList>
    <comment ref="J52" authorId="0">
      <text>
        <r>
          <rPr>
            <b/>
            <sz val="9"/>
            <rFont val="Tahoma"/>
            <family val="2"/>
          </rPr>
          <t>esilva:</t>
        </r>
        <r>
          <rPr>
            <sz val="9"/>
            <rFont val="Tahoma"/>
            <family val="2"/>
          </rPr>
          <t xml:space="preserve">
ESTABA CERO</t>
        </r>
      </text>
    </comment>
    <comment ref="S66" authorId="0">
      <text>
        <r>
          <rPr>
            <b/>
            <sz val="9"/>
            <rFont val="Tahoma"/>
            <family val="2"/>
          </rPr>
          <t>esilva:</t>
        </r>
        <r>
          <rPr>
            <sz val="9"/>
            <rFont val="Tahoma"/>
            <family val="2"/>
          </rPr>
          <t xml:space="preserve">
23,982,500</t>
        </r>
      </text>
    </comment>
    <comment ref="J89" authorId="0">
      <text>
        <r>
          <rPr>
            <b/>
            <sz val="9"/>
            <rFont val="Tahoma"/>
            <family val="2"/>
          </rPr>
          <t>esilva:</t>
        </r>
        <r>
          <rPr>
            <sz val="9"/>
            <rFont val="Tahoma"/>
            <family val="2"/>
          </rPr>
          <t xml:space="preserve">
100</t>
        </r>
      </text>
    </comment>
    <comment ref="N89" authorId="0">
      <text>
        <r>
          <rPr>
            <b/>
            <sz val="9"/>
            <rFont val="Tahoma"/>
            <family val="2"/>
          </rPr>
          <t>esilva:</t>
        </r>
        <r>
          <rPr>
            <sz val="9"/>
            <rFont val="Tahoma"/>
            <family val="2"/>
          </rPr>
          <t xml:space="preserve">
100</t>
        </r>
      </text>
    </comment>
    <comment ref="Q127" authorId="0">
      <text>
        <r>
          <rPr>
            <b/>
            <sz val="9"/>
            <rFont val="Tahoma"/>
            <family val="2"/>
          </rPr>
          <t>esilva:</t>
        </r>
        <r>
          <rPr>
            <sz val="9"/>
            <rFont val="Tahoma"/>
            <family val="2"/>
          </rPr>
          <t xml:space="preserve">
318606766 NO VA AQUI</t>
        </r>
      </text>
    </comment>
    <comment ref="U35" authorId="0">
      <text>
        <r>
          <rPr>
            <b/>
            <sz val="9"/>
            <rFont val="Tahoma"/>
            <family val="2"/>
          </rPr>
          <t>esilva:</t>
        </r>
        <r>
          <rPr>
            <sz val="9"/>
            <rFont val="Tahoma"/>
            <family val="2"/>
          </rPr>
          <t xml:space="preserve">
resolucion 2541 de 22 de octubre de 2015 
152.827.425</t>
        </r>
      </text>
    </comment>
    <comment ref="U39" authorId="0">
      <text>
        <r>
          <rPr>
            <b/>
            <sz val="9"/>
            <rFont val="Tahoma"/>
            <family val="2"/>
          </rPr>
          <t>esilva:</t>
        </r>
        <r>
          <rPr>
            <sz val="9"/>
            <rFont val="Tahoma"/>
            <family val="2"/>
          </rPr>
          <t xml:space="preserve">
</t>
        </r>
        <r>
          <rPr>
            <sz val="11"/>
            <rFont val="Tahoma"/>
            <family val="2"/>
          </rPr>
          <t>25 002 066 adicion resolucion numero 2513 del 19n de octubre 
menos 8387922..queda 16.614.144</t>
        </r>
      </text>
    </comment>
  </commentList>
</comments>
</file>

<file path=xl/comments3.xml><?xml version="1.0" encoding="utf-8"?>
<comments xmlns="http://schemas.openxmlformats.org/spreadsheetml/2006/main">
  <authors>
    <author>jvargas</author>
  </authors>
  <commentList>
    <comment ref="J171" authorId="0">
      <text>
        <r>
          <rPr>
            <b/>
            <sz val="8"/>
            <rFont val="Tahoma"/>
            <family val="2"/>
          </rPr>
          <t>jvargas:
PROMEDIO FISICO</t>
        </r>
      </text>
    </comment>
  </commentList>
</comments>
</file>

<file path=xl/sharedStrings.xml><?xml version="1.0" encoding="utf-8"?>
<sst xmlns="http://schemas.openxmlformats.org/spreadsheetml/2006/main" count="1539" uniqueCount="695">
  <si>
    <t>Implementación de aplicativo para la administración y seguimiento en línea de trámites ambientales</t>
  </si>
  <si>
    <t>%</t>
  </si>
  <si>
    <t>% de implementación</t>
  </si>
  <si>
    <t>Proyecto No. 4.2:   FORTALECIMIENTO INSTITUCIONAL Y CONSOLIDACION DEL SISTEMA INTEGRADO DE GESTION</t>
  </si>
  <si>
    <t>Consolidación y fortalecimiento del sistema integrado de gestión bajo las normas NTC-GP: 1000, ISO 9001 e ISO 14001 en forma articulada y paralela a la implementación del Modelo estándar de control Interno MECI.</t>
  </si>
  <si>
    <t>Diseño y adopción del sistema de gestión de seguridad industrial y salud ocupacional.</t>
  </si>
  <si>
    <t>Modernización y actualización tecnológica para mejorar la gestión administrativa y misional de la institución.</t>
  </si>
  <si>
    <t>Actualización de la Plataforma tecnológica  con los estándares exigidos para la implementación de la estrategia gobierno en línea.</t>
  </si>
  <si>
    <t>Sistematización integral de la información institucional para la toma de decisiones.</t>
  </si>
  <si>
    <t>Adecuación, mejoramiento y optimización de la instalaciones de la sedes.</t>
  </si>
  <si>
    <t>PROGRAMA No. 5  CONSTRUCCION DE UNA CULTURA DE CONVIVENCIA DEL HUILENSE CON SU NATURALEZA</t>
  </si>
  <si>
    <t>Proyecto No. 5.1:   EDUCACION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</si>
  <si>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</si>
  <si>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</si>
  <si>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</si>
  <si>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 xml:space="preserve">Estrategia de formación ambiental para niños pertenecientes a  etnias indígenas formuladas e implementadas </t>
  </si>
  <si>
    <t>CORPORACIÓN AUTÓNOMA REGIONAL DEL ALTO MAGDALENA -CAM-</t>
  </si>
  <si>
    <t>Código (1)</t>
  </si>
  <si>
    <t>INDICADORES MÍNIMOS DE GESTIÓN 
Resolución 0964 de 2007</t>
  </si>
  <si>
    <t>TEMA: CONTROL DE LA CONTAMINACIÓN</t>
  </si>
  <si>
    <t>CIDEAS con plan de acción formulado e implementado</t>
  </si>
  <si>
    <t xml:space="preserve">Estrategia de fortalecimiento a las  ONG y Promotores Ambientales Comunitarios </t>
  </si>
  <si>
    <t>Estrategia de educación ambiental para el área urbana formulada</t>
  </si>
  <si>
    <t>Plan de medios formulado y ejecutado</t>
  </si>
  <si>
    <t>Comunidad Educativa</t>
  </si>
  <si>
    <t>Estrategia /año</t>
  </si>
  <si>
    <t>Estrategia*</t>
  </si>
  <si>
    <t>PROGRAMA No. 6  ADAPTACION Y MITIGACION AL CAMBIO CLIMATICO</t>
  </si>
  <si>
    <t>Proyecto No. 6.1:   INSTITUCIONALIZACION, FORMULACION E IMPLEMENTACION DEL PLAN DE ACCION DEPARTAMENTAL DE CAMBIO CLIMATICO</t>
  </si>
  <si>
    <t>Consejo departamental de cambio climático en funcionamiento.</t>
  </si>
  <si>
    <t>Eventos de capacitación en temas de cambio climático realizados</t>
  </si>
  <si>
    <t>Participación en el nodo regional de Cambio Climático de la Región Andina.</t>
  </si>
  <si>
    <t>Plan de acción departamental de cambio climático formulado y en ejecución</t>
  </si>
  <si>
    <t>Estudios para el conocimiento de los efectos potenciales del cambio climático como herramienta para la toma de decisiones.</t>
  </si>
  <si>
    <t>Proyecto REDD  gestionado y en ejecución</t>
  </si>
  <si>
    <t>Nodo*</t>
  </si>
  <si>
    <t>Proyecto No. 6.2:   ESTRATEGIAS DE DESARROLLO BAJAS EN CARBONO</t>
  </si>
  <si>
    <t>Agendas conjuntas  de producción  y consumo sostenible suscritas y en operación.</t>
  </si>
  <si>
    <t>Proyecto piloto para la reducción del consumo de energía y/o   estrategias de desarrollo bajo en carbono</t>
  </si>
  <si>
    <t xml:space="preserve">Proyectos piloto de producción más limpia de subsectores productivos, acompañados por la Corporación. </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</si>
  <si>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</si>
  <si>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</si>
  <si>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</si>
  <si>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</si>
  <si>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</si>
  <si>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</si>
  <si>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</si>
  <si>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</si>
  <si>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</si>
  <si>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</si>
  <si>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</si>
  <si>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</si>
  <si>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</si>
  <si>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</si>
  <si>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</si>
  <si>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</si>
  <si>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</si>
  <si>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</si>
  <si>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</si>
  <si>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</si>
  <si>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</si>
  <si>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</si>
  <si>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</si>
  <si>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</si>
  <si>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</si>
  <si>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</si>
  <si>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</si>
  <si>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</si>
  <si>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</si>
  <si>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</si>
  <si>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</si>
  <si>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</si>
  <si>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</si>
  <si>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</si>
  <si>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</si>
  <si>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</si>
  <si>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</si>
  <si>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</si>
  <si>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</si>
  <si>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</si>
  <si>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</si>
  <si>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</si>
  <si>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</si>
  <si>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</si>
  <si>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</si>
  <si>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</si>
  <si>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</si>
  <si>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</si>
  <si>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</si>
  <si>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</si>
  <si>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</si>
  <si>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</si>
  <si>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</si>
  <si>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</si>
  <si>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</si>
  <si>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</si>
  <si>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</si>
  <si>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</si>
  <si>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</si>
  <si>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</si>
  <si>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</si>
  <si>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</si>
  <si>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</si>
  <si>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</si>
  <si>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</si>
  <si>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</si>
  <si>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</si>
  <si>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</si>
  <si>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</si>
  <si>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</si>
  <si>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</si>
  <si>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</si>
  <si>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</si>
  <si>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</si>
  <si>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</si>
  <si>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</si>
  <si>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</si>
  <si>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</si>
  <si>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</si>
  <si>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</si>
  <si>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</si>
  <si>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</si>
  <si>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</si>
  <si>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</si>
  <si>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</si>
  <si>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</si>
  <si>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</si>
  <si>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</si>
  <si>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</si>
  <si>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</si>
  <si>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</si>
  <si>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</si>
  <si>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</si>
  <si>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</si>
  <si>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</si>
  <si>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</si>
  <si>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</si>
  <si>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</si>
  <si>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</si>
  <si>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</si>
  <si>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</si>
  <si>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</si>
  <si>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</si>
  <si>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</si>
  <si>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</si>
  <si>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</si>
  <si>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Areas reforestadas para la protección de cuencas abastecedoras</t>
  </si>
  <si>
    <t>Areas reforestadas para la protección de cuencas abastecedoras en mantenimiento</t>
  </si>
  <si>
    <t>Implementación de la red de calidad del ruido en grandes centros urbanos</t>
  </si>
  <si>
    <t>Red</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</si>
  <si>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</si>
  <si>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</si>
  <si>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</si>
  <si>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</si>
  <si>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</si>
  <si>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</si>
  <si>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</si>
  <si>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</si>
  <si>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</si>
  <si>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</si>
  <si>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</si>
  <si>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</si>
  <si>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</si>
  <si>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</si>
  <si>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</si>
  <si>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</si>
  <si>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</si>
  <si>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</si>
  <si>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</si>
  <si>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</si>
  <si>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</si>
  <si>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</si>
  <si>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</si>
  <si>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</si>
  <si>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</si>
  <si>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</si>
  <si>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</si>
  <si>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</si>
  <si>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</si>
  <si>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</si>
  <si>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Estudiantes</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</si>
  <si>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</si>
  <si>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</si>
  <si>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</si>
  <si>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</si>
  <si>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</si>
  <si>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</si>
  <si>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</si>
  <si>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</si>
  <si>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</si>
  <si>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</si>
  <si>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</si>
  <si>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</si>
  <si>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</si>
  <si>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</si>
  <si>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</si>
  <si>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</si>
  <si>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</si>
  <si>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</si>
  <si>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</si>
  <si>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</si>
  <si>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</si>
  <si>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</si>
  <si>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</si>
  <si>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CORPORACIÓN AUTÓNOMA REGIONAL DEL ALTO MAGDALENA CAM
MATRIZ DE SEGUIMIENTO DEL PLAN DE ACCIÓN 
AVANCE EN LAS METAS FÍSICAS Y FINANCIERAS DEL PLAN DE ACCIÓN 2012-2015</t>
  </si>
  <si>
    <t>Cuenca *</t>
  </si>
  <si>
    <t>Gastos de gestión, operación, administración y promoción del proyecto</t>
  </si>
  <si>
    <t>% Ejecución Financiera</t>
  </si>
  <si>
    <t>PROCEDA apoyados y consolidados</t>
  </si>
  <si>
    <t>No. De Cideas</t>
  </si>
  <si>
    <t xml:space="preserve">(11)                          META FINANCIERA ANUAL   ($) </t>
  </si>
  <si>
    <t>Programa piloto de mejoramiento de la calidad y cantidad del espacio público</t>
  </si>
  <si>
    <t xml:space="preserve">Programa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</si>
  <si>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</si>
  <si>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</si>
  <si>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</si>
  <si>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 xml:space="preserve">No. de has. en áreas protegidas declaradas en la jurisdicción de la Corporación, con planes de manejo en ejecución.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</si>
  <si>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</si>
  <si>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</si>
  <si>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</si>
  <si>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No. has. de reservas naturales de la sociedad civil apoyadas en el proceso de caracterización, registro y/o gestión</t>
  </si>
  <si>
    <t>No de has adquiridas y administradas para la restauración y conservación de áreas naturales</t>
  </si>
  <si>
    <t>No de áreas naturales protegidas con evaluación ecológica y/o investigación en biodiversidad y ecosistemas</t>
  </si>
  <si>
    <t>No de hectáreas de áreas protegidas con inventario de predios y monitoreo del cambio de coberturas</t>
  </si>
  <si>
    <t xml:space="preserve">No. de áreas protegidas con estrategias pedagógicas para promover el conocimiento, la conservación y la protección de los recursos naturales. </t>
  </si>
  <si>
    <t>PNR*</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</si>
  <si>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</si>
  <si>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</si>
  <si>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</si>
  <si>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</si>
  <si>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</si>
  <si>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Número de negocios verdes que reportan comercialización de bienes y servicios promovidos</t>
  </si>
  <si>
    <t>Número de empleos generados a través de negocios inclusivos</t>
  </si>
  <si>
    <t>No de subsectores productivos con sistemas de manejo y/o producción  apoyados para la reconversión hacia la sostenibilidad</t>
  </si>
  <si>
    <t>No. de productos de la biodiversidad caracterizados y evaluados para promover su uso sostenible.</t>
  </si>
  <si>
    <t xml:space="preserve">No. de empresas que adoptan la estrategia Huila corazón verde e incluyen el componente ambiental en su proceso productivo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</si>
  <si>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</si>
  <si>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</si>
  <si>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</si>
  <si>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</si>
  <si>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Esquema piloto de Pago por Servicios Ambientales para la Cuenca de Rio Las Ceibas.</t>
  </si>
  <si>
    <t>POMCH y/o PMA</t>
  </si>
  <si>
    <t>Esquema PSA *</t>
  </si>
  <si>
    <t>Proyecto No.2.2:   PROTECCION Y RECUPERACION DEL RECURSO HIDRICO</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</si>
  <si>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</si>
  <si>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</si>
  <si>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</si>
  <si>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</si>
  <si>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Estrategia de educación ambiental para la conservación y uso eficiente del Recurso Hídrico.</t>
  </si>
  <si>
    <t>Proyecto No.2.3:   PLANIFICACION, ORDENACION Y ADMINISTRACION DEL RECURSO HIDRICO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</si>
  <si>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</si>
  <si>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</si>
  <si>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</si>
  <si>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</si>
  <si>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Asesoría, asistencia técnica y seguimiento a la gestión local del recurso hídrico: PSMV, PBA y PUEAA</t>
  </si>
  <si>
    <t>PSMV *</t>
  </si>
  <si>
    <t>Proyecto No.2.4:   DESCONTAMINACION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</si>
  <si>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</si>
  <si>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Cofinanciación de proyectos que contribuyan a la descontaminación de fuentes hídricas (diseños y/o construcción de Interceptores y/o PTAR).</t>
  </si>
  <si>
    <t>Campaña</t>
  </si>
  <si>
    <t>PROGRAMA No. 3  PLANIFICACION Y ORDENACION DEL TERRITORIO Y GESTION DEL RIESGO</t>
  </si>
  <si>
    <t>Proyecto No.3.1:    PLANIFICACION Y ORDENACION DEL TERRITORIO</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</si>
  <si>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</si>
  <si>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</si>
  <si>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</si>
  <si>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Proyecto No.3.2:    FORTALECIMIENTO DE LA GESTION DEL RIESGO DE DESASTRE</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</si>
  <si>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</si>
  <si>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</si>
  <si>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</si>
  <si>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</si>
  <si>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Acotamiento de las rondas hídricas en cuencas hidrográficas prioritarias</t>
  </si>
  <si>
    <t>Gestión de procesos administrativos de carácter preventivo y sancionatorio tendientes a la recuperación de los cauces, rondas hídricas y zonas de protección de fuentes hídricas, humedales y/o cuerpos de agua ocupados o intervenidos ilegalmente</t>
  </si>
  <si>
    <t>Obra</t>
  </si>
  <si>
    <t>PROGRAMA No. 4  BUEN GOBIERNO PARA LA GESTION AMBIENTAL REGIONAL</t>
  </si>
  <si>
    <t>Proyecto No. 4.1:  FORTALECIMIENTO DE LA GOBERNABILIDAD Y LA AUTORIDAD AMBIENTAL</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</si>
  <si>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</si>
  <si>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</si>
  <si>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</si>
  <si>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</si>
  <si>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</si>
  <si>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</si>
  <si>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</si>
  <si>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</si>
  <si>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</si>
  <si>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</si>
  <si>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</si>
  <si>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</si>
  <si>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</si>
  <si>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</si>
  <si>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r>
      <t xml:space="preserve">(1)
PROGRAMAS - PROYECTOS  DEL PA 2012-2015 
</t>
    </r>
  </si>
  <si>
    <t>No de ecosistemas compartidos planificados y gestionados con la participación de la Corporación. ( SIRAP Macizo, CEERCCO, Ecorregión Valle seco del Magdalena)</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</si>
  <si>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</si>
  <si>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</si>
  <si>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</si>
  <si>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</si>
  <si>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</si>
  <si>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</si>
  <si>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N.A</t>
  </si>
  <si>
    <t>% avance</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</si>
  <si>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</si>
  <si>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</si>
  <si>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</si>
  <si>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</si>
  <si>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</si>
  <si>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Ha</t>
  </si>
  <si>
    <t>Ha*</t>
  </si>
  <si>
    <t>Unidad  *</t>
  </si>
  <si>
    <t>Unidad*</t>
  </si>
  <si>
    <t>% de ejecucion financiera</t>
  </si>
  <si>
    <t xml:space="preserve">Empresa   </t>
  </si>
  <si>
    <t>Negocios verdes</t>
  </si>
  <si>
    <t>Empleos generados por iniciativa</t>
  </si>
  <si>
    <t>Empresas</t>
  </si>
  <si>
    <t>Programa*</t>
  </si>
  <si>
    <t>%*</t>
  </si>
  <si>
    <t xml:space="preserve">Estudio </t>
  </si>
  <si>
    <t>Campañas/Año</t>
  </si>
  <si>
    <t xml:space="preserve">Estación </t>
  </si>
  <si>
    <t>Red en Operación*</t>
  </si>
  <si>
    <t>% de Usuarios Registrados</t>
  </si>
  <si>
    <t>PSMV*</t>
  </si>
  <si>
    <t>Municipio Asistido y con Seguimiento</t>
  </si>
  <si>
    <t>Municipios Asesorados*</t>
  </si>
  <si>
    <t>Municipio con Seguimiento*</t>
  </si>
  <si>
    <t>Municipio apoyado (Neiva)*</t>
  </si>
  <si>
    <t>Numero de Resguardos</t>
  </si>
  <si>
    <t xml:space="preserve">Municipio apoyado para la formulación e implementación estrategia de gestión ambiental como ciudad sostenible </t>
  </si>
  <si>
    <t>Municipio*</t>
  </si>
  <si>
    <t>Consejo*</t>
  </si>
  <si>
    <t>Tramo fuente hidirca</t>
  </si>
  <si>
    <t>Fuente Hídrica*</t>
  </si>
  <si>
    <t>Red*</t>
  </si>
  <si>
    <t>Vehiculo</t>
  </si>
  <si>
    <t>Dia</t>
  </si>
  <si>
    <t>Global*</t>
  </si>
  <si>
    <t>No. De PRAE</t>
  </si>
  <si>
    <t>No etnias indigenas formadas</t>
  </si>
  <si>
    <t>No. De Procedas</t>
  </si>
  <si>
    <t>Plan de Medios*</t>
  </si>
  <si>
    <t>Consejo Operativo*</t>
  </si>
  <si>
    <t>No.  De Eventos</t>
  </si>
  <si>
    <t>Plan de Accion*</t>
  </si>
  <si>
    <t>No. Estudios</t>
  </si>
  <si>
    <t>Proyecto*</t>
  </si>
  <si>
    <t>Agendas</t>
  </si>
  <si>
    <t>CORPORACIÓN AUTÓNOMA REGIONAL DEL ALTO MAGDALENA -CAM-
CONSOLIDADO GESTIÓN FÍSICA Y FINANCIERA DEL PLAN DE ACCIÓN 2012 - 2015</t>
  </si>
  <si>
    <r>
      <t xml:space="preserve">
PROGRAMAS - PROYECTOS  PLAN DE ACCION 2007-2011
</t>
    </r>
  </si>
  <si>
    <t>Fórmula</t>
  </si>
  <si>
    <t>META PLAN DE ACCIÓN 
ENERO 2012 A DICIEMBRE 2015</t>
  </si>
  <si>
    <t>EJECUCION PLAN DE ACCIÓN 2012-2015</t>
  </si>
  <si>
    <t>META PROGRAMADA 
VIGENCIA 2012</t>
  </si>
  <si>
    <t>EJECUCION 2012</t>
  </si>
  <si>
    <t>META PROGRAMADA 
VIGENCIA 2013</t>
  </si>
  <si>
    <t>EJECUCION 2013</t>
  </si>
  <si>
    <t>META PROGRAMADA 
VIGENCIA 2014</t>
  </si>
  <si>
    <t>EJECUCION 2014 A DICIEMBRE 31</t>
  </si>
  <si>
    <t xml:space="preserve">FISICA </t>
  </si>
  <si>
    <t>FINANCIERA</t>
  </si>
  <si>
    <t>FISICA</t>
  </si>
  <si>
    <t>PROGRAMA 1: BIODIVERSIDAD Y SERVICIOS ECOSISTEMICOS</t>
  </si>
  <si>
    <t>Proyecto No. 1.1  PLANIFICACION Y GESTION DE AREAS NATURALES PROTEGIDAS PARA LA CONSERVACION DEL PATRIMONIO NATURAL DEL HUILA</t>
  </si>
  <si>
    <t>Suma</t>
  </si>
  <si>
    <t>Hectáreas</t>
  </si>
  <si>
    <t>Promedio</t>
  </si>
  <si>
    <t>Hectáreas *</t>
  </si>
  <si>
    <t>Unidad *</t>
  </si>
  <si>
    <t>No de ecosistemas compartidos planificados y gestionados con la participación de la Corporación. ( SIRAP Macizo, CEERCCOO, Ecorregión Valle seco del Magdalena)</t>
  </si>
  <si>
    <t>Hectareas</t>
  </si>
  <si>
    <t>Gastos de gestion, operación, administración y promoción del proyecto</t>
  </si>
  <si>
    <t>Proyecto No. 1.2 PLANIFICACION, CONSERVACION Y USO SOSTENIBLE EN ZONAS SECAS Y OTROS ECOSISTEMAS</t>
  </si>
  <si>
    <t xml:space="preserve">Promedio </t>
  </si>
  <si>
    <t>Proyecto No. 1.3 USO SOSTENIBLE DE LA BIODIVERSIDAD Y NEGOCIOS VERDES</t>
  </si>
  <si>
    <t xml:space="preserve"> Empresa </t>
  </si>
  <si>
    <t xml:space="preserve"> Negocios verdes </t>
  </si>
  <si>
    <t xml:space="preserve"> Empleos generados por iniciativa </t>
  </si>
  <si>
    <t xml:space="preserve"> Unidad *</t>
  </si>
  <si>
    <t xml:space="preserve"> Empresas </t>
  </si>
  <si>
    <t>PROGRAMA 2: PLANIFICACION Y GESTION INTEGRAL DEL RECURSO HIDRICO</t>
  </si>
  <si>
    <t>Proyecto No. 2.1  PLANIFICACION, ORDENACION Y MANEJO DE CUENCAS HIDROGRAFICAS</t>
  </si>
  <si>
    <t>Proyecto No. 2.2 PROTECCION Y RECUPERACION DEL RECURSO HIDRICO</t>
  </si>
  <si>
    <t>Programa *</t>
  </si>
  <si>
    <t>Estrategia *</t>
  </si>
  <si>
    <t>Proyecto No. 2.3 PLANIFICACION, ORDENACION Y ADMINISTRACION DEL RECURSO HIDRICO</t>
  </si>
  <si>
    <t>% *</t>
  </si>
  <si>
    <t>Priorización de corrientes para efectos de planificación y ordenación del recurso hídrico.</t>
  </si>
  <si>
    <t>Estudio</t>
  </si>
  <si>
    <t>Campañas / Año</t>
  </si>
  <si>
    <t>Estación</t>
  </si>
  <si>
    <t>Red en Operación *</t>
  </si>
  <si>
    <t>% de Usuarios registrados</t>
  </si>
  <si>
    <t>Municipio Asistido y con Seguimiento *</t>
  </si>
  <si>
    <t>Proyecto No. 2.4 DESCONTAMINACION DE FUENTES HIDRICAS Y MEJORAMIENTO DE LA CALIDAD DEL RECURSO</t>
  </si>
  <si>
    <t>Concertación de metas de reducción quinquenio 2013 - 2017</t>
  </si>
  <si>
    <t>PROGRAMA 3: PLANIFICACION Y ORDENACION DEL TERRITORIO Y GESTION DEL RIESGO</t>
  </si>
  <si>
    <t>Proyecto No. 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</si>
  <si>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</si>
  <si>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</si>
  <si>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</si>
  <si>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</si>
  <si>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</si>
  <si>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</si>
  <si>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</si>
  <si>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publico</t>
  </si>
  <si>
    <t xml:space="preserve">Programa  </t>
  </si>
  <si>
    <t>% Ejecucion Financiera</t>
  </si>
  <si>
    <t>Proyecto No. 3.2  FORTALECIMIENTO DE LA GESTION DEL RIESGO DE DESASTRES</t>
  </si>
  <si>
    <t xml:space="preserve"> Municipio *</t>
  </si>
  <si>
    <t>Consejo *</t>
  </si>
  <si>
    <t>Tramos de cuenca</t>
  </si>
  <si>
    <t>Fuente hídrica *</t>
  </si>
  <si>
    <t>PROGRAMA 4:  BUEN GOBIERNO PARA LA GESTION AMBIENTAL REGIONAL</t>
  </si>
  <si>
    <t>Proyecto No. 4.1  FORTALECIMIENTO DE LA GOBERNABILIDAD Y LA AUTORIDAD AMBIENTAL</t>
  </si>
  <si>
    <t>Municipio *</t>
  </si>
  <si>
    <t>Red *</t>
  </si>
  <si>
    <t>Plan *</t>
  </si>
  <si>
    <t>Vehículo</t>
  </si>
  <si>
    <t>Día</t>
  </si>
  <si>
    <t>Día *</t>
  </si>
  <si>
    <t xml:space="preserve">% avance </t>
  </si>
  <si>
    <t>Campaña *</t>
  </si>
  <si>
    <t>Fortalecimiento y focalización de las acciones de la Red Interinstitucional de Gobernanza de los Recursos Naturales y Control al Tráfico y Aprovechamiento Ilegal, con el fin de promover la sostenibilidad ambiental y la legalidad en su uso y aprovechamiento</t>
  </si>
  <si>
    <t>Proyecto No. 4.2  FORTALECIMIENTO INSTITUCIONAL Y CONSOLIDACION DEL SISTEMA INTEGRADO DE GESTION</t>
  </si>
  <si>
    <t>Porcentaje *</t>
  </si>
  <si>
    <t xml:space="preserve">Porcentaje </t>
  </si>
  <si>
    <t>Global *</t>
  </si>
  <si>
    <t>Estudio  para modificación de estructura, planta de personal y manual de funciones realizado.</t>
  </si>
  <si>
    <t>PROGRAMA 5:  ADAPTACION Y MITIGACION AL CAMBIO CLIMATICO</t>
  </si>
  <si>
    <t>Proyecto No. 5.1  EDUCACION Y COMUNICACIÓN PARA UNA CULTURA AMBIENTAL PARTICIPATIVA</t>
  </si>
  <si>
    <t>No. de PRAE</t>
  </si>
  <si>
    <t>No. etnias indígenas formadas</t>
  </si>
  <si>
    <t xml:space="preserve"> PROCEDA apoyados y consolidados</t>
  </si>
  <si>
    <t>No. de PROCEDAS</t>
  </si>
  <si>
    <t>No. de CIDEAS</t>
  </si>
  <si>
    <t>Plan de medios *</t>
  </si>
  <si>
    <t>PROGRAMA 6: ADAPTACION Y MITIGACION AL CAMBIO CLIMATICO</t>
  </si>
  <si>
    <t>Proyecto No. 6.1  INSTITUCIONALIZACION, FORMULACION E IMPLEMENTACION DEL PLAN DE ACCION DEPARTAMENTAL DE CAMBIO CLIMATICO</t>
  </si>
  <si>
    <t>Consejo operativo *</t>
  </si>
  <si>
    <t>No de eventos</t>
  </si>
  <si>
    <t>Plan de Acción *</t>
  </si>
  <si>
    <t>No estudios</t>
  </si>
  <si>
    <t>Proyecto *</t>
  </si>
  <si>
    <t>Proyecto No. 6.2 ESTRATEGIAS DE DESARROLLO BAJAS DE CARBONO</t>
  </si>
  <si>
    <t>agendas</t>
  </si>
  <si>
    <t xml:space="preserve"> TOTAL METAS FINANCIERAS</t>
  </si>
  <si>
    <t xml:space="preserve">Plan* </t>
  </si>
  <si>
    <t xml:space="preserve">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</si>
  <si>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</si>
  <si>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</si>
  <si>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</si>
  <si>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</si>
  <si>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</si>
  <si>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</si>
  <si>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</si>
  <si>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</si>
  <si>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</si>
  <si>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</si>
  <si>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</si>
  <si>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</si>
  <si>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</si>
  <si>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</si>
  <si>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</si>
  <si>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</si>
  <si>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</si>
  <si>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</si>
  <si>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</si>
  <si>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 xml:space="preserve">
P 1: BIODIVERSIDAD Y SERVICIOS ECOSISTEMICOS</t>
  </si>
  <si>
    <t>P 1.1: Planificación y Gestión de Areas Naturales Protegidas para la Conservación del Patrimonio Natural del Huila</t>
  </si>
  <si>
    <t>No. De hectareas con estudios tecnicos y procesos de socialización tendientes a la declaratoria de areas protegidas (PNM Acevedo, Páramo de las Oseras, Serrania de Peñas Blancas, Serrania de Minas y zona aledaña PNR Cerro Páramo de Miraflores)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</si>
  <si>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</si>
  <si>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</si>
  <si>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</si>
  <si>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</si>
  <si>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No. de has de reserva  naturales de la sociedad civil registradas ante PNN u otras instancias regionales o locales; y/o apoyadas con asesoria, asistencia tecnica, capacitación o gestión.</t>
  </si>
  <si>
    <t>FERRETERIA?</t>
  </si>
  <si>
    <t>No. De has adquiridas y administradas para la restauración y conservación de areas naturales</t>
  </si>
  <si>
    <t>25100000+25692258</t>
  </si>
  <si>
    <t>No. De ecosistemas compartidos planificados y gestionados con la participación de la Corporación (SIRAP Macizo, CEERCCO, Ecoregión Valle Seco del Magdalena)</t>
  </si>
  <si>
    <t>No. De areas naturales protegidas con evalución ecologica y/o investigación en biodiversidad y ecosistemas</t>
  </si>
  <si>
    <t>No. De has de areas protegidas con inventario de predios y monitoreo del cambio de coberturas</t>
  </si>
  <si>
    <t>No. De areas protegidas con estrategias pedagogicas para promover el conocimiento, la conservación y la protección de los recursos naturales</t>
  </si>
  <si>
    <t xml:space="preserve">PRESUPUESTO APROPIADO </t>
  </si>
  <si>
    <t>VALOR TOTAL EJECUTADO</t>
  </si>
  <si>
    <t>INDICE DE EJECUCION FINANCIERA DEL PROYECTO (%)</t>
  </si>
  <si>
    <t>P 1.2: Planificación, Conservación y Uso Sostenible en Zonas Secas y otros Ecosistemas</t>
  </si>
  <si>
    <t>No. de has. de ecosistemas estratégicos (Zonas Secas) con plan de manejo u ordenación en ejecución ( Tatacoa)</t>
  </si>
  <si>
    <t>No. De has vinculadas a la estrategia de lucha contra la desertificación en zonas secas del departametno</t>
  </si>
  <si>
    <t>No. De has de ecosistemas incluidos dentro de los POT como areas de importancia para la conservación (Serrania de minas, peñas blanca y zona aledaña al PNR Cerro)</t>
  </si>
  <si>
    <t>P 1.3: Uso Sostenible de la Biodiversidad y Negocios Verdes</t>
  </si>
  <si>
    <t>Mipymes y empresas de base comunitaria vinculadas a Mercados Verdes acompañados por la CAM (Uso y aprovechamiento sostenible de la biodiversidad, ecoproductos, industriales, ecoturismo) acompañadas por la Corporación.</t>
  </si>
  <si>
    <t>Numero de negocios verdes que reportan comercialización de bienes y servicios promovidos</t>
  </si>
  <si>
    <t>Nùmero de empleos generados a traves de negocios inclusivos</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</si>
  <si>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</si>
  <si>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</si>
  <si>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</si>
  <si>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P 2: GESTION INTEGRAL DEL RECURSO HIDRICO</t>
  </si>
  <si>
    <t>P 2.1: Planificación, Ordenación y Manejo de Cuencas Hidrograficas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</si>
  <si>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</si>
  <si>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Cuencas con planes de ordenación y manejo POMCA- en ejecución.</t>
  </si>
  <si>
    <t>Cuenca*</t>
  </si>
  <si>
    <t>Esquema piloto de Pago por Servicios Ambientales para la Cuenca del Rio Las Ceibas</t>
  </si>
  <si>
    <t>Esquema PSA*</t>
  </si>
  <si>
    <t>P 2.2: Protección y Recuperación del Recurso Hidrico</t>
  </si>
  <si>
    <t>Áreas reforestadas para la protección de cuencas abastecedoras.</t>
  </si>
  <si>
    <t xml:space="preserve">Áreas reforestadas para la protección de cuencas abastecedoras en mantenimiento </t>
  </si>
  <si>
    <t>Estrategia de educación ambiental para la conservación y uso eficiente del recurso hídrico</t>
  </si>
  <si>
    <t xml:space="preserve">P 2.3: Planificación, Ordenación y Administración del Recurso Hidrico </t>
  </si>
  <si>
    <t>P 2.4: Descontaminación de Fuentes Hidricas y Mejoramiento de la Calidad del Recurso</t>
  </si>
  <si>
    <t>Programa del monitoreo del recurso hidrico (calidad y cantidad) en el alto magdalena</t>
  </si>
  <si>
    <t xml:space="preserve">P 3: PLANIFICACION Y ORDENACION DEL TERRITORIO </t>
  </si>
  <si>
    <t>P 3.1: Planificación y Ordenación del Territorio</t>
  </si>
  <si>
    <t>P 3.2: Fortalecimiento de la Gestión del Riesgo de Desastres</t>
  </si>
  <si>
    <t>Acotamiento de las rondashidricasen cuencas hidrograficas prioritarias</t>
  </si>
  <si>
    <t>P 4: BUEN GOBIERNO PARA LA GESTION AMBIENTAL REGIONAL</t>
  </si>
  <si>
    <t>P4.1: Fortalecimiento de la Gobernabilidad y la Autoridad Ambiental</t>
  </si>
  <si>
    <t>P4.2: Fortalecimiento Institucional y Consolidación del Sistema Integrado de Gestión</t>
  </si>
  <si>
    <t>Diseño y adopción del sistema de gestión de seguridad industrial y salud ocupacional</t>
  </si>
  <si>
    <t>Modernización y actualizacion tecnológica para mejorar la gestion administrativa y misional de la institución</t>
  </si>
  <si>
    <t>Actualización de la plataforma tecnologica con los estandares exigidos para la implementación de la estrategia gobierno en linea</t>
  </si>
  <si>
    <t>P 5: CONSTRUCCION DE UNA CULTURA DE CONVIVENCIA DEL HUILENSE CON SU NATURALEZA</t>
  </si>
  <si>
    <t>P5.1:  Educación y Comunicación para una Cultura Ambiental Participativa</t>
  </si>
  <si>
    <t>Estrategia de formación ambiental para niños pertenecientes a etnias indigenas formuladas e implementadas</t>
  </si>
  <si>
    <t>CIDEAS con plan de accion formulado e implementado</t>
  </si>
  <si>
    <t>Estrategias de fortalecimiento a las ONG y Promotores Ambientales Comunitarios</t>
  </si>
  <si>
    <t>Estrategia de educacion ambiental para el area urbana formulada</t>
  </si>
  <si>
    <t>Plan de medios formulados y ejecutado</t>
  </si>
  <si>
    <t>P 6: ADAPTACION Y MITIGACIÓN AL CAMBIO CLIMÁTICO</t>
  </si>
  <si>
    <t>P6.1: Institucionalización, Formulación e Implementación del Plan de Acción Departamental de Cambio Climatico</t>
  </si>
  <si>
    <t>Plan de accion departamental de cambio climatico de la Región Andina</t>
  </si>
  <si>
    <t xml:space="preserve">Estudios para el conocimiento de los efectos potenciales del cambio climatico como herramienta para la toma de decisiones </t>
  </si>
  <si>
    <t>Proyecto REDD gestionado y en ejecucion</t>
  </si>
  <si>
    <t xml:space="preserve">
P6.2: Estrategias de Desarrollo Bajas en Carbono</t>
  </si>
  <si>
    <t>Proyecto piloto para la reducción del consumo de energia y/o estrategias de desarrollo bajo en carbono</t>
  </si>
  <si>
    <t>Proyectos piloto de producción más limpia de subsectores productivos, acompañados por la Corporación</t>
  </si>
  <si>
    <t>PRESUPUESTO APROPIADO PLAN DE ACCION VIGENCIA 2015</t>
  </si>
  <si>
    <t>VALOR TOTAL COMPROMETIDO PLAN DE ACCION VIGENCIA 2015</t>
  </si>
  <si>
    <t>INDICE GLOBAL DE EJECUCION FINANCIERA PLAN DE ACCION 2015</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</si>
  <si>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</si>
  <si>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</si>
  <si>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</si>
  <si>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</si>
  <si>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</si>
  <si>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r>
      <t xml:space="preserve">Cuenca </t>
    </r>
    <r>
      <rPr>
        <vertAlign val="superscript"/>
        <sz val="14"/>
        <color indexed="8"/>
        <rFont val="Arial"/>
        <family val="2"/>
      </rPr>
      <t>*</t>
    </r>
  </si>
  <si>
    <t>Elaboración de la Evaluación Regional del Agua por subzonas para el departamento del Huila.</t>
  </si>
  <si>
    <t>Subzonas evaluadas</t>
  </si>
  <si>
    <t>Planes de Ordenamiento del Recurso Hídrico en fase de declaración</t>
  </si>
  <si>
    <t>Plan de ordenamiento en fase declaración</t>
  </si>
  <si>
    <t>Formulación del Plan General de Ordenación Forestal- Fases de 1 y 2 (avance parcial acopio, evaluación y verificación de imágenes satelitales)</t>
  </si>
  <si>
    <t xml:space="preserve">META PROGRAMADA VIGENCIA 2015 </t>
  </si>
  <si>
    <t>EJECUCION 2015</t>
  </si>
  <si>
    <t>A DICIEMBRE 31 DE 2015</t>
  </si>
  <si>
    <r>
      <t xml:space="preserve">VIGENCIA EVALUADA (AÑO): </t>
    </r>
    <r>
      <rPr>
        <b/>
        <u val="single"/>
        <sz val="11"/>
        <rFont val="Arial"/>
        <family val="2"/>
      </rPr>
      <t xml:space="preserve">2015 </t>
    </r>
    <r>
      <rPr>
        <b/>
        <sz val="11"/>
        <rFont val="Arial"/>
        <family val="2"/>
      </rPr>
      <t xml:space="preserve"> PERIODO EVALUADO: ENERO-DICIEMBRE  DE 2015</t>
    </r>
  </si>
  <si>
    <t>N/A</t>
  </si>
  <si>
    <t xml:space="preserve">RESULTADO DEL COMPORTAMIENTO DEL INDICADOR
 AÑO 2015 </t>
  </si>
  <si>
    <t>ANEXO 7</t>
  </si>
  <si>
    <t>MINISTERIO DE AMBIENTE Y DESARROLLO TERRITORIAL 
INDICE DE EVALUACION DE DESEMPEÑO
MATRIZ RECOLECCION DE INFORMACION PARA LA DETERMINACION DE LA CAPACIDAD GESTION CORPORATIVA</t>
  </si>
  <si>
    <t>(1) Corporacion:</t>
  </si>
  <si>
    <t>CORPORACION AUTONOMA REGIONAL DEL ALTO MAGDALENA CAM</t>
  </si>
  <si>
    <t>CAPACIDAD DE GESTION CORPORATIVA</t>
  </si>
  <si>
    <t>FORTALECIMIENTO DE LA CAPACIDAD OPERATIVA Y FUNCIONAL</t>
  </si>
  <si>
    <t>CAPACIDAD OPERTIVA</t>
  </si>
  <si>
    <t>SGC</t>
  </si>
  <si>
    <t>(2)
Nùmero total de profesionales y técnicos que laboran en la CAR (contrato y planta)</t>
  </si>
  <si>
    <t>(3)
Costo anual de profesionales y técnicos que laboran en la CAR (contrato y planta) 
($)</t>
  </si>
  <si>
    <t>(4)
Número de profesionales y técnicos con funciones administrativas de la Corporación (contrato y planta)</t>
  </si>
  <si>
    <t>(5)
Número de profesionales y técnicos con funciones relacionadas con la planificación y gestión de la corporación (contrato y planta)</t>
  </si>
  <si>
    <t>(6)
Costo anual de profesionales y técnicos con funciones administrativas de la institución (contrato y planta) 
($)</t>
  </si>
  <si>
    <t>(7)
Costo anual de profesionales y técnicos con funciones relacionadas con la planificación y gestión de la corporación (contrato y planta) 
($)</t>
  </si>
  <si>
    <t>(8)
Sistema de Gestión de la Calidad 
Porcentaje de avance del cronograma de previsto para la implementación del SGC</t>
  </si>
  <si>
    <t>Planeación</t>
  </si>
  <si>
    <t>ANEXO 8</t>
  </si>
  <si>
    <t>MINISTERIO DE AMBIENTE VIVIENDA Y DESARROLLO TERRITORIAL 
INDICE DE EVALUACION DE DESEMPEÑO
MATRIZ RECOLECCION DE INFORMACION PARA LA DETERMINACION DE LA CAPACIDAD GESTION CORPORATIVA</t>
  </si>
  <si>
    <t xml:space="preserve"> FORTALECIMIENTO ECONOMICO Y SECTORIAL</t>
  </si>
  <si>
    <t>GESTION DE RECURSOS ECONOMICOS (Crédito y cooperación)</t>
  </si>
  <si>
    <t>FORTALECIMIENTO INTERINSTITUCIONAL</t>
  </si>
  <si>
    <t>PLANEACION REGIONAL</t>
  </si>
  <si>
    <t>EDUCACION AMBIENTAL</t>
  </si>
  <si>
    <t>CONTROL DE LA CONTAMINACION</t>
  </si>
  <si>
    <t>PRODUCCION MAS LIMPIA</t>
  </si>
  <si>
    <t>(9)
Total de recursos recaudados año evaluado
 ($)</t>
  </si>
  <si>
    <t>(10)
Total de recursos gestionados por créditos, convenios o donaciones
($)</t>
  </si>
  <si>
    <t>(11)
 Monto total de los convenios de fortalecimiento técnico, administrativo y económico de procesos de planificación firmado por la CAR
 ($).</t>
  </si>
  <si>
    <t>(12)
 Monto total de los recursos aportados por la CAR en los convenios firmados de procesos de planificación 
($)</t>
  </si>
  <si>
    <t>(13)
 Monto total de los convenios de fortalecimiento técnico, administrativo y económico firmado por la CAR en procesos de educación, capacitación y cultura ambiental
 ($).</t>
  </si>
  <si>
    <t>(14) 
Monto total de los recursos aportados por la CAR en los convenios firmados en procesos de educación, capacitación y cultura ambiental
 ($)</t>
  </si>
  <si>
    <t>(15)
 Monto total de los convenios de fortalecimiento técnico, administrativo y económico firmado por la CAR para el control de la contaminación ($).</t>
  </si>
  <si>
    <t>(16)
 Monto total de los recursos aportados por la CAR en los convenios firmados para el control de la contaminación ($)</t>
  </si>
  <si>
    <t>(17)
 Número de convenios de producción más limpia (PML) previstos en el PAT para ser suscritos y/o hacer seguimiento por parte de la CAR, durante la vigencia evaluada</t>
  </si>
  <si>
    <t>(18)
 Numero de convenios de producción más limpia (PML) suscritos y con seguimiento</t>
  </si>
  <si>
    <t>Meta ajustada mediante acuerdo 007 de 2015</t>
  </si>
  <si>
    <t>Se realizó  la formulación del POMCA del Rio Suaza, y se  avanza en la actualziación del plan de ordenación y manejo de la cuenca hidrográfica del Río Loro – Rio Las Ceibas y Otros Directos al Magdalena. El resultado final será el resultado de 4 PMA: Ceibas, Rio Loro, Arenoso y Rio Frio.</t>
  </si>
  <si>
    <t xml:space="preserve">Observaciones </t>
  </si>
  <si>
    <t>ANEXO 5-1</t>
  </si>
  <si>
    <t>INFORME DE EJECUCION PRESUPUESTAL DE INGRESOS AÑO 2015</t>
  </si>
  <si>
    <t>RECURSOS VIGENCIA  DICIEMBRE 2015</t>
  </si>
  <si>
    <t>NIVEL RENTISTICO</t>
  </si>
  <si>
    <t>APROPIADO</t>
  </si>
  <si>
    <t>RECAUDADO</t>
  </si>
  <si>
    <t>% EJEUCION</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</si>
  <si>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</si>
  <si>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</si>
  <si>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</si>
  <si>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</si>
  <si>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</si>
  <si>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</si>
  <si>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</si>
  <si>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</si>
  <si>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</si>
  <si>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</si>
  <si>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</si>
  <si>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</si>
  <si>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</si>
  <si>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</si>
  <si>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</si>
  <si>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</si>
  <si>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</si>
  <si>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</si>
  <si>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</si>
  <si>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</si>
  <si>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</si>
  <si>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</si>
  <si>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</si>
  <si>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</si>
  <si>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</si>
  <si>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</si>
  <si>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</si>
  <si>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</si>
  <si>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</si>
  <si>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</si>
  <si>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</si>
  <si>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</si>
  <si>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</si>
  <si>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</si>
  <si>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</si>
  <si>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</si>
  <si>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</si>
  <si>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</si>
  <si>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</si>
  <si>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</si>
  <si>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</si>
  <si>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</si>
  <si>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</si>
  <si>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</si>
  <si>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</si>
  <si>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ANEXO 5-2</t>
  </si>
  <si>
    <t xml:space="preserve">INFORME DE EJECUCION PRESUPUESTAL DE GASTOS </t>
  </si>
  <si>
    <t>RECURSOS VIGENCIA (AÑO): DICIEMBRE DE  2015</t>
  </si>
  <si>
    <t>CONCEPTO</t>
  </si>
  <si>
    <t>RECURSOS PROPIOS
$</t>
  </si>
  <si>
    <t>RECURSOS DE LA NACION 
$</t>
  </si>
  <si>
    <t>TOTAL RECURSOS 
(PROPIOS -NACION)
$</t>
  </si>
  <si>
    <t>% EJECUCION</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</si>
  <si>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</si>
  <si>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</si>
  <si>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</si>
  <si>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</si>
  <si>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</si>
  <si>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</si>
  <si>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</si>
  <si>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</si>
  <si>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</si>
  <si>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</si>
  <si>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</si>
  <si>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</si>
  <si>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</si>
  <si>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</si>
  <si>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</si>
  <si>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</si>
  <si>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</si>
  <si>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</si>
  <si>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</si>
  <si>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</si>
  <si>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Biodiversidad y Servicios Ecosistemicos </t>
  </si>
  <si>
    <t>Planificación y gestión de Áreas Naturales Protegidas para la  conservación del Patrimonio Natural del Huila</t>
  </si>
  <si>
    <t>Planificación, conservación y uso sostenible en zonas secas y otros ecosistemas</t>
  </si>
  <si>
    <t>Aprovechamiento Sostenible de la biodiversidad y mercados verdes</t>
  </si>
  <si>
    <t>Programa 2. Gestión Integral del Recurso Hídrico.</t>
  </si>
  <si>
    <t>Planificación, Ordenación y manejo de Cuencas Hidrográficas</t>
  </si>
  <si>
    <t>Protección y recuperación del Recurso Hídrico</t>
  </si>
  <si>
    <t>Planificación, Ordenación y Administración del Recurso Hídrico</t>
  </si>
  <si>
    <t>Descontaminación de fuentes Hídricas y mejoramiento de la calidad del recurso</t>
  </si>
  <si>
    <t>Implementacion de procesos de restauracion pasiva</t>
  </si>
  <si>
    <t>Programa 3. Planificación y Ordenación del Territorio y Gestión del Riesgo</t>
  </si>
  <si>
    <t>Planificación y ordenación  del territorio</t>
  </si>
  <si>
    <t>Gestión del Riesgo de Desastres</t>
  </si>
  <si>
    <t>Programa 4. Buen Gobierno para la Gestión Ambiental Regional</t>
  </si>
  <si>
    <t>Fortalecimiento de la Gobernabilidad y la Autoridad Ambiental</t>
  </si>
  <si>
    <t>Fortalecimiento Institucional y consolidación  del Sistema Integrado de gestión</t>
  </si>
  <si>
    <t>Programa 5: Construcción de una Cultura de Convivencia del Huilense con su  Naturaleza</t>
  </si>
  <si>
    <t>Educación y Comunicación para una Cultura Ambiental Participativa</t>
  </si>
  <si>
    <t>Programa 6: Adaptación y Mitigación al Cambio Climático</t>
  </si>
  <si>
    <t>Institucionalización, Formulación e Implementación del plan de acción departamental de cambio climático.</t>
  </si>
  <si>
    <t>Estrategias de Desarrollo Bajas en Carbono</t>
  </si>
  <si>
    <t>TOTAL SERVICIO DE LA DEUDA</t>
  </si>
  <si>
    <t xml:space="preserve">TOTAL PRESUPUESTO  </t>
  </si>
  <si>
    <t>POMCH y/o PMA*</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</si>
</sst>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 #,##0_ ;_ * \-#,##0_ ;_ * &quot;-&quot;??_ ;_ @_ "/>
    <numFmt numFmtId="192" formatCode="#,##0;[Red]#,##0"/>
    <numFmt numFmtId="193" formatCode="_ [$€]\ * #,##0.00_ ;_ [$€]\ * \-#,##0.00_ ;_ [$€]\ * &quot;-&quot;??_ ;_ @_ "/>
    <numFmt numFmtId="194" formatCode="_(* #,##0_);_(* \(#,##0\);_(* &quot;-&quot;??_);_(@_)"/>
    <numFmt numFmtId="195" formatCode="0;[Red]0"/>
    <numFmt numFmtId="196" formatCode="#,##0.000"/>
    <numFmt numFmtId="197" formatCode="#,##0.0000"/>
    <numFmt numFmtId="198" formatCode="#,##0.00000"/>
    <numFmt numFmtId="199" formatCode="_ * #,##0.0_ ;_ * \-#,##0.0_ ;_ * &quot;-&quot;??_ ;_ @_ "/>
    <numFmt numFmtId="200" formatCode="_ * #.##0.0_ ;_ * \-#.##0.0_ ;_ * &quot;-&quot;??_ ;_ @_ "/>
    <numFmt numFmtId="201" formatCode="_ * #.##0.00_ ;_ * \-#.##0.00_ ;_ * &quot;-&quot;??_ ;_ @_ "/>
    <numFmt numFmtId="202" formatCode="&quot;$&quot;#,##0"/>
    <numFmt numFmtId="203" formatCode="&quot;$&quot;\ #,##0"/>
    <numFmt numFmtId="204" formatCode="_(* #,##0.0000_);_(* \(#,##0.0000\);_(* &quot;-&quot;????_);_(@_)"/>
    <numFmt numFmtId="205" formatCode="_ * #,##0.000_ ;_ * \-#,##0.000_ ;_ * &quot;-&quot;??_ ;_ @_ "/>
    <numFmt numFmtId="206" formatCode="#,##0.0;[Red]#,##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0.0%"/>
    <numFmt numFmtId="213" formatCode="#,##0.00;[Red]#,##0.00"/>
    <numFmt numFmtId="214" formatCode="0.000000"/>
    <numFmt numFmtId="215" formatCode="0.00000"/>
    <numFmt numFmtId="216" formatCode="0.0000"/>
    <numFmt numFmtId="217" formatCode="0.000"/>
    <numFmt numFmtId="218" formatCode="_(&quot;$&quot;\ * #,##0_);_(&quot;$&quot;\ * \(#,##0\);_(&quot;$&quot;\ * &quot;-&quot;??_);_(@_)"/>
    <numFmt numFmtId="219" formatCode="_(* #,##0.0_);_(* \(#,##0.0\);_(* &quot;-&quot;??_);_(@_)"/>
    <numFmt numFmtId="220" formatCode="_(* #,##0.000_);_(* \(#,##0.000\);_(* &quot;-&quot;??_);_(@_)"/>
    <numFmt numFmtId="221" formatCode="_-* #,##0.000_-;\-* #,##0.000_-;_-* &quot;-&quot;???_-;_-@_-"/>
    <numFmt numFmtId="222" formatCode="#,##0.0000000"/>
    <numFmt numFmtId="223" formatCode="&quot;$&quot;\ #,##0;[Red]&quot;$&quot;\ #,##0"/>
    <numFmt numFmtId="224" formatCode="0.00000000"/>
    <numFmt numFmtId="225" formatCode="0.0000000"/>
  </numFmts>
  <fonts count="110">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1"/>
      <color indexed="8"/>
      <name val="Arial"/>
      <family val="2"/>
    </font>
    <font>
      <sz val="12"/>
      <color indexed="8"/>
      <name val="Arial"/>
      <family val="2"/>
    </font>
    <font>
      <b/>
      <sz val="12"/>
      <color indexed="10"/>
      <name val="Arial"/>
      <family val="2"/>
    </font>
    <font>
      <b/>
      <sz val="14"/>
      <name val="Arial"/>
      <family val="2"/>
    </font>
    <font>
      <b/>
      <sz val="9"/>
      <name val="Tahoma"/>
      <family val="2"/>
    </font>
    <font>
      <sz val="9"/>
      <name val="Tahoma"/>
      <family val="2"/>
    </font>
    <font>
      <sz val="13"/>
      <name val="Arial"/>
      <family val="2"/>
    </font>
    <font>
      <b/>
      <sz val="13"/>
      <name val="Arial"/>
      <family val="2"/>
    </font>
    <font>
      <sz val="11"/>
      <color indexed="10"/>
      <name val="Arial"/>
      <family val="2"/>
    </font>
    <font>
      <b/>
      <sz val="8"/>
      <name val="Tahoma"/>
      <family val="2"/>
    </font>
    <font>
      <sz val="7"/>
      <color indexed="10"/>
      <name val="Arial Narrow"/>
      <family val="2"/>
    </font>
    <font>
      <sz val="14"/>
      <color indexed="8"/>
      <name val="Arial"/>
      <family val="2"/>
    </font>
    <font>
      <vertAlign val="superscript"/>
      <sz val="14"/>
      <color indexed="8"/>
      <name val="Arial"/>
      <family val="2"/>
    </font>
    <font>
      <sz val="11"/>
      <name val="Tahoma"/>
      <family val="2"/>
    </font>
    <font>
      <b/>
      <sz val="15"/>
      <name val="Arial"/>
      <family val="2"/>
    </font>
    <font>
      <sz val="15"/>
      <name val="Arial"/>
      <family val="2"/>
    </font>
    <font>
      <sz val="10"/>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b/>
      <sz val="9"/>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36"/>
      <name val="Arial"/>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1"/>
      <name val="Calibri"/>
      <family val="2"/>
    </font>
    <font>
      <sz val="10"/>
      <color indexed="8"/>
      <name val="Arial"/>
      <family val="2"/>
    </font>
    <font>
      <sz val="8"/>
      <color indexed="8"/>
      <name val="Univers"/>
      <family val="2"/>
    </font>
    <font>
      <b/>
      <sz val="14"/>
      <color indexed="9"/>
      <name val="Arial Narrow"/>
      <family val="2"/>
    </font>
    <font>
      <sz val="11"/>
      <color indexed="9"/>
      <name val="Arial Narrow"/>
      <family val="2"/>
    </font>
    <font>
      <sz val="10"/>
      <color indexed="9"/>
      <name val="Arial Narrow"/>
      <family val="2"/>
    </font>
    <font>
      <sz val="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b/>
      <sz val="12"/>
      <color rgb="FF7030A0"/>
      <name val="Arial"/>
      <family val="2"/>
    </font>
    <font>
      <sz val="12"/>
      <color theme="1"/>
      <name val="Arial"/>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0"/>
      <color theme="1"/>
      <name val="Arial"/>
      <family val="2"/>
    </font>
    <font>
      <sz val="8"/>
      <color theme="1"/>
      <name val="Univers"/>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CC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50"/>
        <bgColor indexed="64"/>
      </patternFill>
    </fill>
    <fill>
      <patternFill patternType="solid">
        <fgColor rgb="FFFF99FF"/>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medium"/>
      <top style="medium"/>
      <bottom style="thin"/>
    </border>
    <border>
      <left>
        <color indexed="63"/>
      </left>
      <right style="thin"/>
      <top>
        <color indexed="63"/>
      </top>
      <bottom style="thin"/>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mediu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right/>
      <top style="medium"/>
      <bottom/>
    </border>
    <border>
      <left/>
      <right style="medium"/>
      <top style="medium"/>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medium"/>
    </border>
    <border>
      <left>
        <color indexed="63"/>
      </left>
      <right style="medium">
        <color indexed="8"/>
      </right>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19" borderId="0" applyNumberFormat="0" applyBorder="0" applyAlignment="0" applyProtection="0"/>
    <xf numFmtId="0" fontId="86" fillId="20" borderId="1" applyNumberFormat="0" applyAlignment="0" applyProtection="0"/>
    <xf numFmtId="0" fontId="87" fillId="21" borderId="2" applyNumberFormat="0" applyAlignment="0" applyProtection="0"/>
    <xf numFmtId="0" fontId="88" fillId="0" borderId="3" applyNumberFormat="0" applyFill="0" applyAlignment="0" applyProtection="0"/>
    <xf numFmtId="0" fontId="89" fillId="0" borderId="4" applyNumberFormat="0" applyFill="0" applyAlignment="0" applyProtection="0"/>
    <xf numFmtId="0" fontId="90" fillId="0" borderId="0" applyNumberFormat="0" applyFill="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91" fillId="28"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2" fillId="2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0" fontId="9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94" fillId="20" borderId="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7" applyNumberFormat="0" applyFill="0" applyAlignment="0" applyProtection="0"/>
    <xf numFmtId="0" fontId="90" fillId="0" borderId="8" applyNumberFormat="0" applyFill="0" applyAlignment="0" applyProtection="0"/>
    <xf numFmtId="0" fontId="99" fillId="0" borderId="9" applyNumberFormat="0" applyFill="0" applyAlignment="0" applyProtection="0"/>
  </cellStyleXfs>
  <cellXfs count="662">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9" fillId="0" borderId="15" xfId="0" applyFont="1" applyFill="1" applyBorder="1" applyAlignment="1">
      <alignment vertical="center" wrapText="1"/>
    </xf>
    <xf numFmtId="0" fontId="18" fillId="4" borderId="16" xfId="0" applyFont="1" applyFill="1" applyBorder="1" applyAlignment="1">
      <alignment horizontal="center" vertical="center"/>
    </xf>
    <xf numFmtId="0" fontId="14" fillId="4" borderId="17" xfId="0" applyFont="1" applyFill="1" applyBorder="1" applyAlignment="1" quotePrefix="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0"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91" fontId="19" fillId="0" borderId="0" xfId="50"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0" fillId="0" borderId="15" xfId="0"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5" xfId="0" applyNumberFormat="1" applyFont="1" applyFill="1" applyBorder="1" applyAlignment="1">
      <alignment vertical="center" wrapText="1"/>
    </xf>
    <xf numFmtId="3" fontId="5" fillId="0" borderId="15" xfId="0" applyNumberFormat="1" applyFont="1" applyFill="1" applyBorder="1" applyAlignment="1">
      <alignment horizontal="right" vertical="center" wrapText="1"/>
    </xf>
    <xf numFmtId="3" fontId="5" fillId="32" borderId="15" xfId="0" applyNumberFormat="1" applyFont="1" applyFill="1" applyBorder="1" applyAlignment="1">
      <alignment horizontal="center" vertical="center" wrapText="1"/>
    </xf>
    <xf numFmtId="3" fontId="5" fillId="32" borderId="15" xfId="0" applyNumberFormat="1" applyFont="1" applyFill="1" applyBorder="1" applyAlignment="1">
      <alignment horizontal="right" vertical="center" wrapText="1"/>
    </xf>
    <xf numFmtId="0" fontId="22" fillId="4" borderId="15" xfId="0" applyFont="1" applyFill="1" applyBorder="1" applyAlignment="1">
      <alignment horizontal="justify" vertical="center" wrapText="1"/>
    </xf>
    <xf numFmtId="0" fontId="23" fillId="0" borderId="24" xfId="0" applyFont="1" applyFill="1" applyBorder="1" applyAlignment="1">
      <alignment horizontal="center" vertical="center" wrapText="1"/>
    </xf>
    <xf numFmtId="0" fontId="22" fillId="0" borderId="15" xfId="0"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2" fillId="0" borderId="21" xfId="0" applyFont="1" applyFill="1" applyBorder="1" applyAlignment="1">
      <alignment horizontal="center" vertical="center" wrapText="1"/>
    </xf>
    <xf numFmtId="3" fontId="23" fillId="0" borderId="15"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15"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3" fillId="0" borderId="25" xfId="0" applyFont="1" applyFill="1" applyBorder="1" applyAlignment="1">
      <alignment horizontal="center" vertical="center" wrapText="1"/>
    </xf>
    <xf numFmtId="0" fontId="22" fillId="4" borderId="26" xfId="0" applyFont="1" applyFill="1" applyBorder="1" applyAlignment="1">
      <alignment horizontal="justify" vertical="center" wrapText="1"/>
    </xf>
    <xf numFmtId="0" fontId="22" fillId="0" borderId="26" xfId="0" applyFont="1" applyFill="1" applyBorder="1" applyAlignment="1">
      <alignment horizontal="center" vertical="center" wrapText="1"/>
    </xf>
    <xf numFmtId="0" fontId="23" fillId="0" borderId="24" xfId="0" applyFont="1" applyFill="1" applyBorder="1" applyAlignment="1">
      <alignment horizontal="center" vertical="center" textRotation="90" wrapText="1"/>
    </xf>
    <xf numFmtId="3" fontId="24" fillId="0" borderId="15" xfId="0" applyNumberFormat="1" applyFont="1" applyFill="1" applyBorder="1" applyAlignment="1">
      <alignment horizontal="center" vertical="center" wrapText="1"/>
    </xf>
    <xf numFmtId="3" fontId="25"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22" fillId="0" borderId="15" xfId="0" applyNumberFormat="1" applyFont="1" applyFill="1" applyBorder="1" applyAlignment="1">
      <alignment horizontal="right" vertical="center" wrapText="1"/>
    </xf>
    <xf numFmtId="3" fontId="23" fillId="4" borderId="15" xfId="0" applyNumberFormat="1" applyFont="1" applyFill="1" applyBorder="1" applyAlignment="1">
      <alignment horizontal="center" vertical="center" wrapText="1"/>
    </xf>
    <xf numFmtId="3" fontId="23" fillId="4" borderId="15" xfId="0" applyNumberFormat="1" applyFont="1" applyFill="1" applyBorder="1" applyAlignment="1">
      <alignment vertical="center" wrapText="1"/>
    </xf>
    <xf numFmtId="3" fontId="23" fillId="32" borderId="15" xfId="0" applyNumberFormat="1" applyFont="1" applyFill="1" applyBorder="1" applyAlignment="1">
      <alignment horizontal="center" vertical="center" wrapText="1"/>
    </xf>
    <xf numFmtId="3" fontId="23" fillId="32" borderId="15" xfId="0" applyNumberFormat="1" applyFont="1" applyFill="1" applyBorder="1" applyAlignment="1">
      <alignment vertical="center" wrapText="1"/>
    </xf>
    <xf numFmtId="191" fontId="23" fillId="32" borderId="15" xfId="50" applyNumberFormat="1" applyFont="1" applyFill="1" applyBorder="1" applyAlignment="1">
      <alignment vertical="center" wrapText="1"/>
    </xf>
    <xf numFmtId="3" fontId="22" fillId="32"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right" vertical="center" wrapText="1"/>
    </xf>
    <xf numFmtId="3" fontId="22" fillId="0" borderId="27" xfId="0" applyNumberFormat="1" applyFont="1" applyFill="1" applyBorder="1" applyAlignment="1">
      <alignment horizontal="right" vertical="center" wrapText="1"/>
    </xf>
    <xf numFmtId="3" fontId="22" fillId="4" borderId="15" xfId="0" applyNumberFormat="1" applyFont="1" applyFill="1" applyBorder="1" applyAlignment="1">
      <alignment horizontal="right" vertical="center" wrapText="1"/>
    </xf>
    <xf numFmtId="191" fontId="23" fillId="4" borderId="15" xfId="50" applyNumberFormat="1" applyFont="1" applyFill="1" applyBorder="1" applyAlignment="1">
      <alignment horizontal="center" vertical="center" wrapText="1"/>
    </xf>
    <xf numFmtId="3" fontId="22" fillId="0" borderId="28" xfId="0" applyNumberFormat="1" applyFont="1" applyFill="1" applyBorder="1" applyAlignment="1">
      <alignment horizontal="right" vertical="center" wrapText="1"/>
    </xf>
    <xf numFmtId="3" fontId="23" fillId="32" borderId="28" xfId="0" applyNumberFormat="1" applyFont="1" applyFill="1" applyBorder="1" applyAlignment="1">
      <alignment horizontal="right" vertical="center" wrapText="1"/>
    </xf>
    <xf numFmtId="3" fontId="22" fillId="0" borderId="29" xfId="0" applyNumberFormat="1" applyFont="1" applyFill="1" applyBorder="1" applyAlignment="1">
      <alignment horizontal="right" vertical="center" wrapText="1"/>
    </xf>
    <xf numFmtId="194" fontId="23" fillId="4" borderId="28" xfId="0" applyNumberFormat="1" applyFont="1" applyFill="1" applyBorder="1" applyAlignment="1">
      <alignment vertical="center" wrapText="1"/>
    </xf>
    <xf numFmtId="3" fontId="23" fillId="32" borderId="28" xfId="0" applyNumberFormat="1" applyFont="1" applyFill="1" applyBorder="1" applyAlignment="1">
      <alignment vertical="center" wrapText="1"/>
    </xf>
    <xf numFmtId="194" fontId="23" fillId="32" borderId="28" xfId="0" applyNumberFormat="1" applyFont="1" applyFill="1" applyBorder="1" applyAlignment="1">
      <alignment vertical="center" wrapText="1"/>
    </xf>
    <xf numFmtId="3" fontId="23" fillId="4" borderId="28" xfId="0" applyNumberFormat="1" applyFont="1" applyFill="1" applyBorder="1" applyAlignment="1">
      <alignment vertical="center" wrapText="1"/>
    </xf>
    <xf numFmtId="1" fontId="22" fillId="4" borderId="15" xfId="0" applyNumberFormat="1" applyFont="1" applyFill="1" applyBorder="1" applyAlignment="1">
      <alignment vertical="center" wrapText="1"/>
    </xf>
    <xf numFmtId="3" fontId="23" fillId="4" borderId="15" xfId="0" applyNumberFormat="1" applyFont="1" applyFill="1" applyBorder="1" applyAlignment="1">
      <alignment horizontal="right" vertical="center" wrapText="1"/>
    </xf>
    <xf numFmtId="3" fontId="22" fillId="32" borderId="15" xfId="0" applyNumberFormat="1" applyFont="1" applyFill="1" applyBorder="1" applyAlignment="1">
      <alignment horizontal="center" vertical="center" wrapText="1"/>
    </xf>
    <xf numFmtId="0" fontId="27" fillId="32" borderId="15" xfId="0" applyFont="1" applyFill="1" applyBorder="1" applyAlignment="1">
      <alignment horizontal="center" vertical="center" wrapText="1"/>
    </xf>
    <xf numFmtId="3" fontId="27" fillId="32" borderId="15" xfId="0" applyNumberFormat="1" applyFont="1" applyFill="1" applyBorder="1" applyAlignment="1">
      <alignment horizontal="center" vertical="center" wrapText="1"/>
    </xf>
    <xf numFmtId="1" fontId="22" fillId="32" borderId="15" xfId="0" applyNumberFormat="1" applyFont="1" applyFill="1" applyBorder="1" applyAlignment="1">
      <alignment horizontal="center" vertical="center" wrapText="1"/>
    </xf>
    <xf numFmtId="191" fontId="23" fillId="32" borderId="15" xfId="50" applyNumberFormat="1" applyFont="1" applyFill="1" applyBorder="1" applyAlignment="1">
      <alignment horizontal="center" vertical="center" wrapText="1"/>
    </xf>
    <xf numFmtId="3" fontId="22" fillId="4" borderId="15" xfId="0" applyNumberFormat="1" applyFont="1" applyFill="1" applyBorder="1" applyAlignment="1">
      <alignment horizontal="center" vertical="center" wrapText="1"/>
    </xf>
    <xf numFmtId="0" fontId="23" fillId="32" borderId="15" xfId="0" applyFont="1" applyFill="1" applyBorder="1" applyAlignment="1">
      <alignment horizontal="justify" vertical="center" wrapText="1"/>
    </xf>
    <xf numFmtId="0" fontId="23" fillId="32" borderId="15" xfId="0" applyFont="1" applyFill="1" applyBorder="1" applyAlignment="1">
      <alignment horizontal="center" vertical="center" wrapText="1"/>
    </xf>
    <xf numFmtId="192" fontId="22" fillId="0" borderId="15" xfId="0" applyNumberFormat="1" applyFont="1" applyFill="1" applyBorder="1" applyAlignment="1">
      <alignment horizontal="right" vertical="center" wrapText="1"/>
    </xf>
    <xf numFmtId="0" fontId="27" fillId="4" borderId="15" xfId="0" applyFont="1" applyFill="1" applyBorder="1" applyAlignment="1">
      <alignment horizontal="center" vertical="center" wrapText="1"/>
    </xf>
    <xf numFmtId="0" fontId="22" fillId="4" borderId="15" xfId="0" applyFont="1" applyFill="1" applyBorder="1" applyAlignment="1">
      <alignment vertical="center" wrapText="1"/>
    </xf>
    <xf numFmtId="4" fontId="22" fillId="0" borderId="15" xfId="0" applyNumberFormat="1" applyFont="1" applyFill="1" applyBorder="1" applyAlignment="1">
      <alignment horizontal="center" vertical="center" wrapText="1"/>
    </xf>
    <xf numFmtId="3" fontId="4" fillId="32" borderId="15"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3" fontId="22" fillId="32" borderId="29" xfId="0" applyNumberFormat="1" applyFont="1" applyFill="1" applyBorder="1" applyAlignment="1">
      <alignment horizontal="right" vertical="center" wrapText="1"/>
    </xf>
    <xf numFmtId="0" fontId="19" fillId="0" borderId="28" xfId="0" applyFont="1" applyFill="1" applyBorder="1" applyAlignment="1">
      <alignment vertical="center" wrapText="1"/>
    </xf>
    <xf numFmtId="3" fontId="24" fillId="0" borderId="15" xfId="0" applyNumberFormat="1" applyFont="1" applyFill="1" applyBorder="1" applyAlignment="1">
      <alignment horizontal="right" vertical="center" wrapText="1"/>
    </xf>
    <xf numFmtId="3" fontId="100" fillId="0" borderId="15" xfId="0" applyNumberFormat="1" applyFont="1" applyFill="1" applyBorder="1" applyAlignment="1">
      <alignment horizontal="right" vertical="center" wrapText="1"/>
    </xf>
    <xf numFmtId="4" fontId="4" fillId="32" borderId="15" xfId="0" applyNumberFormat="1" applyFont="1" applyFill="1" applyBorder="1" applyAlignment="1">
      <alignment horizontal="center" vertical="center" wrapText="1"/>
    </xf>
    <xf numFmtId="0" fontId="0" fillId="0" borderId="0" xfId="60" applyFont="1" applyBorder="1" applyAlignment="1">
      <alignment vertical="center" wrapText="1"/>
      <protection/>
    </xf>
    <xf numFmtId="0" fontId="0" fillId="0" borderId="0" xfId="60" applyFont="1" applyFill="1" applyAlignment="1">
      <alignment vertical="center" wrapText="1"/>
      <protection/>
    </xf>
    <xf numFmtId="0" fontId="0" fillId="0" borderId="0" xfId="60" applyFont="1" applyFill="1" applyAlignment="1">
      <alignment horizontal="center" vertical="center" wrapText="1"/>
      <protection/>
    </xf>
    <xf numFmtId="194" fontId="0" fillId="0" borderId="0" xfId="60" applyNumberFormat="1" applyFont="1" applyFill="1" applyAlignment="1">
      <alignment vertical="center" wrapText="1"/>
      <protection/>
    </xf>
    <xf numFmtId="3" fontId="0" fillId="0" borderId="0" xfId="60" applyNumberFormat="1" applyFont="1" applyFill="1" applyAlignment="1">
      <alignment vertical="center" wrapText="1"/>
      <protection/>
    </xf>
    <xf numFmtId="194" fontId="0" fillId="0" borderId="0" xfId="53" applyNumberFormat="1" applyFont="1" applyFill="1" applyAlignment="1">
      <alignment vertical="center" wrapText="1"/>
    </xf>
    <xf numFmtId="0" fontId="0" fillId="34" borderId="0" xfId="60" applyFont="1" applyFill="1" applyAlignment="1">
      <alignment vertical="center" wrapText="1"/>
      <protection/>
    </xf>
    <xf numFmtId="0" fontId="0" fillId="35" borderId="0" xfId="60" applyFont="1" applyFill="1" applyAlignment="1">
      <alignment vertical="center" wrapText="1"/>
      <protection/>
    </xf>
    <xf numFmtId="192" fontId="24" fillId="0" borderId="15" xfId="0" applyNumberFormat="1" applyFont="1" applyFill="1" applyBorder="1" applyAlignment="1">
      <alignment horizontal="center" vertical="center" wrapText="1"/>
    </xf>
    <xf numFmtId="0" fontId="101" fillId="0" borderId="21" xfId="0" applyFont="1" applyFill="1" applyBorder="1" applyAlignment="1">
      <alignment horizontal="center" vertical="center" wrapText="1"/>
    </xf>
    <xf numFmtId="0" fontId="5" fillId="0" borderId="0" xfId="0" applyFont="1" applyAlignment="1">
      <alignment wrapText="1"/>
    </xf>
    <xf numFmtId="3" fontId="29" fillId="0" borderId="15" xfId="0" applyNumberFormat="1" applyFont="1" applyFill="1" applyBorder="1" applyAlignment="1">
      <alignment horizontal="center" vertical="center" wrapText="1"/>
    </xf>
    <xf numFmtId="0" fontId="22" fillId="0" borderId="30" xfId="0" applyFont="1" applyFill="1" applyBorder="1" applyAlignment="1">
      <alignment horizontal="center" vertical="center" wrapText="1"/>
    </xf>
    <xf numFmtId="1" fontId="22" fillId="0" borderId="15" xfId="0" applyNumberFormat="1" applyFont="1" applyFill="1" applyBorder="1" applyAlignment="1">
      <alignment horizontal="right" vertical="center" wrapText="1"/>
    </xf>
    <xf numFmtId="3" fontId="24" fillId="0" borderId="15" xfId="0" applyNumberFormat="1" applyFont="1" applyFill="1" applyBorder="1" applyAlignment="1">
      <alignment vertical="center" wrapText="1"/>
    </xf>
    <xf numFmtId="3" fontId="100" fillId="0" borderId="15" xfId="0" applyNumberFormat="1" applyFont="1" applyFill="1" applyBorder="1" applyAlignment="1">
      <alignment vertical="center" wrapText="1"/>
    </xf>
    <xf numFmtId="192" fontId="100" fillId="0" borderId="15" xfId="0" applyNumberFormat="1" applyFont="1" applyFill="1" applyBorder="1" applyAlignment="1">
      <alignment horizontal="center" vertical="center" wrapText="1"/>
    </xf>
    <xf numFmtId="3" fontId="24" fillId="0" borderId="15" xfId="60" applyNumberFormat="1" applyFont="1" applyFill="1" applyBorder="1" applyAlignment="1">
      <alignment horizontal="right" vertical="center" wrapText="1"/>
      <protection/>
    </xf>
    <xf numFmtId="0" fontId="100"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102" fillId="0" borderId="15" xfId="0" applyFont="1" applyFill="1" applyBorder="1" applyAlignment="1">
      <alignment horizontal="center" vertical="center" wrapText="1"/>
    </xf>
    <xf numFmtId="192" fontId="24" fillId="0" borderId="15" xfId="0" applyNumberFormat="1" applyFont="1" applyFill="1" applyBorder="1" applyAlignment="1">
      <alignment horizontal="right" vertical="center" wrapText="1"/>
    </xf>
    <xf numFmtId="0" fontId="5" fillId="0" borderId="24" xfId="60" applyFont="1" applyFill="1" applyBorder="1" applyAlignment="1">
      <alignment horizontal="justify" vertical="center" wrapText="1"/>
      <protection/>
    </xf>
    <xf numFmtId="0" fontId="19" fillId="0" borderId="28" xfId="0" applyFont="1" applyFill="1" applyBorder="1" applyAlignment="1">
      <alignment vertical="center"/>
    </xf>
    <xf numFmtId="0" fontId="4" fillId="4" borderId="29" xfId="0" applyFont="1" applyFill="1" applyBorder="1" applyAlignment="1">
      <alignment horizontal="center" vertical="top" wrapText="1"/>
    </xf>
    <xf numFmtId="3" fontId="23" fillId="4" borderId="29" xfId="0" applyNumberFormat="1" applyFont="1" applyFill="1" applyBorder="1" applyAlignment="1">
      <alignment horizontal="center" vertical="center" wrapText="1"/>
    </xf>
    <xf numFmtId="0" fontId="23" fillId="4" borderId="29" xfId="0" applyFont="1" applyFill="1" applyBorder="1" applyAlignment="1">
      <alignment horizontal="center" vertical="top" wrapText="1"/>
    </xf>
    <xf numFmtId="191" fontId="23" fillId="4" borderId="29" xfId="50" applyNumberFormat="1" applyFont="1" applyFill="1" applyBorder="1" applyAlignment="1">
      <alignment vertical="center" wrapText="1"/>
    </xf>
    <xf numFmtId="0" fontId="20" fillId="0" borderId="26" xfId="0" applyFont="1" applyFill="1" applyBorder="1" applyAlignment="1">
      <alignment horizontal="center" vertical="top" wrapText="1"/>
    </xf>
    <xf numFmtId="0" fontId="23" fillId="4" borderId="31" xfId="0" applyFont="1" applyFill="1" applyBorder="1" applyAlignment="1">
      <alignment horizontal="center" vertical="center" wrapText="1"/>
    </xf>
    <xf numFmtId="0" fontId="4" fillId="0" borderId="32" xfId="0" applyFont="1" applyFill="1" applyBorder="1" applyAlignment="1">
      <alignment horizontal="center" vertical="top" wrapText="1"/>
    </xf>
    <xf numFmtId="0" fontId="4" fillId="32" borderId="24" xfId="0" applyFont="1" applyFill="1" applyBorder="1" applyAlignment="1">
      <alignment horizontal="center" vertical="center" wrapText="1"/>
    </xf>
    <xf numFmtId="3" fontId="4" fillId="0" borderId="21" xfId="0" applyNumberFormat="1" applyFont="1" applyFill="1" applyBorder="1" applyAlignment="1">
      <alignment vertical="center" wrapText="1"/>
    </xf>
    <xf numFmtId="0" fontId="0" fillId="3" borderId="24" xfId="0" applyFont="1" applyFill="1" applyBorder="1" applyAlignment="1">
      <alignment horizontal="justify"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4" fillId="32" borderId="33" xfId="0" applyFont="1" applyFill="1" applyBorder="1" applyAlignment="1">
      <alignment horizontal="center" vertical="center" wrapText="1"/>
    </xf>
    <xf numFmtId="3" fontId="22" fillId="32" borderId="21" xfId="0" applyNumberFormat="1"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2" fillId="0" borderId="24" xfId="0" applyFont="1" applyFill="1" applyBorder="1" applyAlignment="1">
      <alignment horizontal="justify" vertical="center" wrapText="1"/>
    </xf>
    <xf numFmtId="0" fontId="4" fillId="32" borderId="24" xfId="0" applyFont="1" applyFill="1" applyBorder="1" applyAlignment="1">
      <alignment horizontal="justify" vertical="center" wrapText="1"/>
    </xf>
    <xf numFmtId="3" fontId="22" fillId="0" borderId="21" xfId="0" applyNumberFormat="1" applyFont="1" applyFill="1" applyBorder="1" applyAlignment="1">
      <alignment horizontal="center" vertical="center" wrapText="1"/>
    </xf>
    <xf numFmtId="0" fontId="22" fillId="3" borderId="24"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22" fillId="0" borderId="24" xfId="0" applyFont="1" applyFill="1" applyBorder="1" applyAlignment="1">
      <alignment horizontal="justify" vertical="top" wrapText="1"/>
    </xf>
    <xf numFmtId="3" fontId="22" fillId="32" borderId="21" xfId="0" applyNumberFormat="1" applyFont="1" applyFill="1" applyBorder="1" applyAlignment="1">
      <alignment horizontal="right" vertical="center" wrapText="1"/>
    </xf>
    <xf numFmtId="0" fontId="22" fillId="3" borderId="24" xfId="0" applyFont="1" applyFill="1" applyBorder="1" applyAlignment="1">
      <alignment horizontal="justify" vertical="center" wrapText="1"/>
    </xf>
    <xf numFmtId="0" fontId="19" fillId="0" borderId="0" xfId="0" applyFont="1" applyFill="1" applyBorder="1" applyAlignment="1">
      <alignment horizontal="center" vertical="center" wrapText="1"/>
    </xf>
    <xf numFmtId="3" fontId="23" fillId="32" borderId="0" xfId="0" applyNumberFormat="1" applyFont="1" applyFill="1" applyBorder="1" applyAlignment="1">
      <alignment vertical="center" wrapText="1"/>
    </xf>
    <xf numFmtId="3" fontId="22" fillId="4" borderId="21" xfId="0" applyNumberFormat="1" applyFont="1" applyFill="1" applyBorder="1" applyAlignment="1">
      <alignment horizontal="right" vertical="center" wrapText="1"/>
    </xf>
    <xf numFmtId="3" fontId="5" fillId="0" borderId="34" xfId="0" applyNumberFormat="1" applyFont="1" applyFill="1" applyBorder="1" applyAlignment="1">
      <alignment horizontal="right" vertical="center" wrapText="1"/>
    </xf>
    <xf numFmtId="3" fontId="28" fillId="36" borderId="26" xfId="0" applyNumberFormat="1" applyFont="1" applyFill="1" applyBorder="1" applyAlignment="1">
      <alignment horizontal="right" vertical="center" wrapText="1"/>
    </xf>
    <xf numFmtId="3" fontId="23"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3" fontId="23" fillId="36" borderId="26" xfId="0" applyNumberFormat="1" applyFont="1" applyFill="1" applyBorder="1" applyAlignment="1">
      <alignment horizontal="right" vertical="center" wrapText="1"/>
    </xf>
    <xf numFmtId="3" fontId="20" fillId="36" borderId="35" xfId="0" applyNumberFormat="1" applyFont="1" applyFill="1" applyBorder="1" applyAlignment="1">
      <alignment vertical="center" wrapText="1"/>
    </xf>
    <xf numFmtId="0" fontId="32" fillId="37" borderId="36" xfId="0" applyFont="1" applyFill="1" applyBorder="1" applyAlignment="1">
      <alignment vertical="center" wrapText="1"/>
    </xf>
    <xf numFmtId="3" fontId="22" fillId="0" borderId="0" xfId="0" applyNumberFormat="1" applyFont="1" applyAlignment="1">
      <alignment/>
    </xf>
    <xf numFmtId="3" fontId="0" fillId="0" borderId="0" xfId="0" applyNumberFormat="1" applyFont="1" applyAlignment="1">
      <alignment/>
    </xf>
    <xf numFmtId="3" fontId="5" fillId="38" borderId="15" xfId="0" applyNumberFormat="1" applyFont="1" applyFill="1" applyBorder="1" applyAlignment="1">
      <alignment/>
    </xf>
    <xf numFmtId="3" fontId="5" fillId="4" borderId="15" xfId="0" applyNumberFormat="1" applyFont="1" applyFill="1" applyBorder="1" applyAlignment="1">
      <alignment/>
    </xf>
    <xf numFmtId="3" fontId="5" fillId="32" borderId="15" xfId="0" applyNumberFormat="1" applyFont="1" applyFill="1" applyBorder="1" applyAlignment="1">
      <alignment/>
    </xf>
    <xf numFmtId="0" fontId="32" fillId="37" borderId="13" xfId="0" applyFont="1" applyFill="1" applyBorder="1" applyAlignment="1">
      <alignment vertical="center" wrapText="1"/>
    </xf>
    <xf numFmtId="0" fontId="32" fillId="37" borderId="14" xfId="0" applyFont="1" applyFill="1" applyBorder="1" applyAlignment="1">
      <alignment vertical="center" wrapText="1"/>
    </xf>
    <xf numFmtId="0" fontId="0" fillId="0" borderId="24" xfId="0" applyFont="1" applyBorder="1" applyAlignment="1">
      <alignment/>
    </xf>
    <xf numFmtId="0" fontId="29" fillId="0" borderId="15" xfId="0" applyFont="1" applyFill="1" applyBorder="1" applyAlignment="1">
      <alignment horizontal="center" vertical="center" wrapText="1"/>
    </xf>
    <xf numFmtId="0" fontId="29" fillId="37" borderId="15" xfId="0" applyFont="1" applyFill="1" applyBorder="1" applyAlignment="1">
      <alignment horizontal="center" vertical="center" wrapText="1"/>
    </xf>
    <xf numFmtId="0" fontId="19" fillId="39" borderId="24" xfId="0" applyFont="1" applyFill="1" applyBorder="1" applyAlignment="1">
      <alignment vertical="center" wrapText="1"/>
    </xf>
    <xf numFmtId="3" fontId="22" fillId="39" borderId="0" xfId="0" applyNumberFormat="1" applyFont="1" applyFill="1" applyAlignment="1">
      <alignment vertical="center" wrapText="1"/>
    </xf>
    <xf numFmtId="3" fontId="19" fillId="39" borderId="0" xfId="0" applyNumberFormat="1" applyFont="1" applyFill="1" applyAlignment="1">
      <alignment vertical="center" wrapText="1"/>
    </xf>
    <xf numFmtId="3" fontId="5" fillId="32" borderId="15" xfId="0" applyNumberFormat="1" applyFont="1" applyFill="1" applyBorder="1" applyAlignment="1">
      <alignment vertical="center" wrapText="1"/>
    </xf>
    <xf numFmtId="0" fontId="19" fillId="39" borderId="0" xfId="0" applyFont="1" applyFill="1" applyAlignment="1">
      <alignment vertical="center" wrapText="1"/>
    </xf>
    <xf numFmtId="4" fontId="20" fillId="37" borderId="15" xfId="0" applyNumberFormat="1" applyFont="1" applyFill="1" applyBorder="1" applyAlignment="1">
      <alignment horizontal="center" vertical="center" wrapText="1"/>
    </xf>
    <xf numFmtId="4" fontId="20" fillId="37" borderId="21" xfId="0" applyNumberFormat="1" applyFont="1" applyFill="1" applyBorder="1" applyAlignment="1">
      <alignment horizontal="center" vertical="center" wrapText="1"/>
    </xf>
    <xf numFmtId="3" fontId="22" fillId="0" borderId="0" xfId="0"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3" fontId="20" fillId="37" borderId="15" xfId="0" applyNumberFormat="1" applyFont="1" applyFill="1" applyBorder="1" applyAlignment="1">
      <alignment horizontal="center" vertical="center" wrapText="1"/>
    </xf>
    <xf numFmtId="3" fontId="20" fillId="40" borderId="15" xfId="0" applyNumberFormat="1" applyFont="1" applyFill="1" applyBorder="1" applyAlignment="1">
      <alignment horizontal="center" vertical="center" wrapText="1"/>
    </xf>
    <xf numFmtId="4" fontId="20" fillId="40" borderId="15" xfId="0" applyNumberFormat="1" applyFont="1" applyFill="1" applyBorder="1" applyAlignment="1">
      <alignment horizontal="center" vertical="center" wrapText="1"/>
    </xf>
    <xf numFmtId="3" fontId="22" fillId="0" borderId="0" xfId="0" applyNumberFormat="1" applyFont="1" applyFill="1" applyAlignment="1">
      <alignment vertical="center" wrapText="1"/>
    </xf>
    <xf numFmtId="3" fontId="24" fillId="0" borderId="0" xfId="0" applyNumberFormat="1" applyFont="1" applyFill="1" applyAlignment="1">
      <alignment vertical="center" wrapText="1"/>
    </xf>
    <xf numFmtId="3" fontId="4" fillId="38" borderId="15"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24" fillId="0" borderId="0" xfId="0" applyFont="1" applyFill="1" applyAlignment="1">
      <alignment vertical="center" wrapText="1"/>
    </xf>
    <xf numFmtId="0" fontId="22" fillId="3" borderId="15" xfId="0" applyFont="1" applyFill="1" applyBorder="1" applyAlignment="1">
      <alignment horizontal="justify" vertical="center" wrapText="1"/>
    </xf>
    <xf numFmtId="3" fontId="24" fillId="0" borderId="21" xfId="0" applyNumberFormat="1" applyFont="1" applyFill="1" applyBorder="1" applyAlignment="1">
      <alignment horizontal="right" vertical="center" wrapText="1"/>
    </xf>
    <xf numFmtId="3" fontId="22" fillId="41" borderId="0" xfId="0" applyNumberFormat="1" applyFont="1" applyFill="1" applyAlignment="1">
      <alignment vertical="center" wrapText="1"/>
    </xf>
    <xf numFmtId="3" fontId="5" fillId="38" borderId="15" xfId="0" applyNumberFormat="1" applyFont="1" applyFill="1" applyBorder="1" applyAlignment="1">
      <alignment vertical="center" wrapText="1"/>
    </xf>
    <xf numFmtId="3" fontId="5" fillId="4" borderId="15" xfId="0" applyNumberFormat="1" applyFont="1" applyFill="1" applyBorder="1" applyAlignment="1">
      <alignment vertical="center" wrapText="1"/>
    </xf>
    <xf numFmtId="3" fontId="22" fillId="42" borderId="0" xfId="0" applyNumberFormat="1" applyFont="1" applyFill="1" applyAlignment="1">
      <alignment vertical="center" wrapText="1"/>
    </xf>
    <xf numFmtId="3" fontId="24" fillId="43" borderId="15" xfId="0" applyNumberFormat="1" applyFont="1" applyFill="1" applyBorder="1" applyAlignment="1">
      <alignment vertical="center" wrapText="1"/>
    </xf>
    <xf numFmtId="3" fontId="29" fillId="0" borderId="15" xfId="0" applyNumberFormat="1" applyFont="1" applyFill="1" applyBorder="1" applyAlignment="1">
      <alignment horizontal="right" vertical="center" wrapText="1"/>
    </xf>
    <xf numFmtId="4" fontId="22" fillId="0" borderId="15"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3" fillId="0" borderId="0" xfId="0" applyNumberFormat="1" applyFont="1" applyFill="1" applyAlignment="1">
      <alignment vertical="center" wrapText="1"/>
    </xf>
    <xf numFmtId="9" fontId="29" fillId="0" borderId="15" xfId="0" applyNumberFormat="1" applyFont="1" applyFill="1" applyBorder="1" applyAlignment="1">
      <alignment horizontal="right" vertical="center" wrapText="1"/>
    </xf>
    <xf numFmtId="3" fontId="4" fillId="41" borderId="15" xfId="0" applyNumberFormat="1" applyFont="1" applyFill="1" applyBorder="1" applyAlignment="1">
      <alignment vertical="center" wrapText="1"/>
    </xf>
    <xf numFmtId="4" fontId="23" fillId="37" borderId="15" xfId="0" applyNumberFormat="1" applyFont="1" applyFill="1" applyBorder="1" applyAlignment="1">
      <alignment horizontal="center" vertical="center" wrapText="1"/>
    </xf>
    <xf numFmtId="4" fontId="23" fillId="37" borderId="21" xfId="0" applyNumberFormat="1" applyFont="1" applyFill="1" applyBorder="1" applyAlignment="1">
      <alignment horizontal="center" vertical="center" wrapText="1"/>
    </xf>
    <xf numFmtId="3" fontId="23" fillId="37" borderId="15" xfId="0" applyNumberFormat="1" applyFont="1" applyFill="1" applyBorder="1" applyAlignment="1">
      <alignment horizontal="center" vertical="center" wrapText="1"/>
    </xf>
    <xf numFmtId="4" fontId="23" fillId="40" borderId="15" xfId="0" applyNumberFormat="1" applyFont="1" applyFill="1" applyBorder="1" applyAlignment="1">
      <alignment horizontal="center" vertical="center" wrapText="1"/>
    </xf>
    <xf numFmtId="3" fontId="23" fillId="0" borderId="15" xfId="0" applyNumberFormat="1" applyFont="1" applyFill="1" applyBorder="1" applyAlignment="1">
      <alignment horizontal="right" vertical="center" wrapText="1"/>
    </xf>
    <xf numFmtId="192" fontId="24" fillId="0" borderId="15" xfId="0" applyNumberFormat="1" applyFont="1" applyBorder="1" applyAlignment="1">
      <alignment horizontal="center" vertical="center" wrapText="1"/>
    </xf>
    <xf numFmtId="3" fontId="34" fillId="38" borderId="15" xfId="0" applyNumberFormat="1" applyFont="1" applyFill="1" applyBorder="1" applyAlignment="1">
      <alignment vertical="center" wrapText="1"/>
    </xf>
    <xf numFmtId="0" fontId="22" fillId="0" borderId="15" xfId="0" applyFont="1" applyBorder="1" applyAlignment="1">
      <alignment horizontal="center" vertical="center" wrapText="1"/>
    </xf>
    <xf numFmtId="0" fontId="22" fillId="3" borderId="15" xfId="0" applyFont="1" applyFill="1" applyBorder="1" applyAlignment="1">
      <alignment horizontal="justify" vertical="top" wrapText="1"/>
    </xf>
    <xf numFmtId="0" fontId="22" fillId="0" borderId="15" xfId="0" applyFont="1" applyFill="1" applyBorder="1" applyAlignment="1">
      <alignment horizontal="justify" vertical="top" wrapText="1"/>
    </xf>
    <xf numFmtId="3" fontId="103" fillId="0" borderId="15" xfId="0" applyNumberFormat="1" applyFont="1" applyFill="1" applyBorder="1" applyAlignment="1">
      <alignment horizontal="right" vertical="center" wrapText="1"/>
    </xf>
    <xf numFmtId="3" fontId="104" fillId="0" borderId="15" xfId="0" applyNumberFormat="1" applyFont="1" applyFill="1" applyBorder="1" applyAlignment="1">
      <alignment horizontal="right" vertical="center" wrapText="1"/>
    </xf>
    <xf numFmtId="9" fontId="104" fillId="0" borderId="15" xfId="0" applyNumberFormat="1" applyFont="1" applyFill="1" applyBorder="1" applyAlignment="1">
      <alignment horizontal="right" vertical="center" wrapText="1"/>
    </xf>
    <xf numFmtId="3" fontId="24" fillId="0" borderId="21" xfId="0" applyNumberFormat="1" applyFont="1" applyFill="1" applyBorder="1" applyAlignment="1">
      <alignment vertical="center" wrapText="1"/>
    </xf>
    <xf numFmtId="0" fontId="5" fillId="0" borderId="15" xfId="0" applyFont="1" applyFill="1" applyBorder="1" applyAlignment="1">
      <alignment horizontal="justify" vertical="top" wrapText="1"/>
    </xf>
    <xf numFmtId="3" fontId="102" fillId="0" borderId="15" xfId="0" applyNumberFormat="1" applyFont="1" applyFill="1" applyBorder="1" applyAlignment="1">
      <alignment horizontal="right" vertical="center" wrapText="1"/>
    </xf>
    <xf numFmtId="3" fontId="23" fillId="37" borderId="27" xfId="0" applyNumberFormat="1" applyFont="1" applyFill="1" applyBorder="1" applyAlignment="1">
      <alignment horizontal="center" vertical="center" wrapText="1"/>
    </xf>
    <xf numFmtId="4" fontId="23" fillId="40" borderId="27" xfId="0" applyNumberFormat="1" applyFont="1" applyFill="1" applyBorder="1" applyAlignment="1">
      <alignment horizontal="center" vertical="center" wrapText="1"/>
    </xf>
    <xf numFmtId="0" fontId="22" fillId="0" borderId="15" xfId="0" applyFont="1" applyFill="1" applyBorder="1" applyAlignment="1">
      <alignment horizontal="justify"/>
    </xf>
    <xf numFmtId="3" fontId="4" fillId="0" borderId="37" xfId="0" applyNumberFormat="1" applyFont="1" applyFill="1" applyBorder="1" applyAlignment="1">
      <alignment horizontal="right" vertical="center" wrapText="1"/>
    </xf>
    <xf numFmtId="3" fontId="5" fillId="41" borderId="15" xfId="0" applyNumberFormat="1" applyFont="1" applyFill="1" applyBorder="1" applyAlignment="1">
      <alignment vertical="center" wrapText="1"/>
    </xf>
    <xf numFmtId="3" fontId="4" fillId="4" borderId="15" xfId="0" applyNumberFormat="1" applyFont="1" applyFill="1" applyBorder="1" applyAlignment="1">
      <alignment vertical="center" wrapText="1"/>
    </xf>
    <xf numFmtId="0" fontId="22" fillId="0" borderId="15" xfId="0" applyFont="1" applyFill="1" applyBorder="1" applyAlignment="1">
      <alignment horizontal="justify" wrapText="1"/>
    </xf>
    <xf numFmtId="212" fontId="23" fillId="0" borderId="15" xfId="0" applyNumberFormat="1" applyFont="1" applyFill="1" applyBorder="1" applyAlignment="1">
      <alignment horizontal="right" vertical="center" wrapText="1"/>
    </xf>
    <xf numFmtId="3" fontId="23" fillId="40" borderId="15" xfId="0" applyNumberFormat="1" applyFont="1" applyFill="1" applyBorder="1" applyAlignment="1">
      <alignment horizontal="center" vertical="center" wrapText="1"/>
    </xf>
    <xf numFmtId="3" fontId="23" fillId="37" borderId="21" xfId="0" applyNumberFormat="1" applyFont="1" applyFill="1" applyBorder="1" applyAlignment="1">
      <alignment horizontal="center" vertical="center" wrapText="1"/>
    </xf>
    <xf numFmtId="3" fontId="5" fillId="42" borderId="15"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3" fontId="23" fillId="0" borderId="0" xfId="0" applyNumberFormat="1" applyFont="1" applyFill="1" applyBorder="1" applyAlignment="1">
      <alignment vertical="center" wrapText="1"/>
    </xf>
    <xf numFmtId="0" fontId="27" fillId="0" borderId="15" xfId="0" applyFont="1" applyFill="1" applyBorder="1" applyAlignment="1">
      <alignment horizontal="justify" vertical="center" wrapText="1"/>
    </xf>
    <xf numFmtId="3" fontId="23"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0" fontId="27" fillId="3" borderId="15" xfId="0" applyFont="1" applyFill="1" applyBorder="1" applyAlignment="1">
      <alignment horizontal="justify" vertical="center" wrapText="1"/>
    </xf>
    <xf numFmtId="3" fontId="4" fillId="41"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0" fontId="5" fillId="39"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39" borderId="0" xfId="0" applyNumberFormat="1" applyFont="1" applyFill="1" applyAlignment="1">
      <alignment horizontal="right" vertical="center" wrapText="1"/>
    </xf>
    <xf numFmtId="0" fontId="24" fillId="39" borderId="0" xfId="0" applyFont="1" applyFill="1" applyAlignment="1">
      <alignment vertical="center" wrapText="1"/>
    </xf>
    <xf numFmtId="0" fontId="105" fillId="0" borderId="0" xfId="0" applyFont="1" applyAlignment="1">
      <alignment wrapText="1"/>
    </xf>
    <xf numFmtId="0" fontId="106" fillId="0" borderId="0" xfId="0" applyFont="1" applyAlignment="1">
      <alignment wrapText="1"/>
    </xf>
    <xf numFmtId="0" fontId="19" fillId="0" borderId="0" xfId="0" applyFont="1" applyFill="1" applyAlignment="1">
      <alignment horizontal="center" vertical="center" wrapText="1"/>
    </xf>
    <xf numFmtId="0" fontId="4" fillId="0" borderId="38" xfId="0" applyFont="1" applyFill="1" applyBorder="1" applyAlignment="1">
      <alignment horizontal="center" vertical="top" wrapText="1"/>
    </xf>
    <xf numFmtId="0" fontId="12" fillId="0" borderId="13" xfId="0" applyFont="1" applyBorder="1" applyAlignment="1">
      <alignment horizontal="justify" vertical="top" wrapText="1"/>
    </xf>
    <xf numFmtId="0" fontId="11" fillId="43" borderId="13" xfId="0" applyFont="1" applyFill="1" applyBorder="1" applyAlignment="1">
      <alignment wrapText="1"/>
    </xf>
    <xf numFmtId="0" fontId="12" fillId="43"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3" fillId="32" borderId="15" xfId="0" applyNumberFormat="1" applyFont="1" applyFill="1" applyBorder="1" applyAlignment="1">
      <alignment vertical="top" wrapText="1"/>
    </xf>
    <xf numFmtId="3" fontId="22" fillId="0" borderId="15" xfId="0" applyNumberFormat="1" applyFont="1" applyFill="1" applyBorder="1" applyAlignment="1">
      <alignment vertical="top" wrapText="1"/>
    </xf>
    <xf numFmtId="3" fontId="22" fillId="0" borderId="27" xfId="0" applyNumberFormat="1" applyFont="1" applyFill="1" applyBorder="1" applyAlignment="1">
      <alignment vertical="top" wrapText="1"/>
    </xf>
    <xf numFmtId="3" fontId="23" fillId="4" borderId="15" xfId="0" applyNumberFormat="1"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Alignment="1">
      <alignment vertical="top" wrapText="1"/>
    </xf>
    <xf numFmtId="0" fontId="107" fillId="0" borderId="28" xfId="0" applyFont="1" applyFill="1" applyBorder="1" applyAlignment="1">
      <alignment vertical="center" wrapText="1"/>
    </xf>
    <xf numFmtId="0" fontId="107" fillId="0" borderId="0" xfId="0" applyFont="1" applyFill="1" applyAlignment="1">
      <alignment vertical="center" wrapText="1"/>
    </xf>
    <xf numFmtId="3" fontId="76" fillId="0" borderId="15" xfId="60" applyNumberFormat="1" applyFont="1" applyFill="1" applyBorder="1" applyAlignment="1">
      <alignment horizontal="justify" vertical="center" wrapText="1"/>
      <protection/>
    </xf>
    <xf numFmtId="3" fontId="27" fillId="0" borderId="15" xfId="0" applyNumberFormat="1" applyFont="1" applyFill="1" applyBorder="1" applyAlignment="1">
      <alignment horizontal="center" vertical="center" wrapText="1"/>
    </xf>
    <xf numFmtId="0" fontId="5" fillId="0" borderId="0" xfId="0" applyFont="1" applyAlignment="1">
      <alignment vertical="center" wrapText="1"/>
    </xf>
    <xf numFmtId="1" fontId="24" fillId="0" borderId="15" xfId="0" applyNumberFormat="1" applyFont="1" applyFill="1" applyBorder="1" applyAlignment="1">
      <alignment horizontal="center" vertical="center" wrapText="1"/>
    </xf>
    <xf numFmtId="3" fontId="23" fillId="44" borderId="28" xfId="0" applyNumberFormat="1" applyFont="1" applyFill="1" applyBorder="1" applyAlignment="1">
      <alignment horizontal="center" vertical="center" wrapText="1"/>
    </xf>
    <xf numFmtId="3" fontId="23" fillId="44" borderId="28" xfId="0" applyNumberFormat="1" applyFont="1" applyFill="1" applyBorder="1" applyAlignment="1">
      <alignment horizontal="right" vertical="center" wrapText="1"/>
    </xf>
    <xf numFmtId="3" fontId="24" fillId="44" borderId="15" xfId="0" applyNumberFormat="1" applyFont="1" applyFill="1" applyBorder="1" applyAlignment="1">
      <alignment horizontal="right" vertical="center" wrapText="1"/>
    </xf>
    <xf numFmtId="0" fontId="20" fillId="43" borderId="26" xfId="0" applyFont="1" applyFill="1" applyBorder="1" applyAlignment="1">
      <alignment horizontal="center" vertical="top" wrapText="1"/>
    </xf>
    <xf numFmtId="194" fontId="24" fillId="0" borderId="0" xfId="53" applyNumberFormat="1" applyFont="1" applyBorder="1" applyAlignment="1">
      <alignment vertical="center" wrapText="1"/>
    </xf>
    <xf numFmtId="0" fontId="29" fillId="37" borderId="26" xfId="60" applyFont="1" applyFill="1" applyBorder="1" applyAlignment="1">
      <alignment horizontal="center" vertical="center" wrapText="1"/>
      <protection/>
    </xf>
    <xf numFmtId="0" fontId="29" fillId="40" borderId="26" xfId="60" applyFont="1" applyFill="1" applyBorder="1" applyAlignment="1">
      <alignment horizontal="center" vertical="center" wrapText="1"/>
      <protection/>
    </xf>
    <xf numFmtId="0" fontId="29" fillId="33" borderId="29" xfId="60" applyFont="1" applyFill="1" applyBorder="1" applyAlignment="1">
      <alignment horizontal="center" vertical="center" wrapText="1"/>
      <protection/>
    </xf>
    <xf numFmtId="0" fontId="24" fillId="32" borderId="39" xfId="60" applyFont="1" applyFill="1" applyBorder="1" applyAlignment="1">
      <alignment horizontal="justify" vertical="center" wrapText="1"/>
      <protection/>
    </xf>
    <xf numFmtId="0" fontId="24" fillId="32" borderId="40" xfId="60" applyFont="1" applyFill="1" applyBorder="1" applyAlignment="1">
      <alignment horizontal="justify" vertical="center" wrapText="1"/>
      <protection/>
    </xf>
    <xf numFmtId="0" fontId="29" fillId="32" borderId="40" xfId="60" applyFont="1" applyFill="1" applyBorder="1" applyAlignment="1">
      <alignment horizontal="justify" vertical="center" wrapText="1"/>
      <protection/>
    </xf>
    <xf numFmtId="3" fontId="24" fillId="32" borderId="29" xfId="60" applyNumberFormat="1" applyFont="1" applyFill="1" applyBorder="1" applyAlignment="1">
      <alignment horizontal="left" vertical="center" wrapText="1"/>
      <protection/>
    </xf>
    <xf numFmtId="191" fontId="29" fillId="32" borderId="40" xfId="50" applyNumberFormat="1" applyFont="1" applyFill="1" applyBorder="1" applyAlignment="1">
      <alignment horizontal="right" vertical="center" wrapText="1"/>
    </xf>
    <xf numFmtId="3" fontId="29" fillId="32" borderId="29" xfId="60" applyNumberFormat="1" applyFont="1" applyFill="1" applyBorder="1" applyAlignment="1">
      <alignment horizontal="right" vertical="center" wrapText="1"/>
      <protection/>
    </xf>
    <xf numFmtId="191" fontId="29" fillId="32" borderId="40" xfId="50" applyNumberFormat="1" applyFont="1" applyFill="1" applyBorder="1" applyAlignment="1">
      <alignment horizontal="justify" vertical="center" wrapText="1"/>
    </xf>
    <xf numFmtId="3" fontId="29" fillId="32" borderId="40" xfId="60" applyNumberFormat="1" applyFont="1" applyFill="1" applyBorder="1" applyAlignment="1">
      <alignment horizontal="right" vertical="center" wrapText="1"/>
      <protection/>
    </xf>
    <xf numFmtId="3" fontId="29" fillId="32" borderId="29" xfId="60" applyNumberFormat="1" applyFont="1" applyFill="1" applyBorder="1" applyAlignment="1">
      <alignment horizontal="center" vertical="center" wrapText="1"/>
      <protection/>
    </xf>
    <xf numFmtId="0" fontId="24" fillId="3" borderId="24" xfId="60" applyFont="1" applyFill="1" applyBorder="1" applyAlignment="1">
      <alignment horizontal="justify" vertical="center" wrapText="1"/>
      <protection/>
    </xf>
    <xf numFmtId="0" fontId="24" fillId="0" borderId="28" xfId="60" applyFont="1" applyFill="1" applyBorder="1" applyAlignment="1">
      <alignment vertical="center" wrapText="1"/>
      <protection/>
    </xf>
    <xf numFmtId="0" fontId="37" fillId="0" borderId="15" xfId="60" applyFont="1" applyFill="1" applyBorder="1" applyAlignment="1">
      <alignment horizontal="center" vertical="center" wrapText="1"/>
      <protection/>
    </xf>
    <xf numFmtId="3" fontId="24" fillId="0" borderId="30" xfId="60" applyNumberFormat="1" applyFont="1" applyFill="1" applyBorder="1" applyAlignment="1">
      <alignment horizontal="right" vertical="center" wrapText="1"/>
      <protection/>
    </xf>
    <xf numFmtId="3" fontId="37" fillId="0" borderId="15" xfId="60" applyNumberFormat="1" applyFont="1" applyFill="1" applyBorder="1" applyAlignment="1">
      <alignment horizontal="center" vertical="center" wrapText="1"/>
      <protection/>
    </xf>
    <xf numFmtId="3" fontId="24" fillId="0" borderId="28" xfId="60" applyNumberFormat="1" applyFont="1" applyFill="1" applyBorder="1" applyAlignment="1">
      <alignment horizontal="right" vertical="center" wrapText="1"/>
      <protection/>
    </xf>
    <xf numFmtId="0" fontId="24" fillId="45" borderId="28" xfId="60" applyFont="1" applyFill="1" applyBorder="1" applyAlignment="1">
      <alignment vertical="center" wrapText="1"/>
      <protection/>
    </xf>
    <xf numFmtId="3" fontId="24" fillId="45" borderId="30" xfId="60" applyNumberFormat="1" applyFont="1" applyFill="1" applyBorder="1" applyAlignment="1">
      <alignment horizontal="right" vertical="center" wrapText="1"/>
      <protection/>
    </xf>
    <xf numFmtId="0" fontId="24" fillId="0" borderId="24" xfId="60" applyFont="1" applyFill="1" applyBorder="1" applyAlignment="1">
      <alignment horizontal="justify" vertical="center" wrapText="1"/>
      <protection/>
    </xf>
    <xf numFmtId="0" fontId="24" fillId="0" borderId="15" xfId="60" applyFont="1" applyFill="1" applyBorder="1" applyAlignment="1">
      <alignment horizontal="center" vertical="center" wrapText="1"/>
      <protection/>
    </xf>
    <xf numFmtId="4" fontId="24" fillId="0" borderId="30" xfId="60" applyNumberFormat="1" applyFont="1" applyFill="1" applyBorder="1" applyAlignment="1">
      <alignment horizontal="right" vertical="center" wrapText="1"/>
      <protection/>
    </xf>
    <xf numFmtId="0" fontId="24" fillId="0" borderId="31" xfId="60" applyFont="1" applyFill="1" applyBorder="1" applyAlignment="1">
      <alignment horizontal="justify" vertical="center" wrapText="1"/>
      <protection/>
    </xf>
    <xf numFmtId="0" fontId="24" fillId="0" borderId="15" xfId="60" applyFont="1" applyFill="1" applyBorder="1" applyAlignment="1">
      <alignment vertical="center" wrapText="1"/>
      <protection/>
    </xf>
    <xf numFmtId="0" fontId="24" fillId="0" borderId="29" xfId="60" applyFont="1" applyFill="1" applyBorder="1" applyAlignment="1">
      <alignment horizontal="center" vertical="center" wrapText="1"/>
      <protection/>
    </xf>
    <xf numFmtId="0" fontId="24" fillId="32" borderId="29" xfId="60" applyFont="1" applyFill="1" applyBorder="1" applyAlignment="1">
      <alignment horizontal="justify" vertical="center" wrapText="1"/>
      <protection/>
    </xf>
    <xf numFmtId="0" fontId="24" fillId="32" borderId="29" xfId="60" applyFont="1" applyFill="1" applyBorder="1" applyAlignment="1">
      <alignment horizontal="center" vertical="center" wrapText="1"/>
      <protection/>
    </xf>
    <xf numFmtId="3" fontId="24" fillId="32" borderId="29" xfId="60" applyNumberFormat="1" applyFont="1" applyFill="1" applyBorder="1" applyAlignment="1">
      <alignment horizontal="center" vertical="center" wrapText="1"/>
      <protection/>
    </xf>
    <xf numFmtId="3" fontId="29" fillId="44" borderId="15" xfId="60" applyNumberFormat="1" applyFont="1" applyFill="1" applyBorder="1" applyAlignment="1">
      <alignment horizontal="right" vertical="center" wrapText="1"/>
      <protection/>
    </xf>
    <xf numFmtId="3" fontId="24" fillId="44" borderId="15" xfId="60" applyNumberFormat="1" applyFont="1" applyFill="1" applyBorder="1" applyAlignment="1">
      <alignment horizontal="center" vertical="center" wrapText="1"/>
      <protection/>
    </xf>
    <xf numFmtId="3" fontId="24" fillId="44" borderId="29" xfId="60" applyNumberFormat="1" applyFont="1" applyFill="1" applyBorder="1" applyAlignment="1">
      <alignment horizontal="center" vertical="center" wrapText="1"/>
      <protection/>
    </xf>
    <xf numFmtId="0" fontId="37" fillId="0" borderId="15" xfId="60" applyFont="1" applyBorder="1" applyAlignment="1">
      <alignment horizontal="center" vertical="center" wrapText="1"/>
      <protection/>
    </xf>
    <xf numFmtId="0" fontId="24" fillId="45" borderId="15" xfId="60" applyFont="1" applyFill="1" applyBorder="1" applyAlignment="1">
      <alignment horizontal="center" vertical="center" wrapText="1"/>
      <protection/>
    </xf>
    <xf numFmtId="0" fontId="37" fillId="45" borderId="0" xfId="60" applyFont="1" applyFill="1" applyBorder="1" applyAlignment="1">
      <alignment horizontal="center" vertical="center" wrapText="1"/>
      <protection/>
    </xf>
    <xf numFmtId="3" fontId="37" fillId="0" borderId="40" xfId="60" applyNumberFormat="1" applyFont="1" applyFill="1" applyBorder="1" applyAlignment="1">
      <alignment horizontal="center" vertical="center" wrapText="1"/>
      <protection/>
    </xf>
    <xf numFmtId="0" fontId="24" fillId="32" borderId="33" xfId="60" applyFont="1" applyFill="1" applyBorder="1" applyAlignment="1">
      <alignment horizontal="justify" vertical="center" wrapText="1"/>
      <protection/>
    </xf>
    <xf numFmtId="0" fontId="24" fillId="32" borderId="15" xfId="60" applyFont="1" applyFill="1" applyBorder="1" applyAlignment="1">
      <alignment horizontal="justify" vertical="center" wrapText="1"/>
      <protection/>
    </xf>
    <xf numFmtId="0" fontId="24" fillId="32" borderId="27" xfId="60" applyFont="1" applyFill="1" applyBorder="1" applyAlignment="1">
      <alignment horizontal="center" vertical="center" wrapText="1"/>
      <protection/>
    </xf>
    <xf numFmtId="0" fontId="24" fillId="0" borderId="38" xfId="60" applyFont="1" applyFill="1" applyBorder="1" applyAlignment="1">
      <alignment vertical="center" wrapText="1"/>
      <protection/>
    </xf>
    <xf numFmtId="0" fontId="37" fillId="0" borderId="29" xfId="60" applyFont="1" applyFill="1" applyBorder="1" applyAlignment="1">
      <alignment horizontal="center" vertical="center" wrapText="1"/>
      <protection/>
    </xf>
    <xf numFmtId="0" fontId="29" fillId="46" borderId="24" xfId="60" applyFont="1" applyFill="1" applyBorder="1" applyAlignment="1">
      <alignment horizontal="center" vertical="center" wrapText="1"/>
      <protection/>
    </xf>
    <xf numFmtId="0" fontId="29" fillId="46" borderId="15" xfId="60" applyFont="1" applyFill="1" applyBorder="1" applyAlignment="1">
      <alignment horizontal="center" vertical="center" wrapText="1"/>
      <protection/>
    </xf>
    <xf numFmtId="3" fontId="29" fillId="33" borderId="15" xfId="60" applyNumberFormat="1" applyFont="1" applyFill="1" applyBorder="1" applyAlignment="1">
      <alignment horizontal="center" vertical="center" wrapText="1"/>
      <protection/>
    </xf>
    <xf numFmtId="3" fontId="29" fillId="33" borderId="15" xfId="60" applyNumberFormat="1" applyFont="1" applyFill="1" applyBorder="1" applyAlignment="1">
      <alignment horizontal="right" vertical="center" wrapText="1"/>
      <protection/>
    </xf>
    <xf numFmtId="3" fontId="29" fillId="33" borderId="29" xfId="60" applyNumberFormat="1" applyFont="1" applyFill="1" applyBorder="1" applyAlignment="1">
      <alignment horizontal="center" vertical="center" wrapText="1"/>
      <protection/>
    </xf>
    <xf numFmtId="0" fontId="24" fillId="32" borderId="27" xfId="60" applyFont="1" applyFill="1" applyBorder="1" applyAlignment="1">
      <alignment horizontal="justify" vertical="center" wrapText="1"/>
      <protection/>
    </xf>
    <xf numFmtId="3" fontId="24" fillId="44" borderId="27" xfId="60" applyNumberFormat="1" applyFont="1" applyFill="1" applyBorder="1" applyAlignment="1">
      <alignment horizontal="center" vertical="center" wrapText="1"/>
      <protection/>
    </xf>
    <xf numFmtId="0" fontId="24" fillId="32" borderId="24" xfId="60" applyFont="1" applyFill="1" applyBorder="1" applyAlignment="1">
      <alignment horizontal="justify" vertical="center" wrapText="1"/>
      <protection/>
    </xf>
    <xf numFmtId="0" fontId="24" fillId="32" borderId="37" xfId="60" applyFont="1" applyFill="1" applyBorder="1" applyAlignment="1">
      <alignment horizontal="justify" vertical="center" wrapText="1"/>
      <protection/>
    </xf>
    <xf numFmtId="0" fontId="24" fillId="32" borderId="40" xfId="60" applyFont="1" applyFill="1" applyBorder="1" applyAlignment="1">
      <alignment horizontal="center" vertical="center" wrapText="1"/>
      <protection/>
    </xf>
    <xf numFmtId="0" fontId="24" fillId="44" borderId="29" xfId="60" applyFont="1" applyFill="1" applyBorder="1" applyAlignment="1">
      <alignment horizontal="center" vertical="center" wrapText="1"/>
      <protection/>
    </xf>
    <xf numFmtId="3" fontId="29" fillId="44" borderId="27" xfId="60" applyNumberFormat="1" applyFont="1" applyFill="1" applyBorder="1" applyAlignment="1">
      <alignment horizontal="right" vertical="center" wrapText="1"/>
      <protection/>
    </xf>
    <xf numFmtId="0" fontId="24" fillId="44" borderId="40" xfId="60" applyFont="1" applyFill="1" applyBorder="1" applyAlignment="1">
      <alignment horizontal="center" vertical="center" wrapText="1"/>
      <protection/>
    </xf>
    <xf numFmtId="3" fontId="24" fillId="45" borderId="15" xfId="60" applyNumberFormat="1" applyFont="1" applyFill="1" applyBorder="1" applyAlignment="1">
      <alignment horizontal="right" vertical="center" wrapText="1"/>
      <protection/>
    </xf>
    <xf numFmtId="0" fontId="24" fillId="3" borderId="24" xfId="60" applyFont="1" applyFill="1" applyBorder="1" applyAlignment="1">
      <alignment horizontal="justify" wrapText="1"/>
      <protection/>
    </xf>
    <xf numFmtId="0" fontId="24" fillId="32" borderId="15" xfId="60" applyFont="1" applyFill="1" applyBorder="1" applyAlignment="1">
      <alignment horizontal="center" vertical="center" wrapText="1"/>
      <protection/>
    </xf>
    <xf numFmtId="0" fontId="24" fillId="44" borderId="27" xfId="60" applyFont="1" applyFill="1" applyBorder="1" applyAlignment="1">
      <alignment horizontal="center" vertical="center" wrapText="1"/>
      <protection/>
    </xf>
    <xf numFmtId="3" fontId="29" fillId="44" borderId="29" xfId="60" applyNumberFormat="1" applyFont="1" applyFill="1" applyBorder="1" applyAlignment="1">
      <alignment horizontal="right" vertical="center" wrapText="1"/>
      <protection/>
    </xf>
    <xf numFmtId="0" fontId="24" fillId="0" borderId="41" xfId="60" applyFont="1" applyFill="1" applyBorder="1" applyAlignment="1">
      <alignment vertical="center" wrapText="1"/>
      <protection/>
    </xf>
    <xf numFmtId="3" fontId="24" fillId="0" borderId="37" xfId="60" applyNumberFormat="1" applyFont="1" applyFill="1" applyBorder="1" applyAlignment="1">
      <alignment horizontal="right" vertical="center" wrapText="1"/>
      <protection/>
    </xf>
    <xf numFmtId="3" fontId="24" fillId="0" borderId="42" xfId="60" applyNumberFormat="1" applyFont="1" applyFill="1" applyBorder="1" applyAlignment="1">
      <alignment horizontal="right" vertical="center" wrapText="1"/>
      <protection/>
    </xf>
    <xf numFmtId="3" fontId="24" fillId="0" borderId="29" xfId="60" applyNumberFormat="1" applyFont="1" applyFill="1" applyBorder="1" applyAlignment="1">
      <alignment horizontal="right" vertical="center" wrapText="1"/>
      <protection/>
    </xf>
    <xf numFmtId="0" fontId="24" fillId="33" borderId="29" xfId="60" applyFont="1" applyFill="1" applyBorder="1" applyAlignment="1">
      <alignment vertical="center" wrapText="1"/>
      <protection/>
    </xf>
    <xf numFmtId="0" fontId="24" fillId="33" borderId="15" xfId="60" applyFont="1" applyFill="1" applyBorder="1" applyAlignment="1">
      <alignment vertical="center" wrapText="1"/>
      <protection/>
    </xf>
    <xf numFmtId="3" fontId="29" fillId="33" borderId="15" xfId="60" applyNumberFormat="1" applyFont="1" applyFill="1" applyBorder="1" applyAlignment="1">
      <alignment vertical="center" wrapText="1"/>
      <protection/>
    </xf>
    <xf numFmtId="194" fontId="29" fillId="33" borderId="15" xfId="60" applyNumberFormat="1" applyFont="1" applyFill="1" applyBorder="1" applyAlignment="1">
      <alignment vertical="center" wrapText="1"/>
      <protection/>
    </xf>
    <xf numFmtId="0" fontId="24" fillId="32" borderId="27" xfId="60" applyFont="1" applyFill="1" applyBorder="1" applyAlignment="1">
      <alignment vertical="center" wrapText="1"/>
      <protection/>
    </xf>
    <xf numFmtId="0" fontId="24" fillId="32" borderId="15" xfId="60" applyFont="1" applyFill="1" applyBorder="1" applyAlignment="1">
      <alignment vertical="center" wrapText="1"/>
      <protection/>
    </xf>
    <xf numFmtId="3" fontId="29" fillId="44" borderId="15" xfId="60" applyNumberFormat="1" applyFont="1" applyFill="1" applyBorder="1" applyAlignment="1">
      <alignment vertical="center" wrapText="1"/>
      <protection/>
    </xf>
    <xf numFmtId="0" fontId="24" fillId="44" borderId="15" xfId="60" applyFont="1" applyFill="1" applyBorder="1" applyAlignment="1">
      <alignment vertical="center" wrapText="1"/>
      <protection/>
    </xf>
    <xf numFmtId="3" fontId="24" fillId="0" borderId="15" xfId="60" applyNumberFormat="1" applyFont="1" applyFill="1" applyBorder="1" applyAlignment="1">
      <alignment horizontal="center" vertical="center" wrapText="1"/>
      <protection/>
    </xf>
    <xf numFmtId="194" fontId="29" fillId="44" borderId="15" xfId="53" applyNumberFormat="1" applyFont="1" applyFill="1" applyBorder="1" applyAlignment="1">
      <alignment horizontal="justify" vertical="center" wrapText="1"/>
    </xf>
    <xf numFmtId="0" fontId="24" fillId="0" borderId="29" xfId="60" applyFont="1" applyFill="1" applyBorder="1" applyAlignment="1">
      <alignment vertical="center" wrapText="1"/>
      <protection/>
    </xf>
    <xf numFmtId="0" fontId="24" fillId="0" borderId="15" xfId="60" applyFont="1" applyFill="1" applyBorder="1" applyAlignment="1">
      <alignment horizontal="right" vertical="center" wrapText="1"/>
      <protection/>
    </xf>
    <xf numFmtId="0" fontId="100" fillId="0" borderId="15" xfId="60" applyFont="1" applyFill="1" applyBorder="1" applyAlignment="1">
      <alignment horizontal="center" vertical="center"/>
      <protection/>
    </xf>
    <xf numFmtId="0" fontId="24" fillId="0" borderId="30" xfId="60" applyFont="1" applyFill="1" applyBorder="1" applyAlignment="1">
      <alignment vertical="center" wrapText="1"/>
      <protection/>
    </xf>
    <xf numFmtId="3" fontId="29" fillId="32" borderId="0" xfId="60" applyNumberFormat="1" applyFont="1" applyFill="1" applyBorder="1" applyAlignment="1">
      <alignment vertical="center" wrapText="1"/>
      <protection/>
    </xf>
    <xf numFmtId="0" fontId="24" fillId="32" borderId="0" xfId="60" applyFont="1" applyFill="1" applyBorder="1" applyAlignment="1">
      <alignment vertical="center" wrapText="1"/>
      <protection/>
    </xf>
    <xf numFmtId="3" fontId="29" fillId="32" borderId="29" xfId="60" applyNumberFormat="1" applyFont="1" applyFill="1" applyBorder="1" applyAlignment="1">
      <alignment vertical="center" wrapText="1"/>
      <protection/>
    </xf>
    <xf numFmtId="194" fontId="24" fillId="0" borderId="15" xfId="53" applyNumberFormat="1" applyFont="1" applyFill="1" applyBorder="1" applyAlignment="1">
      <alignment horizontal="right" vertical="center" wrapText="1"/>
    </xf>
    <xf numFmtId="0" fontId="24" fillId="44" borderId="0" xfId="60" applyFont="1" applyFill="1" applyBorder="1" applyAlignment="1">
      <alignment vertical="center" wrapText="1"/>
      <protection/>
    </xf>
    <xf numFmtId="0" fontId="29" fillId="33" borderId="15" xfId="60" applyFont="1" applyFill="1" applyBorder="1" applyAlignment="1">
      <alignment horizontal="center" vertical="center" wrapText="1"/>
      <protection/>
    </xf>
    <xf numFmtId="0" fontId="24" fillId="44" borderId="15" xfId="60" applyFont="1" applyFill="1" applyBorder="1" applyAlignment="1">
      <alignment horizontal="justify" vertical="center" wrapText="1"/>
      <protection/>
    </xf>
    <xf numFmtId="3" fontId="24" fillId="0" borderId="27" xfId="60" applyNumberFormat="1" applyFont="1" applyFill="1" applyBorder="1" applyAlignment="1">
      <alignment horizontal="right" vertical="center" wrapText="1"/>
      <protection/>
    </xf>
    <xf numFmtId="3" fontId="24" fillId="0" borderId="27" xfId="60" applyNumberFormat="1" applyFont="1" applyFill="1" applyBorder="1" applyAlignment="1">
      <alignment horizontal="center" vertical="center" wrapText="1"/>
      <protection/>
    </xf>
    <xf numFmtId="0" fontId="24" fillId="0" borderId="39" xfId="60" applyFont="1" applyFill="1" applyBorder="1" applyAlignment="1">
      <alignment horizontal="justify" vertical="center" wrapText="1"/>
      <protection/>
    </xf>
    <xf numFmtId="0" fontId="24" fillId="0" borderId="0" xfId="60" applyFont="1" applyFill="1" applyBorder="1" applyAlignment="1">
      <alignment vertical="center" wrapText="1"/>
      <protection/>
    </xf>
    <xf numFmtId="0" fontId="24" fillId="0" borderId="40" xfId="60" applyFont="1" applyFill="1" applyBorder="1" applyAlignment="1">
      <alignment horizontal="center" vertical="center" wrapText="1"/>
      <protection/>
    </xf>
    <xf numFmtId="3" fontId="24" fillId="0" borderId="40" xfId="60" applyNumberFormat="1" applyFont="1" applyFill="1" applyBorder="1" applyAlignment="1">
      <alignment horizontal="center" vertical="center" wrapText="1"/>
      <protection/>
    </xf>
    <xf numFmtId="4" fontId="22" fillId="43" borderId="15" xfId="0" applyNumberFormat="1" applyFont="1" applyFill="1" applyBorder="1" applyAlignment="1">
      <alignment horizontal="center" vertical="center" wrapText="1"/>
    </xf>
    <xf numFmtId="0" fontId="19" fillId="43" borderId="15" xfId="0" applyFont="1" applyFill="1" applyBorder="1" applyAlignment="1">
      <alignment horizontal="right" vertical="center" wrapText="1"/>
    </xf>
    <xf numFmtId="3" fontId="24" fillId="0" borderId="0" xfId="60" applyNumberFormat="1" applyFont="1" applyFill="1" applyAlignment="1">
      <alignment vertical="center" wrapText="1"/>
      <protection/>
    </xf>
    <xf numFmtId="194" fontId="24" fillId="0" borderId="0" xfId="53" applyNumberFormat="1" applyFont="1" applyFill="1" applyAlignment="1">
      <alignment vertical="center" wrapText="1"/>
    </xf>
    <xf numFmtId="212" fontId="29" fillId="0" borderId="43" xfId="0" applyNumberFormat="1" applyFont="1" applyFill="1" applyBorder="1" applyAlignment="1">
      <alignment horizontal="right" vertical="center" wrapText="1"/>
    </xf>
    <xf numFmtId="3" fontId="29" fillId="37" borderId="26" xfId="60" applyNumberFormat="1" applyFont="1" applyFill="1" applyBorder="1" applyAlignment="1">
      <alignment horizontal="center" vertical="center" wrapText="1"/>
      <protection/>
    </xf>
    <xf numFmtId="3" fontId="24" fillId="33" borderId="15" xfId="60" applyNumberFormat="1" applyFont="1" applyFill="1" applyBorder="1" applyAlignment="1">
      <alignment vertical="center" wrapText="1"/>
      <protection/>
    </xf>
    <xf numFmtId="0" fontId="24" fillId="45" borderId="38" xfId="60" applyFont="1" applyFill="1" applyBorder="1" applyAlignment="1">
      <alignment vertical="center" wrapText="1"/>
      <protection/>
    </xf>
    <xf numFmtId="0" fontId="24" fillId="45" borderId="44" xfId="60" applyFont="1" applyFill="1" applyBorder="1" applyAlignment="1">
      <alignment vertical="center" wrapText="1"/>
      <protection/>
    </xf>
    <xf numFmtId="194" fontId="29" fillId="37" borderId="35" xfId="53" applyNumberFormat="1" applyFont="1" applyFill="1" applyBorder="1" applyAlignment="1">
      <alignment horizontal="center" vertical="center" wrapText="1"/>
    </xf>
    <xf numFmtId="194" fontId="24" fillId="0" borderId="21" xfId="53" applyNumberFormat="1" applyFont="1" applyFill="1" applyBorder="1" applyAlignment="1">
      <alignment vertical="center" wrapText="1"/>
    </xf>
    <xf numFmtId="194" fontId="29" fillId="44" borderId="32" xfId="53" applyNumberFormat="1" applyFont="1" applyFill="1" applyBorder="1" applyAlignment="1">
      <alignment horizontal="right" vertical="center" wrapText="1"/>
    </xf>
    <xf numFmtId="222" fontId="0" fillId="0" borderId="0" xfId="60" applyNumberFormat="1" applyFont="1" applyFill="1" applyAlignment="1">
      <alignment vertical="center" wrapText="1"/>
      <protection/>
    </xf>
    <xf numFmtId="3" fontId="29" fillId="44" borderId="29" xfId="60" applyNumberFormat="1" applyFont="1" applyFill="1" applyBorder="1" applyAlignment="1">
      <alignment vertical="center" wrapText="1"/>
      <protection/>
    </xf>
    <xf numFmtId="194" fontId="29" fillId="46" borderId="21" xfId="53" applyNumberFormat="1" applyFont="1" applyFill="1" applyBorder="1" applyAlignment="1">
      <alignment horizontal="right" vertical="center" wrapText="1"/>
    </xf>
    <xf numFmtId="0" fontId="29" fillId="46" borderId="16" xfId="60" applyFont="1" applyFill="1" applyBorder="1" applyAlignment="1">
      <alignment horizontal="center" vertical="center" wrapText="1"/>
      <protection/>
    </xf>
    <xf numFmtId="0" fontId="29" fillId="33" borderId="17" xfId="60" applyFont="1" applyFill="1" applyBorder="1" applyAlignment="1">
      <alignment horizontal="center" vertical="center" wrapText="1"/>
      <protection/>
    </xf>
    <xf numFmtId="191" fontId="29" fillId="46" borderId="17" xfId="50" applyNumberFormat="1" applyFont="1" applyFill="1" applyBorder="1" applyAlignment="1">
      <alignment horizontal="center" vertical="center" wrapText="1"/>
    </xf>
    <xf numFmtId="0" fontId="22" fillId="47" borderId="24" xfId="0" applyFont="1" applyFill="1" applyBorder="1" applyAlignment="1">
      <alignment horizontal="justify" vertical="center" wrapText="1"/>
    </xf>
    <xf numFmtId="194" fontId="29" fillId="33" borderId="21" xfId="53" applyNumberFormat="1" applyFont="1" applyFill="1" applyBorder="1" applyAlignment="1">
      <alignment horizontal="right" vertical="center" wrapText="1"/>
    </xf>
    <xf numFmtId="37" fontId="0" fillId="0" borderId="0" xfId="60" applyNumberFormat="1" applyFont="1" applyFill="1" applyAlignment="1">
      <alignment vertical="center" wrapText="1"/>
      <protection/>
    </xf>
    <xf numFmtId="194" fontId="22" fillId="0" borderId="0" xfId="60" applyNumberFormat="1" applyFont="1" applyFill="1" applyAlignment="1">
      <alignment vertical="center" wrapText="1"/>
      <protection/>
    </xf>
    <xf numFmtId="3" fontId="29" fillId="33" borderId="45" xfId="60" applyNumberFormat="1" applyFont="1" applyFill="1" applyBorder="1" applyAlignment="1">
      <alignment horizontal="right" vertical="center" wrapText="1"/>
      <protection/>
    </xf>
    <xf numFmtId="194" fontId="29" fillId="33" borderId="46" xfId="60" applyNumberFormat="1" applyFont="1" applyFill="1" applyBorder="1" applyAlignment="1">
      <alignment horizontal="right" vertical="center" wrapText="1"/>
      <protection/>
    </xf>
    <xf numFmtId="3" fontId="29" fillId="0" borderId="0" xfId="60" applyNumberFormat="1" applyFont="1" applyFill="1" applyAlignment="1">
      <alignment vertical="center" wrapText="1"/>
      <protection/>
    </xf>
    <xf numFmtId="194" fontId="100" fillId="0" borderId="0" xfId="53" applyNumberFormat="1" applyFont="1" applyBorder="1" applyAlignment="1">
      <alignment vertical="center" wrapText="1"/>
    </xf>
    <xf numFmtId="194" fontId="104" fillId="37" borderId="26" xfId="53" applyNumberFormat="1" applyFont="1" applyFill="1" applyBorder="1" applyAlignment="1">
      <alignment horizontal="center" vertical="center" wrapText="1"/>
    </xf>
    <xf numFmtId="194" fontId="104" fillId="46" borderId="15" xfId="53" applyNumberFormat="1" applyFont="1" applyFill="1" applyBorder="1" applyAlignment="1">
      <alignment horizontal="right" vertical="center" wrapText="1"/>
    </xf>
    <xf numFmtId="3" fontId="104" fillId="44" borderId="27" xfId="60" applyNumberFormat="1" applyFont="1" applyFill="1" applyBorder="1" applyAlignment="1">
      <alignment horizontal="right" vertical="center" wrapText="1"/>
      <protection/>
    </xf>
    <xf numFmtId="194" fontId="100" fillId="0" borderId="15" xfId="53" applyNumberFormat="1" applyFont="1" applyFill="1" applyBorder="1" applyAlignment="1">
      <alignment vertical="center" wrapText="1"/>
    </xf>
    <xf numFmtId="194" fontId="104" fillId="33" borderId="15" xfId="53" applyNumberFormat="1" applyFont="1" applyFill="1" applyBorder="1" applyAlignment="1">
      <alignment horizontal="right" vertical="center" wrapText="1"/>
    </xf>
    <xf numFmtId="194" fontId="104" fillId="44" borderId="29" xfId="53" applyNumberFormat="1" applyFont="1" applyFill="1" applyBorder="1" applyAlignment="1">
      <alignment horizontal="right" vertical="center" wrapText="1"/>
    </xf>
    <xf numFmtId="3" fontId="104" fillId="33" borderId="45" xfId="60" applyNumberFormat="1" applyFont="1" applyFill="1" applyBorder="1" applyAlignment="1">
      <alignment horizontal="right" vertical="center" wrapText="1"/>
      <protection/>
    </xf>
    <xf numFmtId="194" fontId="108" fillId="0" borderId="0" xfId="53" applyNumberFormat="1" applyFont="1" applyFill="1" applyAlignment="1">
      <alignment vertical="center" wrapText="1"/>
    </xf>
    <xf numFmtId="194" fontId="29" fillId="44" borderId="34" xfId="60" applyNumberFormat="1" applyFont="1" applyFill="1" applyBorder="1" applyAlignment="1">
      <alignment horizontal="right" vertical="center" wrapText="1"/>
      <protection/>
    </xf>
    <xf numFmtId="0" fontId="24" fillId="44" borderId="24" xfId="60" applyFont="1" applyFill="1" applyBorder="1" applyAlignment="1">
      <alignment horizontal="justify" vertical="center" wrapText="1"/>
      <protection/>
    </xf>
    <xf numFmtId="0" fontId="24" fillId="44" borderId="27" xfId="60" applyFont="1" applyFill="1" applyBorder="1" applyAlignment="1">
      <alignment vertical="center" wrapText="1"/>
      <protection/>
    </xf>
    <xf numFmtId="3" fontId="29" fillId="44" borderId="27" xfId="60" applyNumberFormat="1" applyFont="1" applyFill="1" applyBorder="1" applyAlignment="1">
      <alignment horizontal="center" vertical="center" wrapText="1"/>
      <protection/>
    </xf>
    <xf numFmtId="3" fontId="100" fillId="0" borderId="15" xfId="0" applyNumberFormat="1" applyFont="1" applyFill="1" applyBorder="1" applyAlignment="1">
      <alignment horizontal="center" vertical="center" wrapText="1"/>
    </xf>
    <xf numFmtId="0" fontId="100" fillId="0" borderId="15" xfId="0" applyFont="1" applyFill="1" applyBorder="1" applyAlignment="1">
      <alignment horizontal="center" vertical="center" wrapText="1"/>
    </xf>
    <xf numFmtId="1" fontId="100" fillId="0" borderId="15" xfId="0" applyNumberFormat="1" applyFont="1" applyFill="1" applyBorder="1" applyAlignment="1">
      <alignment horizontal="center" vertical="center" wrapText="1"/>
    </xf>
    <xf numFmtId="192" fontId="100" fillId="0" borderId="27" xfId="0" applyNumberFormat="1" applyFont="1" applyFill="1" applyBorder="1" applyAlignment="1">
      <alignment horizontal="center" vertical="center" wrapText="1"/>
    </xf>
    <xf numFmtId="3" fontId="22" fillId="0" borderId="0" xfId="60" applyNumberFormat="1" applyFont="1" applyFill="1" applyBorder="1" applyAlignment="1">
      <alignment vertical="center" wrapText="1"/>
      <protection/>
    </xf>
    <xf numFmtId="3" fontId="24" fillId="0" borderId="21" xfId="60" applyNumberFormat="1" applyFont="1" applyFill="1" applyBorder="1" applyAlignment="1">
      <alignment horizontal="right" vertical="center" wrapText="1"/>
      <protection/>
    </xf>
    <xf numFmtId="194" fontId="24" fillId="0" borderId="21" xfId="0" applyNumberFormat="1" applyFont="1" applyFill="1" applyBorder="1" applyAlignment="1">
      <alignment horizontal="right" vertical="center" wrapText="1"/>
    </xf>
    <xf numFmtId="194" fontId="100" fillId="0" borderId="21" xfId="0" applyNumberFormat="1" applyFont="1" applyFill="1" applyBorder="1" applyAlignment="1">
      <alignment horizontal="right" vertical="center" wrapText="1"/>
    </xf>
    <xf numFmtId="3" fontId="24" fillId="0" borderId="27" xfId="0" applyNumberFormat="1" applyFont="1" applyFill="1" applyBorder="1" applyAlignment="1">
      <alignment horizontal="right" vertical="center" wrapText="1"/>
    </xf>
    <xf numFmtId="194" fontId="24" fillId="0" borderId="34" xfId="0" applyNumberFormat="1" applyFont="1" applyFill="1" applyBorder="1" applyAlignment="1">
      <alignment horizontal="right" vertical="center" wrapText="1"/>
    </xf>
    <xf numFmtId="0" fontId="0" fillId="0" borderId="47" xfId="60" applyFont="1" applyFill="1" applyBorder="1" applyAlignment="1">
      <alignment vertical="center" wrapText="1"/>
      <protection/>
    </xf>
    <xf numFmtId="0" fontId="0" fillId="0" borderId="48" xfId="60" applyFont="1" applyFill="1" applyBorder="1" applyAlignment="1">
      <alignment vertical="center" wrapText="1"/>
      <protection/>
    </xf>
    <xf numFmtId="3" fontId="20" fillId="0" borderId="48" xfId="60" applyNumberFormat="1" applyFont="1" applyFill="1" applyBorder="1" applyAlignment="1">
      <alignment vertical="center" wrapText="1"/>
      <protection/>
    </xf>
    <xf numFmtId="194" fontId="0" fillId="0" borderId="48" xfId="53" applyNumberFormat="1" applyFont="1" applyFill="1" applyBorder="1" applyAlignment="1">
      <alignment vertical="center" wrapText="1"/>
    </xf>
    <xf numFmtId="3" fontId="0" fillId="0" borderId="48" xfId="60" applyNumberFormat="1" applyFont="1" applyFill="1" applyBorder="1" applyAlignment="1">
      <alignment vertical="center" wrapText="1"/>
      <protection/>
    </xf>
    <xf numFmtId="194" fontId="108" fillId="0" borderId="48" xfId="53" applyNumberFormat="1" applyFont="1" applyFill="1" applyBorder="1" applyAlignment="1">
      <alignment vertical="center" wrapText="1"/>
    </xf>
    <xf numFmtId="194" fontId="0" fillId="0" borderId="49" xfId="53" applyNumberFormat="1" applyFont="1" applyFill="1" applyBorder="1" applyAlignment="1">
      <alignment vertical="center" wrapText="1"/>
    </xf>
    <xf numFmtId="0" fontId="41" fillId="0" borderId="0" xfId="60" applyFont="1" applyBorder="1" applyAlignment="1">
      <alignment vertical="center" wrapText="1"/>
      <protection/>
    </xf>
    <xf numFmtId="194" fontId="24" fillId="33" borderId="21" xfId="53" applyNumberFormat="1" applyFont="1" applyFill="1" applyBorder="1" applyAlignment="1">
      <alignment vertical="center" wrapText="1"/>
    </xf>
    <xf numFmtId="212" fontId="104" fillId="0" borderId="15" xfId="0" applyNumberFormat="1" applyFont="1" applyFill="1" applyBorder="1" applyAlignment="1">
      <alignment horizontal="right" vertical="center" wrapText="1"/>
    </xf>
    <xf numFmtId="0" fontId="19" fillId="39" borderId="19" xfId="0" applyFont="1" applyFill="1" applyBorder="1" applyAlignment="1">
      <alignment vertical="center" wrapText="1"/>
    </xf>
    <xf numFmtId="0" fontId="19" fillId="39" borderId="0" xfId="0" applyFont="1" applyFill="1" applyBorder="1" applyAlignment="1">
      <alignment vertical="center" wrapText="1"/>
    </xf>
    <xf numFmtId="0" fontId="5" fillId="39" borderId="0" xfId="0"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4" fontId="5" fillId="39" borderId="0" xfId="0" applyNumberFormat="1" applyFont="1" applyFill="1" applyBorder="1" applyAlignment="1">
      <alignment horizontal="right" vertical="center" wrapText="1"/>
    </xf>
    <xf numFmtId="4" fontId="5" fillId="39" borderId="22" xfId="0" applyNumberFormat="1" applyFont="1" applyFill="1" applyBorder="1" applyAlignment="1">
      <alignment horizontal="right" vertical="center" wrapText="1"/>
    </xf>
    <xf numFmtId="0" fontId="19" fillId="39" borderId="47" xfId="0" applyFont="1" applyFill="1" applyBorder="1" applyAlignment="1">
      <alignment vertical="center" wrapText="1"/>
    </xf>
    <xf numFmtId="0" fontId="19" fillId="39" borderId="48" xfId="0" applyFont="1" applyFill="1" applyBorder="1" applyAlignment="1">
      <alignment vertical="center" wrapText="1"/>
    </xf>
    <xf numFmtId="0" fontId="5" fillId="39" borderId="48" xfId="0" applyFont="1" applyFill="1" applyBorder="1" applyAlignment="1">
      <alignment horizontal="center" vertical="center" wrapText="1"/>
    </xf>
    <xf numFmtId="4" fontId="5" fillId="0" borderId="48" xfId="0" applyNumberFormat="1" applyFont="1" applyFill="1" applyBorder="1" applyAlignment="1">
      <alignment horizontal="right" vertical="center" wrapText="1"/>
    </xf>
    <xf numFmtId="4" fontId="5" fillId="39" borderId="48" xfId="0" applyNumberFormat="1" applyFont="1" applyFill="1" applyBorder="1" applyAlignment="1">
      <alignment horizontal="right" vertical="center" wrapText="1"/>
    </xf>
    <xf numFmtId="4" fontId="5" fillId="39" borderId="49" xfId="0" applyNumberFormat="1" applyFont="1" applyFill="1" applyBorder="1" applyAlignment="1">
      <alignment horizontal="right" vertical="center" wrapText="1"/>
    </xf>
    <xf numFmtId="0" fontId="4" fillId="0" borderId="26" xfId="0" applyFont="1" applyFill="1" applyBorder="1" applyAlignment="1">
      <alignment horizontal="center" vertical="top" wrapText="1"/>
    </xf>
    <xf numFmtId="3" fontId="29" fillId="4" borderId="29" xfId="0" applyNumberFormat="1" applyFont="1" applyFill="1" applyBorder="1" applyAlignment="1">
      <alignment horizontal="center" vertical="center" wrapText="1"/>
    </xf>
    <xf numFmtId="3" fontId="29" fillId="32" borderId="15" xfId="0" applyNumberFormat="1" applyFont="1" applyFill="1" applyBorder="1" applyAlignment="1">
      <alignment horizontal="center" vertical="center" wrapText="1"/>
    </xf>
    <xf numFmtId="3" fontId="24" fillId="0" borderId="27" xfId="0" applyNumberFormat="1" applyFont="1" applyFill="1" applyBorder="1" applyAlignment="1">
      <alignment horizontal="center" vertical="center" wrapText="1"/>
    </xf>
    <xf numFmtId="3" fontId="29" fillId="4" borderId="15" xfId="0" applyNumberFormat="1" applyFont="1" applyFill="1" applyBorder="1" applyAlignment="1">
      <alignment horizontal="center" vertical="center" wrapText="1"/>
    </xf>
    <xf numFmtId="3" fontId="29" fillId="36" borderId="26"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9" fontId="22" fillId="0" borderId="15" xfId="0" applyNumberFormat="1" applyFont="1" applyFill="1" applyBorder="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15" xfId="0" applyBorder="1" applyAlignment="1">
      <alignment horizontal="center" vertical="top" wrapText="1"/>
    </xf>
    <xf numFmtId="0" fontId="42" fillId="0" borderId="15" xfId="0" applyFont="1" applyFill="1" applyBorder="1" applyAlignment="1">
      <alignment horizontal="center" vertical="center" wrapText="1"/>
    </xf>
    <xf numFmtId="223" fontId="42" fillId="0" borderId="15" xfId="0" applyNumberFormat="1"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5" xfId="0" applyBorder="1" applyAlignment="1">
      <alignment vertical="center" wrapText="1"/>
    </xf>
    <xf numFmtId="0" fontId="0" fillId="0" borderId="15" xfId="0" applyFont="1" applyBorder="1" applyAlignment="1">
      <alignment horizontal="center" vertical="top" wrapText="1"/>
    </xf>
    <xf numFmtId="3" fontId="0" fillId="0" borderId="15" xfId="0" applyNumberFormat="1" applyBorder="1" applyAlignment="1">
      <alignment vertical="center" wrapText="1"/>
    </xf>
    <xf numFmtId="0" fontId="0" fillId="0" borderId="0" xfId="0" applyBorder="1" applyAlignment="1">
      <alignment/>
    </xf>
    <xf numFmtId="0" fontId="20" fillId="0" borderId="0" xfId="0" applyFont="1" applyAlignment="1" applyProtection="1">
      <alignment horizontal="center"/>
      <protection/>
    </xf>
    <xf numFmtId="0" fontId="0" fillId="0" borderId="0" xfId="0" applyAlignment="1" applyProtection="1">
      <alignment/>
      <protection/>
    </xf>
    <xf numFmtId="0" fontId="43" fillId="0" borderId="15" xfId="0" applyFont="1" applyBorder="1" applyAlignment="1" applyProtection="1">
      <alignment/>
      <protection/>
    </xf>
    <xf numFmtId="0" fontId="44" fillId="0" borderId="15" xfId="0" applyFont="1" applyBorder="1" applyAlignment="1" applyProtection="1">
      <alignment horizontal="center" vertical="top"/>
      <protection/>
    </xf>
    <xf numFmtId="0" fontId="20" fillId="0" borderId="15" xfId="0" applyFont="1" applyBorder="1" applyAlignment="1">
      <alignment/>
    </xf>
    <xf numFmtId="1" fontId="45" fillId="2" borderId="15" xfId="0" applyNumberFormat="1" applyFont="1" applyFill="1" applyBorder="1" applyAlignment="1" applyProtection="1">
      <alignment/>
      <protection/>
    </xf>
    <xf numFmtId="0" fontId="44" fillId="2" borderId="15" xfId="0" applyFont="1" applyFill="1" applyBorder="1" applyAlignment="1" applyProtection="1">
      <alignment/>
      <protection/>
    </xf>
    <xf numFmtId="3" fontId="44" fillId="2" borderId="15" xfId="55" applyNumberFormat="1" applyFont="1" applyFill="1" applyBorder="1" applyAlignment="1" applyProtection="1">
      <alignment/>
      <protection/>
    </xf>
    <xf numFmtId="4" fontId="0" fillId="0" borderId="15" xfId="0" applyNumberFormat="1" applyBorder="1" applyAlignment="1">
      <alignment/>
    </xf>
    <xf numFmtId="1" fontId="45" fillId="48" borderId="15" xfId="0" applyNumberFormat="1" applyFont="1" applyFill="1" applyBorder="1" applyAlignment="1" applyProtection="1">
      <alignment/>
      <protection/>
    </xf>
    <xf numFmtId="0" fontId="44" fillId="48" borderId="15" xfId="0" applyFont="1" applyFill="1" applyBorder="1" applyAlignment="1" applyProtection="1">
      <alignment/>
      <protection/>
    </xf>
    <xf numFmtId="3" fontId="44" fillId="48" borderId="15" xfId="55" applyNumberFormat="1" applyFont="1" applyFill="1" applyBorder="1" applyAlignment="1" applyProtection="1">
      <alignment/>
      <protection/>
    </xf>
    <xf numFmtId="1" fontId="45" fillId="4" borderId="15" xfId="0" applyNumberFormat="1" applyFont="1" applyFill="1" applyBorder="1" applyAlignment="1" applyProtection="1">
      <alignment/>
      <protection/>
    </xf>
    <xf numFmtId="0" fontId="44" fillId="4" borderId="15" xfId="0" applyFont="1" applyFill="1" applyBorder="1" applyAlignment="1" applyProtection="1">
      <alignment/>
      <protection/>
    </xf>
    <xf numFmtId="3" fontId="44" fillId="4" borderId="15" xfId="55" applyNumberFormat="1" applyFont="1" applyFill="1" applyBorder="1" applyAlignment="1" applyProtection="1">
      <alignment/>
      <protection/>
    </xf>
    <xf numFmtId="1" fontId="45" fillId="0" borderId="15" xfId="0" applyNumberFormat="1" applyFont="1" applyBorder="1" applyAlignment="1" applyProtection="1">
      <alignment/>
      <protection/>
    </xf>
    <xf numFmtId="0" fontId="43" fillId="0" borderId="15" xfId="0" applyFont="1" applyFill="1" applyBorder="1" applyAlignment="1" applyProtection="1">
      <alignment/>
      <protection/>
    </xf>
    <xf numFmtId="3" fontId="43" fillId="0" borderId="15" xfId="55" applyNumberFormat="1" applyFont="1" applyFill="1" applyBorder="1" applyAlignment="1" applyProtection="1">
      <alignment/>
      <protection/>
    </xf>
    <xf numFmtId="4" fontId="0" fillId="0" borderId="15" xfId="0" applyNumberFormat="1" applyFont="1" applyBorder="1" applyAlignment="1">
      <alignment/>
    </xf>
    <xf numFmtId="0" fontId="45" fillId="0" borderId="15" xfId="0" applyFont="1" applyFill="1" applyBorder="1" applyAlignment="1" applyProtection="1">
      <alignment/>
      <protection/>
    </xf>
    <xf numFmtId="3" fontId="45" fillId="0" borderId="15" xfId="55" applyNumberFormat="1" applyFont="1" applyFill="1" applyBorder="1" applyAlignment="1" applyProtection="1">
      <alignment/>
      <protection/>
    </xf>
    <xf numFmtId="0" fontId="44" fillId="0" borderId="15" xfId="0" applyFont="1" applyBorder="1" applyAlignment="1" applyProtection="1">
      <alignment/>
      <protection/>
    </xf>
    <xf numFmtId="3" fontId="44" fillId="0" borderId="15" xfId="55" applyNumberFormat="1" applyFont="1" applyBorder="1" applyAlignment="1" applyProtection="1">
      <alignment/>
      <protection/>
    </xf>
    <xf numFmtId="1" fontId="43" fillId="0" borderId="15" xfId="0" applyNumberFormat="1" applyFont="1" applyBorder="1" applyAlignment="1" applyProtection="1">
      <alignment/>
      <protection/>
    </xf>
    <xf numFmtId="3" fontId="45" fillId="0" borderId="15" xfId="55" applyNumberFormat="1" applyFont="1" applyBorder="1" applyAlignment="1" applyProtection="1">
      <alignment/>
      <protection/>
    </xf>
    <xf numFmtId="1" fontId="44" fillId="2" borderId="15" xfId="0" applyNumberFormat="1" applyFont="1" applyFill="1" applyBorder="1" applyAlignment="1" applyProtection="1">
      <alignment/>
      <protection/>
    </xf>
    <xf numFmtId="1" fontId="45" fillId="39" borderId="15" xfId="0" applyNumberFormat="1" applyFont="1" applyFill="1" applyBorder="1" applyAlignment="1" applyProtection="1">
      <alignment/>
      <protection/>
    </xf>
    <xf numFmtId="1" fontId="44" fillId="39" borderId="15" xfId="0" applyNumberFormat="1" applyFont="1" applyFill="1" applyBorder="1" applyAlignment="1" applyProtection="1">
      <alignment/>
      <protection/>
    </xf>
    <xf numFmtId="3" fontId="45" fillId="39" borderId="15" xfId="55" applyNumberFormat="1" applyFont="1" applyFill="1" applyBorder="1" applyAlignment="1" applyProtection="1">
      <alignment/>
      <protection/>
    </xf>
    <xf numFmtId="3" fontId="44" fillId="39" borderId="15" xfId="55" applyNumberFormat="1" applyFont="1" applyFill="1" applyBorder="1" applyAlignment="1" applyProtection="1">
      <alignment/>
      <protection/>
    </xf>
    <xf numFmtId="3" fontId="0" fillId="0" borderId="0" xfId="0" applyNumberFormat="1" applyAlignment="1" applyProtection="1">
      <alignment/>
      <protection/>
    </xf>
    <xf numFmtId="0" fontId="46" fillId="0" borderId="0" xfId="0" applyFont="1" applyAlignment="1" applyProtection="1">
      <alignment/>
      <protection/>
    </xf>
    <xf numFmtId="0" fontId="0" fillId="0" borderId="0" xfId="0" applyBorder="1" applyAlignment="1">
      <alignment vertical="center"/>
    </xf>
    <xf numFmtId="0" fontId="0" fillId="0" borderId="0" xfId="0" applyBorder="1" applyAlignment="1">
      <alignment horizontal="centerContinuous" vertical="center"/>
    </xf>
    <xf numFmtId="0" fontId="20" fillId="0" borderId="0" xfId="0" applyFont="1" applyBorder="1" applyAlignment="1" applyProtection="1">
      <alignment horizontal="centerContinuous" vertical="center"/>
      <protection/>
    </xf>
    <xf numFmtId="0" fontId="20" fillId="0" borderId="0" xfId="0" applyFont="1" applyBorder="1" applyAlignment="1" applyProtection="1">
      <alignment vertical="center"/>
      <protection/>
    </xf>
    <xf numFmtId="0" fontId="0" fillId="0" borderId="0" xfId="0" applyBorder="1" applyAlignment="1" applyProtection="1">
      <alignment vertical="center"/>
      <protection/>
    </xf>
    <xf numFmtId="0" fontId="20" fillId="0" borderId="15" xfId="0" applyFont="1" applyBorder="1" applyAlignment="1">
      <alignment horizontal="center" vertical="center"/>
    </xf>
    <xf numFmtId="0" fontId="13" fillId="0" borderId="15"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0" fillId="0" borderId="15" xfId="0" applyBorder="1" applyAlignment="1">
      <alignment vertical="center"/>
    </xf>
    <xf numFmtId="0" fontId="45" fillId="0" borderId="24" xfId="0" applyFont="1" applyFill="1" applyBorder="1" applyAlignment="1" applyProtection="1">
      <alignment vertical="center"/>
      <protection/>
    </xf>
    <xf numFmtId="4" fontId="45" fillId="0" borderId="15" xfId="0" applyNumberFormat="1" applyFont="1" applyFill="1" applyBorder="1" applyAlignment="1" applyProtection="1">
      <alignment vertical="center"/>
      <protection/>
    </xf>
    <xf numFmtId="4" fontId="45" fillId="0" borderId="28" xfId="0" applyNumberFormat="1" applyFont="1" applyFill="1" applyBorder="1" applyAlignment="1" applyProtection="1">
      <alignment vertical="center"/>
      <protection/>
    </xf>
    <xf numFmtId="4" fontId="0" fillId="0" borderId="15" xfId="0" applyNumberFormat="1" applyBorder="1" applyAlignment="1">
      <alignment vertical="center"/>
    </xf>
    <xf numFmtId="4" fontId="0" fillId="0" borderId="0" xfId="0" applyNumberFormat="1" applyFont="1" applyAlignment="1">
      <alignment vertical="center"/>
    </xf>
    <xf numFmtId="0" fontId="43" fillId="0" borderId="24" xfId="0" applyFont="1" applyFill="1" applyBorder="1" applyAlignment="1" applyProtection="1">
      <alignment vertical="center"/>
      <protection/>
    </xf>
    <xf numFmtId="4" fontId="43" fillId="0" borderId="15" xfId="0" applyNumberFormat="1" applyFont="1" applyFill="1" applyBorder="1" applyAlignment="1" applyProtection="1">
      <alignment vertical="center"/>
      <protection/>
    </xf>
    <xf numFmtId="4" fontId="43" fillId="0" borderId="28" xfId="0" applyNumberFormat="1" applyFont="1" applyFill="1" applyBorder="1" applyAlignment="1" applyProtection="1">
      <alignment vertical="center"/>
      <protection/>
    </xf>
    <xf numFmtId="4" fontId="43" fillId="0" borderId="24" xfId="0" applyNumberFormat="1" applyFont="1" applyBorder="1" applyAlignment="1" applyProtection="1">
      <alignment vertical="center"/>
      <protection/>
    </xf>
    <xf numFmtId="4" fontId="43" fillId="0" borderId="15" xfId="0" applyNumberFormat="1" applyFont="1" applyBorder="1" applyAlignment="1" applyProtection="1">
      <alignment vertical="center"/>
      <protection/>
    </xf>
    <xf numFmtId="4" fontId="0" fillId="0" borderId="15" xfId="0" applyNumberFormat="1" applyFont="1" applyBorder="1" applyAlignment="1">
      <alignment vertical="center"/>
    </xf>
    <xf numFmtId="0" fontId="48" fillId="21" borderId="50" xfId="0" applyFont="1" applyFill="1" applyBorder="1" applyAlignment="1">
      <alignment horizontal="justify" vertical="center" wrapText="1"/>
    </xf>
    <xf numFmtId="4" fontId="45" fillId="0" borderId="15" xfId="0" applyNumberFormat="1" applyFont="1" applyFill="1" applyBorder="1" applyAlignment="1" applyProtection="1">
      <alignment vertical="center" wrapText="1"/>
      <protection locked="0"/>
    </xf>
    <xf numFmtId="3" fontId="49" fillId="0" borderId="15" xfId="0" applyNumberFormat="1" applyFont="1" applyBorder="1" applyAlignment="1">
      <alignment wrapText="1"/>
    </xf>
    <xf numFmtId="4" fontId="43" fillId="0" borderId="15" xfId="0" applyNumberFormat="1" applyFont="1" applyFill="1" applyBorder="1" applyAlignment="1" applyProtection="1">
      <alignment vertical="center" wrapText="1"/>
      <protection locked="0"/>
    </xf>
    <xf numFmtId="4" fontId="109" fillId="0" borderId="15" xfId="0" applyNumberFormat="1" applyFont="1" applyFill="1" applyBorder="1" applyAlignment="1" applyProtection="1">
      <alignment vertical="center" wrapText="1"/>
      <protection locked="0"/>
    </xf>
    <xf numFmtId="3" fontId="0" fillId="0" borderId="15" xfId="0" applyNumberFormat="1" applyFont="1" applyBorder="1" applyAlignment="1">
      <alignment wrapText="1"/>
    </xf>
    <xf numFmtId="4" fontId="45" fillId="0" borderId="15" xfId="0" applyNumberFormat="1" applyFont="1" applyFill="1" applyBorder="1" applyAlignment="1" applyProtection="1">
      <alignment vertical="center" wrapText="1"/>
      <protection locked="0"/>
    </xf>
    <xf numFmtId="4" fontId="16" fillId="0" borderId="0" xfId="0" applyNumberFormat="1" applyFont="1" applyAlignment="1">
      <alignment/>
    </xf>
    <xf numFmtId="4" fontId="45" fillId="0" borderId="15" xfId="0" applyNumberFormat="1" applyFont="1" applyFill="1" applyBorder="1" applyAlignment="1" applyProtection="1">
      <alignment vertical="center"/>
      <protection/>
    </xf>
    <xf numFmtId="4" fontId="45" fillId="0" borderId="28" xfId="0" applyNumberFormat="1" applyFont="1" applyFill="1" applyBorder="1" applyAlignment="1" applyProtection="1">
      <alignment vertical="center"/>
      <protection/>
    </xf>
    <xf numFmtId="0" fontId="49" fillId="0" borderId="15" xfId="0" applyFont="1" applyBorder="1" applyAlignment="1">
      <alignment vertical="center" wrapText="1"/>
    </xf>
    <xf numFmtId="3" fontId="49" fillId="0" borderId="15" xfId="0" applyNumberFormat="1" applyFont="1" applyBorder="1" applyAlignment="1">
      <alignment horizontal="justify"/>
    </xf>
    <xf numFmtId="0" fontId="45" fillId="39" borderId="24" xfId="0" applyFont="1" applyFill="1" applyBorder="1" applyAlignment="1" applyProtection="1">
      <alignment vertical="center" wrapText="1"/>
      <protection locked="0"/>
    </xf>
    <xf numFmtId="0" fontId="45" fillId="39" borderId="24" xfId="0" applyFont="1" applyFill="1" applyBorder="1" applyAlignment="1" applyProtection="1">
      <alignment vertical="center"/>
      <protection/>
    </xf>
    <xf numFmtId="4" fontId="50" fillId="39" borderId="24" xfId="0" applyNumberFormat="1" applyFont="1" applyFill="1" applyBorder="1" applyAlignment="1" applyProtection="1">
      <alignment vertical="center"/>
      <protection/>
    </xf>
    <xf numFmtId="4" fontId="50" fillId="0" borderId="15" xfId="0" applyNumberFormat="1" applyFont="1" applyBorder="1" applyAlignment="1" applyProtection="1">
      <alignment vertical="center"/>
      <protection/>
    </xf>
    <xf numFmtId="0" fontId="45" fillId="39" borderId="25" xfId="0" applyFont="1" applyFill="1" applyBorder="1" applyAlignment="1" applyProtection="1">
      <alignment vertical="center"/>
      <protection/>
    </xf>
    <xf numFmtId="4" fontId="45" fillId="0" borderId="26" xfId="0" applyNumberFormat="1" applyFont="1" applyFill="1" applyBorder="1" applyAlignment="1" applyProtection="1">
      <alignment vertical="center"/>
      <protection/>
    </xf>
    <xf numFmtId="4" fontId="45" fillId="0" borderId="51" xfId="0" applyNumberFormat="1" applyFont="1" applyFill="1" applyBorder="1" applyAlignment="1" applyProtection="1">
      <alignment vertical="center"/>
      <protection/>
    </xf>
    <xf numFmtId="0" fontId="51" fillId="39" borderId="0" xfId="0" applyFont="1" applyFill="1" applyBorder="1" applyAlignment="1" applyProtection="1">
      <alignment horizontal="centerContinuous" vertical="center" wrapText="1"/>
      <protection/>
    </xf>
    <xf numFmtId="4" fontId="52" fillId="0" borderId="0" xfId="0" applyNumberFormat="1" applyFont="1" applyFill="1" applyBorder="1" applyAlignment="1" applyProtection="1">
      <alignment horizontal="centerContinuous" vertical="center" wrapText="1"/>
      <protection/>
    </xf>
    <xf numFmtId="0" fontId="52" fillId="0" borderId="0" xfId="0" applyFont="1" applyFill="1" applyBorder="1" applyAlignment="1" applyProtection="1">
      <alignment horizontal="centerContinuous" vertical="center" wrapText="1"/>
      <protection/>
    </xf>
    <xf numFmtId="1" fontId="45" fillId="39" borderId="0" xfId="0" applyNumberFormat="1" applyFont="1" applyFill="1" applyBorder="1" applyAlignment="1" applyProtection="1">
      <alignment horizontal="centerContinuous" vertical="center" wrapText="1"/>
      <protection/>
    </xf>
    <xf numFmtId="0" fontId="0" fillId="39"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0" fillId="39" borderId="0" xfId="0" applyFont="1" applyFill="1" applyAlignment="1">
      <alignment vertical="center"/>
    </xf>
    <xf numFmtId="0" fontId="0" fillId="39" borderId="0" xfId="0" applyFont="1" applyFill="1" applyAlignment="1">
      <alignment vertical="center"/>
    </xf>
    <xf numFmtId="0" fontId="0" fillId="39" borderId="0" xfId="0" applyFill="1" applyAlignment="1">
      <alignment vertical="center"/>
    </xf>
    <xf numFmtId="191" fontId="19" fillId="0" borderId="0" xfId="0" applyNumberFormat="1" applyFont="1" applyFill="1" applyAlignment="1">
      <alignment vertical="center" wrapText="1"/>
    </xf>
    <xf numFmtId="194" fontId="19" fillId="0" borderId="0" xfId="0" applyNumberFormat="1" applyFont="1" applyFill="1" applyAlignment="1">
      <alignment vertical="center" wrapText="1"/>
    </xf>
    <xf numFmtId="9" fontId="19" fillId="0" borderId="0" xfId="62" applyFont="1" applyFill="1" applyAlignment="1">
      <alignment vertical="center" wrapText="1"/>
    </xf>
    <xf numFmtId="189" fontId="19" fillId="0" borderId="0" xfId="50" applyFont="1" applyFill="1" applyAlignment="1">
      <alignment vertical="center" wrapText="1"/>
    </xf>
    <xf numFmtId="2" fontId="19" fillId="0" borderId="0" xfId="0" applyNumberFormat="1" applyFont="1" applyFill="1" applyAlignment="1">
      <alignment vertical="center" wrapText="1"/>
    </xf>
    <xf numFmtId="1" fontId="19" fillId="0" borderId="0" xfId="0" applyNumberFormat="1" applyFont="1" applyFill="1" applyAlignment="1">
      <alignment vertical="center" wrapText="1"/>
    </xf>
    <xf numFmtId="0" fontId="29" fillId="37" borderId="17" xfId="60" applyFont="1" applyFill="1" applyBorder="1" applyAlignment="1">
      <alignment horizontal="center" vertical="center" wrapText="1"/>
      <protection/>
    </xf>
    <xf numFmtId="194" fontId="29" fillId="37" borderId="52" xfId="53" applyNumberFormat="1" applyFont="1" applyFill="1" applyBorder="1" applyAlignment="1">
      <alignment horizontal="center" vertical="center" wrapText="1"/>
    </xf>
    <xf numFmtId="194" fontId="29" fillId="37" borderId="53" xfId="53" applyNumberFormat="1" applyFont="1" applyFill="1" applyBorder="1" applyAlignment="1">
      <alignment horizontal="center" vertical="center" wrapText="1"/>
    </xf>
    <xf numFmtId="0" fontId="29" fillId="46" borderId="54" xfId="60" applyFont="1" applyFill="1" applyBorder="1" applyAlignment="1">
      <alignment horizontal="center" vertical="center" wrapText="1"/>
      <protection/>
    </xf>
    <xf numFmtId="0" fontId="29" fillId="46" borderId="45" xfId="60" applyFont="1" applyFill="1" applyBorder="1" applyAlignment="1">
      <alignment horizontal="center" vertical="center" wrapText="1"/>
      <protection/>
    </xf>
    <xf numFmtId="0" fontId="40" fillId="49" borderId="19" xfId="60" applyFont="1" applyFill="1" applyBorder="1" applyAlignment="1">
      <alignment horizontal="center" vertical="center" wrapText="1"/>
      <protection/>
    </xf>
    <xf numFmtId="0" fontId="40" fillId="49" borderId="0" xfId="60" applyFont="1" applyFill="1" applyBorder="1" applyAlignment="1">
      <alignment horizontal="center" vertical="center" wrapText="1"/>
      <protection/>
    </xf>
    <xf numFmtId="0" fontId="29" fillId="0" borderId="55" xfId="60" applyFont="1" applyFill="1" applyBorder="1" applyAlignment="1">
      <alignment horizontal="center" vertical="center" wrapText="1"/>
      <protection/>
    </xf>
    <xf numFmtId="0" fontId="29" fillId="0" borderId="56" xfId="60" applyFont="1" applyFill="1" applyBorder="1" applyAlignment="1">
      <alignment horizontal="center" vertical="center" wrapText="1"/>
      <protection/>
    </xf>
    <xf numFmtId="0" fontId="29" fillId="37" borderId="16" xfId="60" applyFont="1" applyFill="1" applyBorder="1" applyAlignment="1">
      <alignment horizontal="center" vertical="center" wrapText="1"/>
      <protection/>
    </xf>
    <xf numFmtId="0" fontId="24" fillId="37" borderId="25" xfId="60" applyFont="1" applyFill="1" applyBorder="1" applyAlignment="1">
      <alignment horizontal="center" vertical="center" wrapText="1"/>
      <protection/>
    </xf>
    <xf numFmtId="0" fontId="29" fillId="37" borderId="26" xfId="60"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57"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61" xfId="0" applyFont="1" applyFill="1" applyBorder="1" applyAlignment="1">
      <alignment horizontal="left" vertical="center" wrapText="1"/>
    </xf>
    <xf numFmtId="0" fontId="0" fillId="0" borderId="62" xfId="0" applyBorder="1" applyAlignment="1">
      <alignment/>
    </xf>
    <xf numFmtId="0" fontId="0" fillId="0" borderId="53" xfId="0" applyBorder="1" applyAlignment="1">
      <alignment/>
    </xf>
    <xf numFmtId="0" fontId="4" fillId="0" borderId="30" xfId="0" applyFont="1" applyFill="1" applyBorder="1" applyAlignment="1">
      <alignment horizontal="center" vertical="top" wrapText="1"/>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37" borderId="24" xfId="0" applyFont="1" applyFill="1" applyBorder="1" applyAlignment="1">
      <alignment horizontal="center" vertical="center" wrapText="1"/>
    </xf>
    <xf numFmtId="0" fontId="29" fillId="37" borderId="15" xfId="0" applyFont="1" applyFill="1" applyBorder="1" applyAlignment="1">
      <alignment horizontal="center" vertical="center" wrapText="1"/>
    </xf>
    <xf numFmtId="0" fontId="19" fillId="39" borderId="15" xfId="0" applyFont="1" applyFill="1" applyBorder="1" applyAlignment="1">
      <alignment horizontal="center" vertical="center" wrapText="1"/>
    </xf>
    <xf numFmtId="0" fontId="19" fillId="39" borderId="21"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40"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20" fillId="37" borderId="15" xfId="0" applyFont="1" applyFill="1" applyBorder="1" applyAlignment="1">
      <alignment horizontal="center" vertical="center" wrapText="1"/>
    </xf>
    <xf numFmtId="4" fontId="20" fillId="37" borderId="15" xfId="0" applyNumberFormat="1" applyFont="1" applyFill="1" applyBorder="1" applyAlignment="1">
      <alignment horizontal="center" vertical="center" wrapText="1"/>
    </xf>
    <xf numFmtId="4" fontId="20" fillId="37" borderId="21" xfId="0" applyNumberFormat="1" applyFont="1" applyFill="1" applyBorder="1" applyAlignment="1">
      <alignment horizontal="center" vertical="center" wrapText="1"/>
    </xf>
    <xf numFmtId="0" fontId="33" fillId="0" borderId="33" xfId="0" applyFont="1" applyFill="1" applyBorder="1" applyAlignment="1">
      <alignment horizontal="center" vertical="top" wrapText="1"/>
    </xf>
    <xf numFmtId="0" fontId="33" fillId="0" borderId="39"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5" xfId="0" applyFont="1" applyFill="1" applyBorder="1" applyAlignment="1">
      <alignment horizontal="left" vertical="center" wrapText="1"/>
    </xf>
    <xf numFmtId="3" fontId="29" fillId="0" borderId="21" xfId="0" applyNumberFormat="1" applyFont="1" applyFill="1" applyBorder="1" applyAlignment="1">
      <alignment horizontal="right" vertical="center" wrapText="1"/>
    </xf>
    <xf numFmtId="0" fontId="24" fillId="0" borderId="21" xfId="0" applyFont="1" applyBorder="1" applyAlignment="1">
      <alignment/>
    </xf>
    <xf numFmtId="0" fontId="23" fillId="40" borderId="15" xfId="0" applyFont="1" applyFill="1" applyBorder="1" applyAlignment="1">
      <alignment horizontal="center" vertical="center" wrapText="1"/>
    </xf>
    <xf numFmtId="0" fontId="23" fillId="37" borderId="15" xfId="0" applyFont="1" applyFill="1" applyBorder="1" applyAlignment="1">
      <alignment horizontal="center" vertical="center" wrapText="1"/>
    </xf>
    <xf numFmtId="4" fontId="23" fillId="37" borderId="15" xfId="0" applyNumberFormat="1" applyFont="1" applyFill="1" applyBorder="1" applyAlignment="1">
      <alignment horizontal="center" vertical="center" wrapText="1"/>
    </xf>
    <xf numFmtId="4" fontId="23" fillId="37" borderId="21" xfId="0" applyNumberFormat="1"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40" borderId="15" xfId="0" applyFont="1" applyFill="1" applyBorder="1" applyAlignment="1">
      <alignment horizontal="center" vertical="center" wrapText="1"/>
    </xf>
    <xf numFmtId="3" fontId="33" fillId="0" borderId="15" xfId="0" applyNumberFormat="1"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28" xfId="0" applyFont="1" applyFill="1" applyBorder="1" applyAlignment="1">
      <alignment horizontal="center" vertical="top" wrapText="1"/>
    </xf>
    <xf numFmtId="0" fontId="33" fillId="0" borderId="27" xfId="0" applyFont="1" applyFill="1" applyBorder="1" applyAlignment="1">
      <alignment horizontal="center" vertical="top" wrapText="1"/>
    </xf>
    <xf numFmtId="0" fontId="23" fillId="40" borderId="27" xfId="0" applyFont="1" applyFill="1" applyBorder="1" applyAlignment="1">
      <alignment horizontal="center" vertical="center" wrapText="1"/>
    </xf>
    <xf numFmtId="0" fontId="23" fillId="37" borderId="27"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2" fillId="0" borderId="28" xfId="0" applyFont="1" applyFill="1" applyBorder="1" applyAlignment="1">
      <alignment/>
    </xf>
    <xf numFmtId="0" fontId="32" fillId="0" borderId="15" xfId="0" applyFont="1" applyFill="1" applyBorder="1" applyAlignment="1">
      <alignment/>
    </xf>
    <xf numFmtId="0" fontId="32" fillId="0" borderId="27" xfId="0" applyFont="1" applyFill="1" applyBorder="1" applyAlignment="1">
      <alignment/>
    </xf>
    <xf numFmtId="3" fontId="33" fillId="0" borderId="29" xfId="0" applyNumberFormat="1" applyFont="1" applyFill="1" applyBorder="1" applyAlignment="1">
      <alignment horizontal="left" vertical="center" wrapText="1"/>
    </xf>
    <xf numFmtId="3" fontId="29" fillId="0" borderId="21" xfId="0" applyNumberFormat="1"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23" fillId="37" borderId="31" xfId="0" applyFont="1" applyFill="1" applyBorder="1" applyAlignment="1">
      <alignment horizontal="center" vertical="center" wrapText="1"/>
    </xf>
    <xf numFmtId="0" fontId="23" fillId="40" borderId="29" xfId="0" applyFont="1" applyFill="1" applyBorder="1" applyAlignment="1">
      <alignment horizontal="center" vertical="center" wrapText="1"/>
    </xf>
    <xf numFmtId="0" fontId="33" fillId="0" borderId="24" xfId="0" applyFont="1" applyFill="1" applyBorder="1" applyAlignment="1">
      <alignment horizontal="center" vertical="top" wrapText="1"/>
    </xf>
    <xf numFmtId="0" fontId="33" fillId="0" borderId="29" xfId="0" applyFont="1" applyFill="1" applyBorder="1" applyAlignment="1">
      <alignment horizontal="left" vertical="center" wrapText="1"/>
    </xf>
    <xf numFmtId="0" fontId="33" fillId="37" borderId="24" xfId="0" applyFont="1" applyFill="1" applyBorder="1" applyAlignment="1">
      <alignment horizontal="left" vertical="justify" wrapText="1"/>
    </xf>
    <xf numFmtId="0" fontId="33" fillId="37" borderId="15" xfId="0" applyFont="1" applyFill="1" applyBorder="1" applyAlignment="1">
      <alignment horizontal="left" vertical="justify" wrapText="1"/>
    </xf>
    <xf numFmtId="3" fontId="29" fillId="0" borderId="35" xfId="0" applyNumberFormat="1" applyFont="1" applyFill="1" applyBorder="1" applyAlignment="1">
      <alignment horizontal="right" vertical="center" wrapText="1"/>
    </xf>
    <xf numFmtId="0" fontId="33" fillId="37" borderId="33" xfId="0" applyFont="1" applyFill="1" applyBorder="1" applyAlignment="1">
      <alignment horizontal="left" vertical="justify" wrapText="1"/>
    </xf>
    <xf numFmtId="0" fontId="33" fillId="37" borderId="27" xfId="0" applyFont="1" applyFill="1" applyBorder="1" applyAlignment="1">
      <alignment horizontal="left" vertical="justify" wrapText="1"/>
    </xf>
    <xf numFmtId="0" fontId="33" fillId="37" borderId="54" xfId="0" applyFont="1" applyFill="1" applyBorder="1" applyAlignment="1">
      <alignment horizontal="left" vertical="center" wrapText="1"/>
    </xf>
    <xf numFmtId="0" fontId="33" fillId="37" borderId="45" xfId="0" applyFont="1" applyFill="1" applyBorder="1" applyAlignment="1">
      <alignment horizontal="left" vertical="center" wrapText="1"/>
    </xf>
    <xf numFmtId="0" fontId="33" fillId="37" borderId="46" xfId="0" applyFont="1" applyFill="1" applyBorder="1" applyAlignment="1">
      <alignment horizontal="left" vertical="center" wrapText="1"/>
    </xf>
    <xf numFmtId="0" fontId="33" fillId="0" borderId="40" xfId="0" applyFont="1" applyFill="1" applyBorder="1" applyAlignment="1">
      <alignment horizontal="center" vertical="top" wrapText="1"/>
    </xf>
    <xf numFmtId="0" fontId="33" fillId="0" borderId="29" xfId="0" applyFont="1" applyFill="1" applyBorder="1" applyAlignment="1">
      <alignment horizontal="center" vertical="top" wrapText="1"/>
    </xf>
    <xf numFmtId="0" fontId="23" fillId="0" borderId="29"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9" fontId="23" fillId="37" borderId="24" xfId="52" applyNumberFormat="1" applyFont="1" applyFill="1" applyBorder="1" applyAlignment="1">
      <alignment horizontal="left" vertical="center" wrapText="1"/>
    </xf>
    <xf numFmtId="189" fontId="23" fillId="37" borderId="15" xfId="52" applyNumberFormat="1" applyFont="1" applyFill="1" applyBorder="1" applyAlignment="1">
      <alignment horizontal="left" vertical="center" wrapText="1"/>
    </xf>
    <xf numFmtId="189" fontId="23" fillId="37" borderId="21" xfId="52" applyNumberFormat="1" applyFont="1" applyFill="1" applyBorder="1" applyAlignment="1">
      <alignment horizontal="left" vertical="center" wrapText="1"/>
    </xf>
    <xf numFmtId="0" fontId="23" fillId="37" borderId="24" xfId="0" applyFont="1" applyFill="1" applyBorder="1" applyAlignment="1">
      <alignment horizontal="left" vertical="center" wrapText="1"/>
    </xf>
    <xf numFmtId="0" fontId="23" fillId="37" borderId="15" xfId="0" applyFont="1" applyFill="1" applyBorder="1" applyAlignment="1">
      <alignment horizontal="left" vertical="center" wrapText="1"/>
    </xf>
    <xf numFmtId="0" fontId="23" fillId="37" borderId="21" xfId="0" applyFont="1" applyFill="1" applyBorder="1" applyAlignment="1">
      <alignment horizontal="left" vertical="center" wrapText="1"/>
    </xf>
    <xf numFmtId="0" fontId="20" fillId="0" borderId="0" xfId="0" applyFont="1" applyBorder="1" applyAlignment="1" applyProtection="1">
      <alignment horizontal="center"/>
      <protection/>
    </xf>
    <xf numFmtId="0" fontId="20" fillId="0" borderId="0" xfId="0" applyFont="1" applyBorder="1" applyAlignment="1" applyProtection="1">
      <alignment horizontal="left"/>
      <protection/>
    </xf>
    <xf numFmtId="0" fontId="14" fillId="0" borderId="16"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7" xfId="0" applyFont="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0" fillId="0" borderId="15" xfId="0" applyBorder="1" applyAlignment="1">
      <alignment horizontal="center" vertical="center" wrapText="1"/>
    </xf>
    <xf numFmtId="0" fontId="0" fillId="0" borderId="0" xfId="0" applyAlignment="1">
      <alignment horizontal="left" wrapText="1"/>
    </xf>
    <xf numFmtId="0" fontId="0" fillId="50" borderId="0" xfId="0" applyFill="1" applyAlignment="1">
      <alignment/>
    </xf>
    <xf numFmtId="0" fontId="20" fillId="0" borderId="41" xfId="0" applyFont="1" applyBorder="1" applyAlignment="1">
      <alignment horizontal="center"/>
    </xf>
    <xf numFmtId="0" fontId="0" fillId="0" borderId="15" xfId="0" applyBorder="1" applyAlignment="1">
      <alignment horizontal="center" wrapText="1"/>
    </xf>
    <xf numFmtId="0" fontId="0" fillId="0" borderId="15" xfId="0" applyBorder="1" applyAlignment="1">
      <alignment vertical="center" wrapText="1"/>
    </xf>
    <xf numFmtId="0" fontId="0" fillId="0" borderId="15" xfId="0" applyFont="1" applyBorder="1" applyAlignment="1">
      <alignment vertical="center" wrapText="1"/>
    </xf>
    <xf numFmtId="0" fontId="20" fillId="0" borderId="15" xfId="0" applyFont="1" applyBorder="1" applyAlignment="1">
      <alignment horizontal="center" vertical="center" wrapText="1"/>
    </xf>
    <xf numFmtId="0" fontId="0" fillId="0" borderId="15" xfId="0" applyBorder="1" applyAlignment="1">
      <alignment horizontal="left" wrapText="1"/>
    </xf>
    <xf numFmtId="0" fontId="0" fillId="0" borderId="15" xfId="0" applyFont="1" applyBorder="1" applyAlignment="1">
      <alignment horizontal="center" vertical="center" wrapText="1"/>
    </xf>
    <xf numFmtId="0" fontId="10" fillId="4" borderId="18" xfId="0" applyFont="1" applyFill="1" applyBorder="1" applyAlignment="1">
      <alignment horizontal="center" wrapText="1"/>
    </xf>
    <xf numFmtId="0" fontId="10" fillId="4" borderId="64" xfId="0" applyFont="1" applyFill="1" applyBorder="1" applyAlignment="1">
      <alignment horizontal="center" wrapText="1"/>
    </xf>
    <xf numFmtId="0" fontId="10" fillId="4" borderId="47" xfId="0" applyFont="1" applyFill="1" applyBorder="1" applyAlignment="1">
      <alignment horizontal="center" wrapText="1"/>
    </xf>
    <xf numFmtId="0" fontId="10" fillId="4" borderId="11" xfId="0" applyFont="1" applyFill="1" applyBorder="1" applyAlignment="1">
      <alignment horizontal="center" wrapText="1"/>
    </xf>
    <xf numFmtId="0" fontId="10" fillId="0" borderId="48" xfId="0" applyFont="1" applyBorder="1" applyAlignment="1">
      <alignment horizontal="center"/>
    </xf>
    <xf numFmtId="3" fontId="82" fillId="0" borderId="0" xfId="60" applyNumberFormat="1" applyFont="1" applyFill="1" applyAlignment="1">
      <alignment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Currency" xfId="56"/>
    <cellStyle name="Currency [0]" xfId="57"/>
    <cellStyle name="Moneda 2" xfId="58"/>
    <cellStyle name="Neutral" xfId="59"/>
    <cellStyle name="Normal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3</xdr:row>
      <xdr:rowOff>19050</xdr:rowOff>
    </xdr:to>
    <xdr:pic>
      <xdr:nvPicPr>
        <xdr:cNvPr id="1" name="Imagen 1"/>
        <xdr:cNvPicPr preferRelativeResize="1">
          <a:picLocks noChangeAspect="1"/>
        </xdr:cNvPicPr>
      </xdr:nvPicPr>
      <xdr:blipFill>
        <a:blip r:embed="rId1"/>
        <a:srcRect l="72444" b="88700"/>
        <a:stretch>
          <a:fillRect/>
        </a:stretch>
      </xdr:blipFill>
      <xdr:spPr>
        <a:xfrm>
          <a:off x="0" y="0"/>
          <a:ext cx="9144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85725</xdr:rowOff>
    </xdr:from>
    <xdr:to>
      <xdr:col>0</xdr:col>
      <xdr:colOff>1543050</xdr:colOff>
      <xdr:row>3</xdr:row>
      <xdr:rowOff>142875</xdr:rowOff>
    </xdr:to>
    <xdr:pic>
      <xdr:nvPicPr>
        <xdr:cNvPr id="1" name="Imagen 1"/>
        <xdr:cNvPicPr preferRelativeResize="1">
          <a:picLocks noChangeAspect="1"/>
        </xdr:cNvPicPr>
      </xdr:nvPicPr>
      <xdr:blipFill>
        <a:blip r:embed="rId1"/>
        <a:srcRect l="72444" b="88700"/>
        <a:stretch>
          <a:fillRect/>
        </a:stretch>
      </xdr:blipFill>
      <xdr:spPr>
        <a:xfrm>
          <a:off x="285750" y="85725"/>
          <a:ext cx="12573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1038225</xdr:colOff>
      <xdr:row>0</xdr:row>
      <xdr:rowOff>1581150</xdr:rowOff>
    </xdr:to>
    <xdr:grpSp>
      <xdr:nvGrpSpPr>
        <xdr:cNvPr id="1" name="1 Grupo"/>
        <xdr:cNvGrpSpPr>
          <a:grpSpLocks/>
        </xdr:cNvGrpSpPr>
      </xdr:nvGrpSpPr>
      <xdr:grpSpPr>
        <a:xfrm>
          <a:off x="0" y="0"/>
          <a:ext cx="6172200" cy="1581150"/>
          <a:chOff x="57150" y="47625"/>
          <a:chExt cx="6181725" cy="1581150"/>
        </a:xfrm>
        <a:solidFill>
          <a:srgbClr val="FFFFFF"/>
        </a:solidFill>
      </xdr:grpSpPr>
      <xdr:pic>
        <xdr:nvPicPr>
          <xdr:cNvPr id="2" name="1 Imagen" descr="ESCUDO-transp-lema-blanco.png"/>
          <xdr:cNvPicPr preferRelativeResize="1">
            <a:picLocks noChangeAspect="1"/>
          </xdr:cNvPicPr>
        </xdr:nvPicPr>
        <xdr:blipFill>
          <a:blip r:embed="rId1"/>
          <a:stretch>
            <a:fillRect/>
          </a:stretch>
        </xdr:blipFill>
        <xdr:spPr>
          <a:xfrm>
            <a:off x="57150" y="47625"/>
            <a:ext cx="1210073" cy="1581150"/>
          </a:xfrm>
          <a:prstGeom prst="rect">
            <a:avLst/>
          </a:prstGeom>
          <a:noFill/>
          <a:ln w="9525" cmpd="sng">
            <a:noFill/>
          </a:ln>
        </xdr:spPr>
      </xdr:pic>
      <xdr:sp>
        <xdr:nvSpPr>
          <xdr:cNvPr id="3" name="3 CuadroTexto"/>
          <xdr:cNvSpPr txBox="1">
            <a:spLocks noChangeArrowheads="1"/>
          </xdr:cNvSpPr>
        </xdr:nvSpPr>
        <xdr:spPr>
          <a:xfrm>
            <a:off x="1431038" y="495486"/>
            <a:ext cx="4807837" cy="771601"/>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Vivienda y Desarrollo Territorial
</a:t>
            </a:r>
            <a:r>
              <a:rPr lang="en-US" cap="none" sz="1100" b="0" i="0" u="none" baseline="0">
                <a:solidFill>
                  <a:srgbClr val="FFFFFF"/>
                </a:solidFill>
                <a:latin typeface="Arial Narrow"/>
                <a:ea typeface="Arial Narrow"/>
                <a:cs typeface="Arial Narrow"/>
              </a:rPr>
              <a:t>Dirección de Planeación, Información y Coordinación Regional
</a:t>
            </a:r>
            <a:r>
              <a:rPr lang="en-US" cap="none" sz="1000" b="0" i="0" u="none" baseline="0">
                <a:solidFill>
                  <a:srgbClr val="FFFFFF"/>
                </a:solidFill>
                <a:latin typeface="Arial Narrow"/>
                <a:ea typeface="Arial Narrow"/>
                <a:cs typeface="Arial Narrow"/>
              </a:rPr>
              <a:t>República de Colombia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209550</xdr:colOff>
      <xdr:row>0</xdr:row>
      <xdr:rowOff>1581150</xdr:rowOff>
    </xdr:to>
    <xdr:pic>
      <xdr:nvPicPr>
        <xdr:cNvPr id="1" name="1 Imagen" descr="ESCUDO-transp-lema-blanco.png"/>
        <xdr:cNvPicPr preferRelativeResize="1">
          <a:picLocks noChangeAspect="1"/>
        </xdr:cNvPicPr>
      </xdr:nvPicPr>
      <xdr:blipFill>
        <a:blip r:embed="rId1"/>
        <a:stretch>
          <a:fillRect/>
        </a:stretch>
      </xdr:blipFill>
      <xdr:spPr>
        <a:xfrm>
          <a:off x="0" y="0"/>
          <a:ext cx="1409700" cy="1581150"/>
        </a:xfrm>
        <a:prstGeom prst="rect">
          <a:avLst/>
        </a:prstGeom>
        <a:noFill/>
        <a:ln w="9525" cmpd="sng">
          <a:noFill/>
        </a:ln>
      </xdr:spPr>
    </xdr:pic>
    <xdr:clientData/>
  </xdr:twoCellAnchor>
  <xdr:twoCellAnchor>
    <xdr:from>
      <xdr:col>1</xdr:col>
      <xdr:colOff>476250</xdr:colOff>
      <xdr:row>0</xdr:row>
      <xdr:rowOff>371475</xdr:rowOff>
    </xdr:from>
    <xdr:to>
      <xdr:col>6</xdr:col>
      <xdr:colOff>1066800</xdr:colOff>
      <xdr:row>0</xdr:row>
      <xdr:rowOff>1143000</xdr:rowOff>
    </xdr:to>
    <xdr:sp>
      <xdr:nvSpPr>
        <xdr:cNvPr id="2" name="5 CuadroTexto"/>
        <xdr:cNvSpPr txBox="1">
          <a:spLocks noChangeArrowheads="1"/>
        </xdr:cNvSpPr>
      </xdr:nvSpPr>
      <xdr:spPr>
        <a:xfrm>
          <a:off x="1676400" y="371475"/>
          <a:ext cx="6591300" cy="781050"/>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General de Ordenamiento Ambiental Territorial y Coordinación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SEPTIEMBRE%202015%20-%20NUEVA%20VERSION\Proyecto%203.1%20%20%20Jhon%20Estupi&#241;a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acortes.CAM\Downloads\POAI%202015%20CONSOLIDADO%20DICIEMBRE%2030%20DE%202015%20consolidado%2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esilva\Downloads\PROYECTO%2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1.1%20Leandro%20Vargas%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2.1%20Ing%20%20Fredy%20Antu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2.4%20Claudia%20Dayan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3.2%20%20Fredy%20Angari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4.1%20Juan%20Carlos%20Ortiz.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6.1%20Fredy%20Medin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SEPTIEMBRE%202015%20-%20NUEVA%20VERSION\Proyecto%204.2%20%20Edisney%20Silva%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SEPTIEMBRE%202015%20-%20NUEVA%20VERSION\Proyecto%202.4%20Claudia%20Daya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VANCE GESTION"/>
      <sheetName val="META EJECUTADA"/>
      <sheetName val="EJECUCION FINANCIERA"/>
    </sheetNames>
    <sheetDataSet>
      <sheetData sheetId="2">
        <row r="11">
          <cell r="I11">
            <v>63205472</v>
          </cell>
        </row>
        <row r="22">
          <cell r="I22">
            <v>169992887</v>
          </cell>
        </row>
        <row r="26">
          <cell r="I26">
            <v>29062984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YECTO 1.1"/>
      <sheetName val="PROYECTO 1.2"/>
      <sheetName val="PROYECTO 1.3"/>
      <sheetName val="PROYECTO 2.1"/>
      <sheetName val="PROYECTO 2.2."/>
      <sheetName val="PROYECTO 2.3 "/>
      <sheetName val="PROYECTO 2.4"/>
      <sheetName val="PROYECTO 3.1"/>
      <sheetName val="PROYECTO 3.2"/>
      <sheetName val="PROYECTO 4.1  POA."/>
      <sheetName val="PROYECTO 4.2 (2)"/>
      <sheetName val="PROYECTO 5.1"/>
      <sheetName val="PROYECTO 6.1 "/>
      <sheetName val="PROYECTO 6.2"/>
      <sheetName val="CONSOLIDADO POAI "/>
      <sheetName val="PAA"/>
      <sheetName val="FUENTES Y USOS 2015"/>
      <sheetName val="CONSOLIDADO AÑO AÑO"/>
      <sheetName val="COMPARACION PA"/>
      <sheetName val="AJUSTES DE PROYE 2.3, 3.2 Y 4.1"/>
    </sheetNames>
    <sheetDataSet>
      <sheetData sheetId="14">
        <row r="158">
          <cell r="F158">
            <v>92227440</v>
          </cell>
        </row>
        <row r="159">
          <cell r="F159">
            <v>25079920</v>
          </cell>
        </row>
        <row r="187">
          <cell r="F187">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ETA EJECUTADA "/>
      <sheetName val="EJECUCION FINANCIERA"/>
    </sheetNames>
    <sheetDataSet>
      <sheetData sheetId="1">
        <row r="18">
          <cell r="I18">
            <v>1239855020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 FISICA"/>
      <sheetName val="EJECUCION FINANCIERA"/>
    </sheetNames>
    <sheetDataSet>
      <sheetData sheetId="1">
        <row r="79">
          <cell r="I79">
            <v>12550000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AVANCE DE GESTION"/>
      <sheetName val="META EJECUTADA"/>
      <sheetName val="EJECUCION FINANCIER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VANCE GESTION"/>
      <sheetName val="META EJECUTADA "/>
      <sheetName val="EJECUCION FINANCIER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 AVANCE GESTION"/>
      <sheetName val="META EJECUTADA "/>
      <sheetName val="EJECUCION FINANCIERA"/>
    </sheetNames>
    <sheetDataSet>
      <sheetData sheetId="2">
        <row r="48">
          <cell r="I4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A EJECUTADA"/>
      <sheetName val="EJECUCION FINANCIERA"/>
    </sheetNames>
    <sheetDataSet>
      <sheetData sheetId="1">
        <row r="15">
          <cell r="I15">
            <v>8032000</v>
          </cell>
        </row>
        <row r="34">
          <cell r="I34">
            <v>71041435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sheetDataSet>
      <sheetData sheetId="2">
        <row r="14">
          <cell r="I14">
            <v>926647642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242"/>
  <sheetViews>
    <sheetView zoomScale="55" zoomScaleNormal="5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42" sqref="H42"/>
    </sheetView>
  </sheetViews>
  <sheetFormatPr defaultColWidth="11.421875" defaultRowHeight="12.75"/>
  <cols>
    <col min="1" max="1" width="62.7109375" style="104" customWidth="1"/>
    <col min="2" max="2" width="12.57421875" style="104" customWidth="1"/>
    <col min="3" max="3" width="22.28125" style="104" customWidth="1"/>
    <col min="4" max="4" width="11.28125" style="104" customWidth="1"/>
    <col min="5" max="5" width="25.8515625" style="109" customWidth="1"/>
    <col min="6" max="6" width="14.421875" style="104" customWidth="1"/>
    <col min="7" max="7" width="27.140625" style="110" customWidth="1"/>
    <col min="8" max="8" width="16.8515625" style="104" customWidth="1"/>
    <col min="9" max="9" width="25.28125" style="104" customWidth="1"/>
    <col min="10" max="10" width="14.421875" style="104" customWidth="1"/>
    <col min="11" max="11" width="24.8515625" style="104" customWidth="1"/>
    <col min="12" max="12" width="13.8515625" style="104" customWidth="1"/>
    <col min="13" max="13" width="24.57421875" style="104" customWidth="1"/>
    <col min="14" max="14" width="13.00390625" style="104" customWidth="1"/>
    <col min="15" max="15" width="26.00390625" style="104" customWidth="1"/>
    <col min="16" max="16" width="12.00390625" style="104" customWidth="1"/>
    <col min="17" max="17" width="24.8515625" style="104" customWidth="1"/>
    <col min="18" max="18" width="11.8515625" style="108" customWidth="1"/>
    <col min="19" max="19" width="24.57421875" style="108" customWidth="1"/>
    <col min="20" max="20" width="12.8515625" style="104" customWidth="1"/>
    <col min="21" max="21" width="26.7109375" style="107" customWidth="1"/>
    <col min="22" max="22" width="16.28125" style="393" customWidth="1"/>
    <col min="23" max="23" width="41.00390625" style="108" customWidth="1"/>
    <col min="24" max="24" width="11.421875" style="104" customWidth="1"/>
    <col min="25" max="25" width="19.140625" style="104" hidden="1" customWidth="1"/>
    <col min="26" max="26" width="20.421875" style="104" customWidth="1"/>
    <col min="27" max="27" width="14.8515625" style="104" bestFit="1" customWidth="1"/>
    <col min="28" max="29" width="11.421875" style="104" customWidth="1"/>
    <col min="30" max="30" width="16.421875" style="104" customWidth="1"/>
    <col min="31" max="16384" width="11.421875" style="104" customWidth="1"/>
  </cols>
  <sheetData>
    <row r="1" spans="1:23" s="415" customFormat="1" ht="54" customHeight="1" thickBot="1">
      <c r="A1" s="545" t="s">
        <v>345</v>
      </c>
      <c r="B1" s="546"/>
      <c r="C1" s="546"/>
      <c r="D1" s="546"/>
      <c r="E1" s="546"/>
      <c r="F1" s="546"/>
      <c r="G1" s="546"/>
      <c r="H1" s="546"/>
      <c r="I1" s="546"/>
      <c r="J1" s="546"/>
      <c r="K1" s="546"/>
      <c r="L1" s="546"/>
      <c r="M1" s="546"/>
      <c r="N1" s="546"/>
      <c r="O1" s="546"/>
      <c r="P1" s="546"/>
      <c r="Q1" s="546"/>
      <c r="R1" s="546"/>
      <c r="S1" s="546"/>
      <c r="T1" s="546"/>
      <c r="U1" s="546"/>
      <c r="V1" s="546"/>
      <c r="W1" s="546"/>
    </row>
    <row r="2" spans="1:23" s="103" customFormat="1" ht="11.25" customHeight="1" thickBot="1">
      <c r="A2" s="547"/>
      <c r="B2" s="548"/>
      <c r="C2" s="548"/>
      <c r="D2" s="548"/>
      <c r="E2" s="548"/>
      <c r="F2" s="548"/>
      <c r="G2" s="548"/>
      <c r="H2" s="548"/>
      <c r="I2" s="548"/>
      <c r="J2" s="548"/>
      <c r="K2" s="548"/>
      <c r="L2" s="548"/>
      <c r="M2" s="548"/>
      <c r="N2" s="548"/>
      <c r="O2" s="548"/>
      <c r="P2" s="548"/>
      <c r="Q2" s="548"/>
      <c r="R2" s="548"/>
      <c r="S2" s="548"/>
      <c r="T2" s="548"/>
      <c r="U2" s="548"/>
      <c r="V2" s="385"/>
      <c r="W2" s="269"/>
    </row>
    <row r="3" spans="1:23" ht="80.25" customHeight="1">
      <c r="A3" s="549" t="s">
        <v>346</v>
      </c>
      <c r="B3" s="540" t="s">
        <v>347</v>
      </c>
      <c r="C3" s="540" t="s">
        <v>348</v>
      </c>
      <c r="D3" s="540"/>
      <c r="E3" s="540"/>
      <c r="F3" s="540" t="s">
        <v>349</v>
      </c>
      <c r="G3" s="540"/>
      <c r="H3" s="540" t="s">
        <v>350</v>
      </c>
      <c r="I3" s="540"/>
      <c r="J3" s="540" t="s">
        <v>351</v>
      </c>
      <c r="K3" s="540"/>
      <c r="L3" s="540" t="s">
        <v>352</v>
      </c>
      <c r="M3" s="540"/>
      <c r="N3" s="540" t="s">
        <v>353</v>
      </c>
      <c r="O3" s="540"/>
      <c r="P3" s="540" t="s">
        <v>354</v>
      </c>
      <c r="Q3" s="540"/>
      <c r="R3" s="540" t="s">
        <v>355</v>
      </c>
      <c r="S3" s="540"/>
      <c r="T3" s="540" t="s">
        <v>547</v>
      </c>
      <c r="U3" s="540"/>
      <c r="V3" s="541" t="s">
        <v>548</v>
      </c>
      <c r="W3" s="542"/>
    </row>
    <row r="4" spans="1:23" s="105" customFormat="1" ht="54.75" customHeight="1" thickBot="1">
      <c r="A4" s="550"/>
      <c r="B4" s="551"/>
      <c r="C4" s="270" t="s">
        <v>129</v>
      </c>
      <c r="D4" s="270" t="s">
        <v>356</v>
      </c>
      <c r="E4" s="271" t="s">
        <v>357</v>
      </c>
      <c r="F4" s="270" t="s">
        <v>358</v>
      </c>
      <c r="G4" s="271" t="s">
        <v>357</v>
      </c>
      <c r="H4" s="270" t="s">
        <v>356</v>
      </c>
      <c r="I4" s="270" t="s">
        <v>357</v>
      </c>
      <c r="J4" s="270" t="s">
        <v>358</v>
      </c>
      <c r="K4" s="270" t="s">
        <v>357</v>
      </c>
      <c r="L4" s="270" t="s">
        <v>356</v>
      </c>
      <c r="M4" s="270" t="s">
        <v>357</v>
      </c>
      <c r="N4" s="270" t="s">
        <v>358</v>
      </c>
      <c r="O4" s="270" t="s">
        <v>357</v>
      </c>
      <c r="P4" s="270" t="s">
        <v>358</v>
      </c>
      <c r="Q4" s="270" t="s">
        <v>357</v>
      </c>
      <c r="R4" s="270" t="s">
        <v>358</v>
      </c>
      <c r="S4" s="270" t="s">
        <v>357</v>
      </c>
      <c r="T4" s="270" t="s">
        <v>358</v>
      </c>
      <c r="U4" s="365" t="s">
        <v>357</v>
      </c>
      <c r="V4" s="386" t="s">
        <v>358</v>
      </c>
      <c r="W4" s="369" t="s">
        <v>357</v>
      </c>
    </row>
    <row r="5" spans="1:23" ht="53.25" customHeight="1">
      <c r="A5" s="375" t="s">
        <v>359</v>
      </c>
      <c r="B5" s="376"/>
      <c r="C5" s="376"/>
      <c r="D5" s="376"/>
      <c r="E5" s="377">
        <f>+E6+E19+E24</f>
        <v>10404037688.528</v>
      </c>
      <c r="F5" s="377"/>
      <c r="G5" s="377">
        <f>+G6+G19+G24</f>
        <v>10113179375</v>
      </c>
      <c r="H5" s="377"/>
      <c r="I5" s="377">
        <f>+I6+I19+I24</f>
        <v>3904260537</v>
      </c>
      <c r="J5" s="377"/>
      <c r="K5" s="377">
        <f>+K6+K19+K24</f>
        <v>3765525848</v>
      </c>
      <c r="L5" s="377"/>
      <c r="M5" s="377">
        <f>+M6+M19+M24</f>
        <v>2527270262</v>
      </c>
      <c r="N5" s="377"/>
      <c r="O5" s="377">
        <f>+O6+O19+O24</f>
        <v>2467359457</v>
      </c>
      <c r="P5" s="377"/>
      <c r="Q5" s="377">
        <f>+Q6+Q19+Q24</f>
        <v>1765200000</v>
      </c>
      <c r="R5" s="377"/>
      <c r="S5" s="377">
        <f>+S6+S19+S24</f>
        <v>1763614296</v>
      </c>
      <c r="T5" s="377"/>
      <c r="U5" s="377">
        <f>+U6+U19+U24</f>
        <v>2207306889.528</v>
      </c>
      <c r="V5" s="377"/>
      <c r="W5" s="377">
        <f>+W6+W19+W24</f>
        <v>2116679774</v>
      </c>
    </row>
    <row r="6" spans="1:30" ht="81.75" customHeight="1">
      <c r="A6" s="273" t="s">
        <v>360</v>
      </c>
      <c r="B6" s="274"/>
      <c r="C6" s="275"/>
      <c r="D6" s="276"/>
      <c r="E6" s="277">
        <f>SUM(E7:E18)</f>
        <v>9020807693.8</v>
      </c>
      <c r="F6" s="278"/>
      <c r="G6" s="279">
        <f>SUM(G7:G18)</f>
        <v>8758845582</v>
      </c>
      <c r="H6" s="280"/>
      <c r="I6" s="278">
        <f>SUM(I7:I18)</f>
        <v>3816569342</v>
      </c>
      <c r="J6" s="278"/>
      <c r="K6" s="278">
        <f>SUM(K7:K18)</f>
        <v>3678123993</v>
      </c>
      <c r="L6" s="281"/>
      <c r="M6" s="278">
        <f>SUM(M7:M18)</f>
        <v>2202270262</v>
      </c>
      <c r="N6" s="278"/>
      <c r="O6" s="278">
        <f>SUM(O7:O18)</f>
        <v>2152968037</v>
      </c>
      <c r="P6" s="278"/>
      <c r="Q6" s="278">
        <f>SUM(Q7:Q18)</f>
        <v>1340200000</v>
      </c>
      <c r="R6" s="278"/>
      <c r="S6" s="278">
        <f>SUM(S7:S18)</f>
        <v>1339774513</v>
      </c>
      <c r="T6" s="328"/>
      <c r="U6" s="328">
        <f>SUM(U7:U18)</f>
        <v>1661768089.8</v>
      </c>
      <c r="V6" s="391"/>
      <c r="W6" s="371">
        <f>SUM(W7:W18)</f>
        <v>1587979039</v>
      </c>
      <c r="AD6" s="106"/>
    </row>
    <row r="7" spans="1:26" ht="116.25" customHeight="1">
      <c r="A7" s="282" t="s">
        <v>215</v>
      </c>
      <c r="B7" s="283" t="s">
        <v>361</v>
      </c>
      <c r="C7" s="284" t="s">
        <v>362</v>
      </c>
      <c r="D7" s="285">
        <f>+H7+L7+P7+T7</f>
        <v>106414</v>
      </c>
      <c r="E7" s="120">
        <f>+I7+M7+Q7+U7</f>
        <v>140871739</v>
      </c>
      <c r="F7" s="120">
        <f>+J7+N7+R7+V7</f>
        <v>110813</v>
      </c>
      <c r="G7" s="120">
        <f>+K7+O7+S7+W7</f>
        <v>140834757</v>
      </c>
      <c r="H7" s="284">
        <v>0</v>
      </c>
      <c r="I7" s="120">
        <v>0</v>
      </c>
      <c r="J7" s="120">
        <v>0</v>
      </c>
      <c r="K7" s="120">
        <v>0</v>
      </c>
      <c r="L7" s="120">
        <v>56864</v>
      </c>
      <c r="M7" s="120">
        <v>39646037</v>
      </c>
      <c r="N7" s="120">
        <v>56864</v>
      </c>
      <c r="O7" s="120">
        <v>39609055</v>
      </c>
      <c r="P7" s="120">
        <v>46550</v>
      </c>
      <c r="Q7" s="120">
        <v>75718078</v>
      </c>
      <c r="R7" s="120">
        <v>50949</v>
      </c>
      <c r="S7" s="120">
        <v>75718078</v>
      </c>
      <c r="T7" s="120">
        <v>3000</v>
      </c>
      <c r="U7" s="120">
        <v>25507624</v>
      </c>
      <c r="V7" s="119">
        <v>3000</v>
      </c>
      <c r="W7" s="370">
        <v>25507624</v>
      </c>
      <c r="Y7" s="104">
        <f>50+25+15+35+50</f>
        <v>175</v>
      </c>
      <c r="Z7" s="380"/>
    </row>
    <row r="8" spans="1:26" ht="84.75" customHeight="1">
      <c r="A8" s="282" t="s">
        <v>216</v>
      </c>
      <c r="B8" s="283" t="s">
        <v>363</v>
      </c>
      <c r="C8" s="284" t="s">
        <v>364</v>
      </c>
      <c r="D8" s="285">
        <f>AVERAGE(H8,L8,P8,T8)</f>
        <v>330314</v>
      </c>
      <c r="E8" s="120">
        <f aca="true" t="shared" si="0" ref="E8:E18">+I8+M8+Q8+U8</f>
        <v>3391604139.8</v>
      </c>
      <c r="F8" s="120">
        <f>AVERAGE(J8,N8,R8,V8)</f>
        <v>330314</v>
      </c>
      <c r="G8" s="120">
        <f aca="true" t="shared" si="1" ref="G8:G18">+K8+O8+S8+W8</f>
        <v>3253061533</v>
      </c>
      <c r="H8" s="286">
        <v>330314</v>
      </c>
      <c r="I8" s="285">
        <v>1580459393</v>
      </c>
      <c r="J8" s="120">
        <v>330314</v>
      </c>
      <c r="K8" s="287">
        <v>1476728917</v>
      </c>
      <c r="L8" s="120">
        <v>330314</v>
      </c>
      <c r="M8" s="120">
        <v>717591847</v>
      </c>
      <c r="N8" s="120">
        <v>330314</v>
      </c>
      <c r="O8" s="120">
        <v>705940910</v>
      </c>
      <c r="P8" s="120">
        <v>330314</v>
      </c>
      <c r="Q8" s="120">
        <v>447745281</v>
      </c>
      <c r="R8" s="120">
        <v>330314</v>
      </c>
      <c r="S8" s="120">
        <v>447606250</v>
      </c>
      <c r="T8" s="120">
        <v>330314</v>
      </c>
      <c r="U8" s="120">
        <v>645807618.8</v>
      </c>
      <c r="V8" s="398">
        <v>330314</v>
      </c>
      <c r="W8" s="370">
        <v>622785456</v>
      </c>
      <c r="Y8" s="104">
        <f>+Y7*700</f>
        <v>122500</v>
      </c>
      <c r="Z8" s="106"/>
    </row>
    <row r="9" spans="1:25" ht="84.75" customHeight="1">
      <c r="A9" s="282" t="s">
        <v>217</v>
      </c>
      <c r="B9" s="288" t="s">
        <v>363</v>
      </c>
      <c r="C9" s="284" t="s">
        <v>362</v>
      </c>
      <c r="D9" s="289">
        <f>+H9+L9+P9+T9</f>
        <v>120000</v>
      </c>
      <c r="E9" s="120">
        <f>+I9+M9+Q9+U9</f>
        <v>106617186</v>
      </c>
      <c r="F9" s="120">
        <f>+J9+N9+R9+V9</f>
        <v>131228</v>
      </c>
      <c r="G9" s="120">
        <f t="shared" si="1"/>
        <v>106617185</v>
      </c>
      <c r="H9" s="286">
        <v>20000</v>
      </c>
      <c r="I9" s="285">
        <v>15055241</v>
      </c>
      <c r="J9" s="120">
        <v>20000</v>
      </c>
      <c r="K9" s="287">
        <v>15055241</v>
      </c>
      <c r="L9" s="120">
        <v>40000</v>
      </c>
      <c r="M9" s="120">
        <v>27432766</v>
      </c>
      <c r="N9" s="120">
        <v>40000</v>
      </c>
      <c r="O9" s="120">
        <v>27432765</v>
      </c>
      <c r="P9" s="120">
        <v>30000</v>
      </c>
      <c r="Q9" s="120">
        <v>25692258</v>
      </c>
      <c r="R9" s="120">
        <v>30000</v>
      </c>
      <c r="S9" s="120">
        <v>25692258</v>
      </c>
      <c r="T9" s="120">
        <v>30000</v>
      </c>
      <c r="U9" s="120">
        <v>38436921</v>
      </c>
      <c r="V9" s="119">
        <v>41228</v>
      </c>
      <c r="W9" s="370">
        <v>38436921</v>
      </c>
      <c r="Y9" s="104">
        <f>+Y8+24000</f>
        <v>146500</v>
      </c>
    </row>
    <row r="10" spans="1:23" ht="84.75" customHeight="1">
      <c r="A10" s="282" t="s">
        <v>218</v>
      </c>
      <c r="B10" s="283" t="s">
        <v>363</v>
      </c>
      <c r="C10" s="284" t="s">
        <v>364</v>
      </c>
      <c r="D10" s="285">
        <f>AVERAGE(H10,L10,P10,T10)</f>
        <v>4145</v>
      </c>
      <c r="E10" s="120">
        <f>+I10+M10+Q10+U10</f>
        <v>102187777</v>
      </c>
      <c r="F10" s="120">
        <f>AVERAGE(J10,N10,R10)</f>
        <v>4144.666666666667</v>
      </c>
      <c r="G10" s="120">
        <f t="shared" si="1"/>
        <v>101461576</v>
      </c>
      <c r="H10" s="286">
        <v>4145</v>
      </c>
      <c r="I10" s="285">
        <v>16850313</v>
      </c>
      <c r="J10" s="286">
        <v>4145</v>
      </c>
      <c r="K10" s="287">
        <v>16850313</v>
      </c>
      <c r="L10" s="120">
        <v>4145</v>
      </c>
      <c r="M10" s="120">
        <v>17161324</v>
      </c>
      <c r="N10" s="120">
        <v>4145</v>
      </c>
      <c r="O10" s="120">
        <v>16480761</v>
      </c>
      <c r="P10" s="120">
        <v>4145</v>
      </c>
      <c r="Q10" s="120">
        <v>30115665</v>
      </c>
      <c r="R10" s="120">
        <v>4144</v>
      </c>
      <c r="S10" s="120">
        <v>30070027</v>
      </c>
      <c r="T10" s="120">
        <v>4145</v>
      </c>
      <c r="U10" s="120">
        <v>38060475</v>
      </c>
      <c r="V10" s="119">
        <v>4145</v>
      </c>
      <c r="W10" s="370">
        <v>38060475</v>
      </c>
    </row>
    <row r="11" spans="1:23" ht="84.75" customHeight="1">
      <c r="A11" s="290" t="s">
        <v>219</v>
      </c>
      <c r="B11" s="283" t="s">
        <v>363</v>
      </c>
      <c r="C11" s="284" t="s">
        <v>365</v>
      </c>
      <c r="D11" s="285">
        <f>AVERAGE(H11,L11,P11,T11)</f>
        <v>3</v>
      </c>
      <c r="E11" s="120">
        <f>+I11+M11+Q11+U11</f>
        <v>180182464</v>
      </c>
      <c r="F11" s="120">
        <f>AVERAGE(J11,N11,R11,V11)</f>
        <v>3.25</v>
      </c>
      <c r="G11" s="120">
        <f t="shared" si="1"/>
        <v>180182464</v>
      </c>
      <c r="H11" s="284">
        <v>3</v>
      </c>
      <c r="I11" s="285">
        <v>55602690</v>
      </c>
      <c r="J11" s="120">
        <v>3</v>
      </c>
      <c r="K11" s="287">
        <v>55602690</v>
      </c>
      <c r="L11" s="120">
        <v>3</v>
      </c>
      <c r="M11" s="120">
        <v>25783724</v>
      </c>
      <c r="N11" s="120">
        <v>3</v>
      </c>
      <c r="O11" s="120">
        <v>25783724</v>
      </c>
      <c r="P11" s="120">
        <v>3</v>
      </c>
      <c r="Q11" s="120">
        <v>43775404</v>
      </c>
      <c r="R11" s="120">
        <v>3</v>
      </c>
      <c r="S11" s="120">
        <v>43775404</v>
      </c>
      <c r="T11" s="120">
        <v>3</v>
      </c>
      <c r="U11" s="120">
        <v>55020646</v>
      </c>
      <c r="V11" s="119">
        <v>4</v>
      </c>
      <c r="W11" s="370">
        <v>55020646</v>
      </c>
    </row>
    <row r="12" spans="1:23" ht="84.75" customHeight="1">
      <c r="A12" s="290" t="s">
        <v>220</v>
      </c>
      <c r="B12" s="283" t="s">
        <v>361</v>
      </c>
      <c r="C12" s="284" t="s">
        <v>362</v>
      </c>
      <c r="D12" s="285">
        <f>+H12+L12+P12+T12</f>
        <v>8500</v>
      </c>
      <c r="E12" s="120">
        <f t="shared" si="0"/>
        <v>2114085723</v>
      </c>
      <c r="F12" s="120">
        <f>+J12+N12+R12+V12</f>
        <v>9547</v>
      </c>
      <c r="G12" s="120">
        <f t="shared" si="1"/>
        <v>2082507661</v>
      </c>
      <c r="H12" s="286">
        <v>1500</v>
      </c>
      <c r="I12" s="285">
        <v>1259337107</v>
      </c>
      <c r="J12" s="120">
        <v>1500</v>
      </c>
      <c r="K12" s="287">
        <v>1259283101</v>
      </c>
      <c r="L12" s="120">
        <v>3000</v>
      </c>
      <c r="M12" s="120">
        <v>772672792</v>
      </c>
      <c r="N12" s="120">
        <v>3000</v>
      </c>
      <c r="O12" s="120">
        <v>741390494</v>
      </c>
      <c r="P12" s="120">
        <v>2000</v>
      </c>
      <c r="Q12" s="120">
        <v>48884703</v>
      </c>
      <c r="R12" s="120">
        <v>3047</v>
      </c>
      <c r="S12" s="120">
        <v>48643885</v>
      </c>
      <c r="T12" s="120">
        <v>2000</v>
      </c>
      <c r="U12" s="120">
        <v>33191121</v>
      </c>
      <c r="V12" s="119">
        <v>2000</v>
      </c>
      <c r="W12" s="370">
        <v>33190181</v>
      </c>
    </row>
    <row r="13" spans="1:23" ht="84.75" customHeight="1">
      <c r="A13" s="290" t="s">
        <v>221</v>
      </c>
      <c r="B13" s="283" t="s">
        <v>361</v>
      </c>
      <c r="C13" s="284" t="s">
        <v>362</v>
      </c>
      <c r="D13" s="285">
        <f>+H13+L13+P13+T13</f>
        <v>2776</v>
      </c>
      <c r="E13" s="120">
        <f t="shared" si="0"/>
        <v>2095538937</v>
      </c>
      <c r="F13" s="120">
        <f>+J13+N13+R13+V13</f>
        <v>2509</v>
      </c>
      <c r="G13" s="120">
        <f t="shared" si="1"/>
        <v>2005646967</v>
      </c>
      <c r="H13" s="286">
        <v>1226</v>
      </c>
      <c r="I13" s="285">
        <v>787569583</v>
      </c>
      <c r="J13" s="120">
        <v>600</v>
      </c>
      <c r="K13" s="287">
        <v>752908716</v>
      </c>
      <c r="L13" s="120">
        <v>550</v>
      </c>
      <c r="M13" s="120">
        <v>330016000</v>
      </c>
      <c r="N13" s="120">
        <v>512</v>
      </c>
      <c r="O13" s="120">
        <v>325547431</v>
      </c>
      <c r="P13" s="120">
        <v>650</v>
      </c>
      <c r="Q13" s="120">
        <v>417393354</v>
      </c>
      <c r="R13" s="120">
        <v>650</v>
      </c>
      <c r="S13" s="120">
        <v>417393354</v>
      </c>
      <c r="T13" s="120">
        <v>350</v>
      </c>
      <c r="U13" s="120">
        <v>560560000</v>
      </c>
      <c r="V13" s="119">
        <v>747</v>
      </c>
      <c r="W13" s="370">
        <v>509797466</v>
      </c>
    </row>
    <row r="14" spans="1:23" ht="84.75" customHeight="1">
      <c r="A14" s="290" t="s">
        <v>366</v>
      </c>
      <c r="B14" s="283" t="s">
        <v>363</v>
      </c>
      <c r="C14" s="284" t="s">
        <v>365</v>
      </c>
      <c r="D14" s="285">
        <f>AVERAGE(H14,L14,P14,T14)</f>
        <v>3</v>
      </c>
      <c r="E14" s="120">
        <f t="shared" si="0"/>
        <v>237434958</v>
      </c>
      <c r="F14" s="120">
        <f>AVERAGE(J14,N14,R14,V14)</f>
        <v>3</v>
      </c>
      <c r="G14" s="120">
        <f t="shared" si="1"/>
        <v>237432912</v>
      </c>
      <c r="H14" s="284">
        <v>3</v>
      </c>
      <c r="I14" s="285">
        <v>43914558</v>
      </c>
      <c r="J14" s="120">
        <v>3</v>
      </c>
      <c r="K14" s="287">
        <v>43914558</v>
      </c>
      <c r="L14" s="120">
        <v>3</v>
      </c>
      <c r="M14" s="120">
        <v>40000000</v>
      </c>
      <c r="N14" s="120">
        <v>3</v>
      </c>
      <c r="O14" s="120">
        <v>39999360</v>
      </c>
      <c r="P14" s="120">
        <v>3</v>
      </c>
      <c r="Q14" s="120">
        <v>75400400</v>
      </c>
      <c r="R14" s="120">
        <v>3</v>
      </c>
      <c r="S14" s="120">
        <v>75400400</v>
      </c>
      <c r="T14" s="120">
        <v>3</v>
      </c>
      <c r="U14" s="120">
        <v>78120000</v>
      </c>
      <c r="V14" s="119">
        <v>3</v>
      </c>
      <c r="W14" s="370">
        <v>78118594</v>
      </c>
    </row>
    <row r="15" spans="1:23" ht="84.75" customHeight="1">
      <c r="A15" s="290" t="s">
        <v>222</v>
      </c>
      <c r="B15" s="283" t="s">
        <v>361</v>
      </c>
      <c r="C15" s="291" t="s">
        <v>170</v>
      </c>
      <c r="D15" s="285">
        <f>+H15+L15+P15+T15</f>
        <v>6</v>
      </c>
      <c r="E15" s="120">
        <f t="shared" si="0"/>
        <v>99492276</v>
      </c>
      <c r="F15" s="120">
        <f>+J15+N15+R15+V15</f>
        <v>6</v>
      </c>
      <c r="G15" s="120">
        <f t="shared" si="1"/>
        <v>99491380</v>
      </c>
      <c r="H15" s="284">
        <v>0</v>
      </c>
      <c r="I15" s="285"/>
      <c r="J15" s="120">
        <v>0</v>
      </c>
      <c r="K15" s="287">
        <v>0</v>
      </c>
      <c r="L15" s="120">
        <v>2</v>
      </c>
      <c r="M15" s="120">
        <v>61842276</v>
      </c>
      <c r="N15" s="120">
        <v>2</v>
      </c>
      <c r="O15" s="120">
        <v>61841380</v>
      </c>
      <c r="P15" s="120">
        <v>2</v>
      </c>
      <c r="Q15" s="120">
        <v>25100000</v>
      </c>
      <c r="R15" s="120">
        <v>2</v>
      </c>
      <c r="S15" s="120">
        <v>25100000</v>
      </c>
      <c r="T15" s="120">
        <v>2</v>
      </c>
      <c r="U15" s="120">
        <v>12550000</v>
      </c>
      <c r="V15" s="119">
        <v>2</v>
      </c>
      <c r="W15" s="370">
        <f>'[2]EJECUCION FINANCIERA'!$I$79</f>
        <v>12550000</v>
      </c>
    </row>
    <row r="16" spans="1:23" ht="84.75" customHeight="1">
      <c r="A16" s="290" t="s">
        <v>223</v>
      </c>
      <c r="B16" s="283" t="s">
        <v>361</v>
      </c>
      <c r="C16" s="291" t="s">
        <v>367</v>
      </c>
      <c r="D16" s="289">
        <f>+H16+L16+P16+T16</f>
        <v>47531</v>
      </c>
      <c r="E16" s="120">
        <f t="shared" si="0"/>
        <v>120102337</v>
      </c>
      <c r="F16" s="120">
        <f>+J16+N16+R16+V16</f>
        <v>104090</v>
      </c>
      <c r="G16" s="120">
        <f t="shared" si="1"/>
        <v>120098493</v>
      </c>
      <c r="H16" s="284">
        <v>0</v>
      </c>
      <c r="I16" s="285"/>
      <c r="J16" s="120">
        <v>0</v>
      </c>
      <c r="K16" s="287">
        <v>0</v>
      </c>
      <c r="L16" s="120">
        <v>18088</v>
      </c>
      <c r="M16" s="120">
        <v>120102337</v>
      </c>
      <c r="N16" s="120">
        <v>35000</v>
      </c>
      <c r="O16" s="120">
        <v>120098493</v>
      </c>
      <c r="P16" s="120">
        <v>23669</v>
      </c>
      <c r="Q16" s="120">
        <v>0</v>
      </c>
      <c r="R16" s="120">
        <v>39998</v>
      </c>
      <c r="S16" s="120"/>
      <c r="T16" s="120">
        <v>5774</v>
      </c>
      <c r="U16" s="120">
        <v>0</v>
      </c>
      <c r="V16" s="119">
        <v>29092</v>
      </c>
      <c r="W16" s="370">
        <v>0</v>
      </c>
    </row>
    <row r="17" spans="1:23" ht="84.75" customHeight="1">
      <c r="A17" s="290" t="s">
        <v>224</v>
      </c>
      <c r="B17" s="283" t="s">
        <v>363</v>
      </c>
      <c r="C17" s="291" t="s">
        <v>225</v>
      </c>
      <c r="D17" s="285">
        <f>AVERAGE(H17,L17,P17,T17)</f>
        <v>6</v>
      </c>
      <c r="E17" s="120">
        <f t="shared" si="0"/>
        <v>305130800</v>
      </c>
      <c r="F17" s="120">
        <f>AVERAGE(J17,N17,R17,V17)</f>
        <v>6</v>
      </c>
      <c r="G17" s="120">
        <f t="shared" si="1"/>
        <v>305050588</v>
      </c>
      <c r="H17" s="291">
        <v>6</v>
      </c>
      <c r="I17" s="292"/>
      <c r="J17" s="120">
        <v>6</v>
      </c>
      <c r="K17" s="287">
        <v>0</v>
      </c>
      <c r="L17" s="120">
        <v>6</v>
      </c>
      <c r="M17" s="120">
        <v>30312663</v>
      </c>
      <c r="N17" s="120">
        <v>6</v>
      </c>
      <c r="O17" s="120">
        <v>30232451</v>
      </c>
      <c r="P17" s="120">
        <v>6</v>
      </c>
      <c r="Q17" s="120">
        <v>124988157</v>
      </c>
      <c r="R17" s="120">
        <v>6</v>
      </c>
      <c r="S17" s="120">
        <v>124988157</v>
      </c>
      <c r="T17" s="120">
        <v>6</v>
      </c>
      <c r="U17" s="120">
        <v>149829980</v>
      </c>
      <c r="V17" s="119">
        <v>6</v>
      </c>
      <c r="W17" s="370">
        <v>149829980</v>
      </c>
    </row>
    <row r="18" spans="1:23" ht="84.75" customHeight="1">
      <c r="A18" s="293" t="s">
        <v>368</v>
      </c>
      <c r="B18" s="294" t="s">
        <v>363</v>
      </c>
      <c r="C18" s="294" t="s">
        <v>308</v>
      </c>
      <c r="D18" s="120">
        <f>AVERAGE(H18,L18,P18,T18)</f>
        <v>100</v>
      </c>
      <c r="E18" s="120">
        <f t="shared" si="0"/>
        <v>127559357</v>
      </c>
      <c r="F18" s="120">
        <f>AVERAGE(J18,N18,R18,V18)</f>
        <v>98.49796626956797</v>
      </c>
      <c r="G18" s="120">
        <f t="shared" si="1"/>
        <v>126460066</v>
      </c>
      <c r="H18" s="295">
        <v>100</v>
      </c>
      <c r="I18" s="285">
        <v>57780457</v>
      </c>
      <c r="J18" s="120">
        <v>100</v>
      </c>
      <c r="K18" s="287">
        <v>57780457</v>
      </c>
      <c r="L18" s="120">
        <v>100</v>
      </c>
      <c r="M18" s="120">
        <v>19708496</v>
      </c>
      <c r="N18" s="120">
        <v>94</v>
      </c>
      <c r="O18" s="120">
        <v>18611213</v>
      </c>
      <c r="P18" s="120">
        <v>100</v>
      </c>
      <c r="Q18" s="120">
        <v>25386700</v>
      </c>
      <c r="R18" s="120">
        <v>100</v>
      </c>
      <c r="S18" s="120">
        <v>25386700</v>
      </c>
      <c r="T18" s="120">
        <v>100</v>
      </c>
      <c r="U18" s="120">
        <v>24683704</v>
      </c>
      <c r="V18" s="398">
        <f>+W18/U18*100</f>
        <v>99.99186507827189</v>
      </c>
      <c r="W18" s="370">
        <v>24681696</v>
      </c>
    </row>
    <row r="19" spans="1:23" ht="68.25" customHeight="1">
      <c r="A19" s="273" t="s">
        <v>369</v>
      </c>
      <c r="B19" s="296"/>
      <c r="C19" s="297"/>
      <c r="D19" s="298"/>
      <c r="E19" s="299">
        <f>SUM(E20:E23)</f>
        <v>879969998</v>
      </c>
      <c r="F19" s="300"/>
      <c r="G19" s="299">
        <f>SUM(G20:G23)</f>
        <v>851460625</v>
      </c>
      <c r="H19" s="301"/>
      <c r="I19" s="299">
        <f>SUM(I20:I23)</f>
        <v>59431198</v>
      </c>
      <c r="J19" s="299"/>
      <c r="K19" s="299">
        <f>SUM(K20:K23)</f>
        <v>59141858</v>
      </c>
      <c r="L19" s="300"/>
      <c r="M19" s="299">
        <f>SUM(M20:M23)</f>
        <v>250000000</v>
      </c>
      <c r="N19" s="300"/>
      <c r="O19" s="299">
        <f>SUM(O20:O23)</f>
        <v>239775769</v>
      </c>
      <c r="P19" s="299"/>
      <c r="Q19" s="299">
        <f>SUM(Q20:Q23)</f>
        <v>250000000</v>
      </c>
      <c r="R19" s="299"/>
      <c r="S19" s="299">
        <f>SUM(S20:S23)</f>
        <v>248842236</v>
      </c>
      <c r="T19" s="300"/>
      <c r="U19" s="299">
        <f>SUM(U20:U23)</f>
        <v>320538800</v>
      </c>
      <c r="V19" s="391"/>
      <c r="W19" s="371">
        <f>SUM(W20:W23)</f>
        <v>303700762</v>
      </c>
    </row>
    <row r="20" spans="1:23" ht="68.25" customHeight="1">
      <c r="A20" s="282" t="s">
        <v>227</v>
      </c>
      <c r="B20" s="346" t="s">
        <v>363</v>
      </c>
      <c r="C20" s="302" t="s">
        <v>364</v>
      </c>
      <c r="D20" s="285">
        <f>AVERAGE(H20,L20,P20,T20)</f>
        <v>35356</v>
      </c>
      <c r="E20" s="120">
        <f>+I20+M20+Q20+U20</f>
        <v>557452538</v>
      </c>
      <c r="F20" s="120">
        <f>AVERAGE(J20,N20,R20,V20)</f>
        <v>35356</v>
      </c>
      <c r="G20" s="120">
        <f>+K20+O20+S20+W20</f>
        <v>530649923</v>
      </c>
      <c r="H20" s="286">
        <v>35356</v>
      </c>
      <c r="I20" s="120">
        <v>55718197</v>
      </c>
      <c r="J20" s="120">
        <v>35356</v>
      </c>
      <c r="K20" s="120">
        <v>55428857</v>
      </c>
      <c r="L20" s="120">
        <v>35356</v>
      </c>
      <c r="M20" s="120">
        <v>169969532</v>
      </c>
      <c r="N20" s="120">
        <v>35356</v>
      </c>
      <c r="O20" s="120">
        <v>160294294</v>
      </c>
      <c r="P20" s="120">
        <v>35356</v>
      </c>
      <c r="Q20" s="120">
        <v>118259825</v>
      </c>
      <c r="R20" s="120">
        <v>35356</v>
      </c>
      <c r="S20" s="120">
        <v>118259825</v>
      </c>
      <c r="T20" s="120">
        <v>35356</v>
      </c>
      <c r="U20" s="120">
        <v>213504984</v>
      </c>
      <c r="V20" s="119">
        <v>35356</v>
      </c>
      <c r="W20" s="370">
        <v>196666947</v>
      </c>
    </row>
    <row r="21" spans="1:23" ht="68.25" customHeight="1">
      <c r="A21" s="290" t="s">
        <v>228</v>
      </c>
      <c r="B21" s="367" t="s">
        <v>361</v>
      </c>
      <c r="C21" s="303" t="s">
        <v>367</v>
      </c>
      <c r="D21" s="289">
        <f>+H21+L21+P21+T21</f>
        <v>25000</v>
      </c>
      <c r="E21" s="120">
        <f>+I21+M21+Q21+U21</f>
        <v>281139653</v>
      </c>
      <c r="F21" s="120">
        <f>+J21+N21+R21+V21</f>
        <v>66356</v>
      </c>
      <c r="G21" s="120">
        <f>+K21+O21+S21+W21</f>
        <v>279980992</v>
      </c>
      <c r="H21" s="286">
        <v>0</v>
      </c>
      <c r="I21" s="120">
        <v>0</v>
      </c>
      <c r="J21" s="120">
        <v>0</v>
      </c>
      <c r="K21" s="120">
        <v>0</v>
      </c>
      <c r="L21" s="120">
        <v>1000</v>
      </c>
      <c r="M21" s="120">
        <v>56000000</v>
      </c>
      <c r="N21" s="120">
        <v>1000</v>
      </c>
      <c r="O21" s="120">
        <v>55999104</v>
      </c>
      <c r="P21" s="120">
        <v>11000</v>
      </c>
      <c r="Q21" s="120">
        <v>123518290</v>
      </c>
      <c r="R21" s="120">
        <v>39356</v>
      </c>
      <c r="S21" s="120">
        <v>122360526</v>
      </c>
      <c r="T21" s="120">
        <v>13000</v>
      </c>
      <c r="U21" s="120">
        <v>101621363</v>
      </c>
      <c r="V21" s="119">
        <v>26000</v>
      </c>
      <c r="W21" s="370">
        <v>101621362</v>
      </c>
    </row>
    <row r="22" spans="1:23" ht="72">
      <c r="A22" s="290" t="s">
        <v>229</v>
      </c>
      <c r="B22" s="368" t="s">
        <v>370</v>
      </c>
      <c r="C22" s="304" t="s">
        <v>364</v>
      </c>
      <c r="D22" s="285">
        <f>AVERAGE(H22,L22,P22,T22)</f>
        <v>39250</v>
      </c>
      <c r="E22" s="120">
        <f>+I22+M22+Q22+U22</f>
        <v>15600000</v>
      </c>
      <c r="F22" s="120">
        <f>AVERAGE(J22,N22,R22,V22)</f>
        <v>39250</v>
      </c>
      <c r="G22" s="120">
        <f>+K22+O22+S22+W22</f>
        <v>15530873</v>
      </c>
      <c r="H22" s="286">
        <v>10000</v>
      </c>
      <c r="I22" s="120">
        <v>0</v>
      </c>
      <c r="J22" s="120">
        <v>10000</v>
      </c>
      <c r="K22" s="120">
        <v>0</v>
      </c>
      <c r="L22" s="120">
        <v>49000</v>
      </c>
      <c r="M22" s="120">
        <v>15600000</v>
      </c>
      <c r="N22" s="120">
        <v>49000</v>
      </c>
      <c r="O22" s="120">
        <v>15530873</v>
      </c>
      <c r="P22" s="120">
        <v>49000</v>
      </c>
      <c r="Q22" s="120">
        <v>0</v>
      </c>
      <c r="R22" s="120">
        <v>49000</v>
      </c>
      <c r="S22" s="120"/>
      <c r="T22" s="120">
        <v>49000</v>
      </c>
      <c r="U22" s="120">
        <v>0</v>
      </c>
      <c r="V22" s="119">
        <v>49000</v>
      </c>
      <c r="W22" s="370">
        <v>0</v>
      </c>
    </row>
    <row r="23" spans="1:23" ht="36">
      <c r="A23" s="290" t="s">
        <v>368</v>
      </c>
      <c r="B23" s="346" t="s">
        <v>363</v>
      </c>
      <c r="C23" s="294" t="s">
        <v>308</v>
      </c>
      <c r="D23" s="120">
        <f>AVERAGE(H23,L23,P23,T23)</f>
        <v>100</v>
      </c>
      <c r="E23" s="120">
        <f>+I23+M23+Q23+U23</f>
        <v>25777807</v>
      </c>
      <c r="F23" s="120">
        <f>AVERAGE(J23,N23,R23,V23)</f>
        <v>98.5</v>
      </c>
      <c r="G23" s="120">
        <f>+K23+O23+S23+W23</f>
        <v>25298837</v>
      </c>
      <c r="H23" s="305">
        <v>100</v>
      </c>
      <c r="I23" s="120">
        <v>3713001</v>
      </c>
      <c r="J23" s="120">
        <v>100</v>
      </c>
      <c r="K23" s="120">
        <v>3713001</v>
      </c>
      <c r="L23" s="120">
        <v>100</v>
      </c>
      <c r="M23" s="120">
        <v>8430468</v>
      </c>
      <c r="N23" s="120">
        <v>94</v>
      </c>
      <c r="O23" s="120">
        <v>7951498</v>
      </c>
      <c r="P23" s="120">
        <v>100</v>
      </c>
      <c r="Q23" s="120">
        <v>8221885</v>
      </c>
      <c r="R23" s="120">
        <v>100</v>
      </c>
      <c r="S23" s="120">
        <v>8221885</v>
      </c>
      <c r="T23" s="120">
        <v>100</v>
      </c>
      <c r="U23" s="120">
        <v>5412453</v>
      </c>
      <c r="V23" s="398">
        <v>100</v>
      </c>
      <c r="W23" s="370">
        <v>5412453</v>
      </c>
    </row>
    <row r="24" spans="1:23" ht="36">
      <c r="A24" s="306" t="s">
        <v>371</v>
      </c>
      <c r="B24" s="307"/>
      <c r="C24" s="308"/>
      <c r="D24" s="300"/>
      <c r="E24" s="299">
        <f>SUM(E25:E31)</f>
        <v>503259996.728</v>
      </c>
      <c r="F24" s="300"/>
      <c r="G24" s="299">
        <f>SUM(G25:G31)</f>
        <v>502873168</v>
      </c>
      <c r="H24" s="300"/>
      <c r="I24" s="299">
        <f>SUM(I25:I31)</f>
        <v>28259997</v>
      </c>
      <c r="J24" s="299"/>
      <c r="K24" s="299">
        <f>SUM(K25:K31)</f>
        <v>28259997</v>
      </c>
      <c r="L24" s="300"/>
      <c r="M24" s="299">
        <f>SUM(M25:M30)</f>
        <v>75000000</v>
      </c>
      <c r="N24" s="300"/>
      <c r="O24" s="299">
        <f>SUM(O25:O30)</f>
        <v>74615651</v>
      </c>
      <c r="P24" s="299"/>
      <c r="Q24" s="299">
        <f>SUM(Q25:Q31)</f>
        <v>175000000</v>
      </c>
      <c r="R24" s="299"/>
      <c r="S24" s="299">
        <f>SUM(S25:S31)</f>
        <v>174997547</v>
      </c>
      <c r="T24" s="300"/>
      <c r="U24" s="299">
        <f>SUM(U25:U31)</f>
        <v>224999999.728</v>
      </c>
      <c r="V24" s="391"/>
      <c r="W24" s="371">
        <f>SUM(W25:W31)</f>
        <v>224999973</v>
      </c>
    </row>
    <row r="25" spans="1:23" ht="90">
      <c r="A25" s="282" t="s">
        <v>151</v>
      </c>
      <c r="B25" s="309" t="s">
        <v>361</v>
      </c>
      <c r="C25" s="284" t="s">
        <v>372</v>
      </c>
      <c r="D25" s="285">
        <f>+H25+L25+P25+T25</f>
        <v>7</v>
      </c>
      <c r="E25" s="120">
        <f aca="true" t="shared" si="2" ref="D25:G31">+I25+M25+Q25+U25</f>
        <v>25939371</v>
      </c>
      <c r="F25" s="120">
        <f>+J25+N25+R25+V25</f>
        <v>7</v>
      </c>
      <c r="G25" s="120">
        <f t="shared" si="2"/>
        <v>25939371</v>
      </c>
      <c r="H25" s="284">
        <v>1</v>
      </c>
      <c r="I25" s="285">
        <v>25939371</v>
      </c>
      <c r="J25" s="120">
        <v>1</v>
      </c>
      <c r="K25" s="287">
        <v>25939371</v>
      </c>
      <c r="L25" s="120">
        <v>2</v>
      </c>
      <c r="M25" s="120">
        <v>0</v>
      </c>
      <c r="N25" s="120">
        <v>2</v>
      </c>
      <c r="O25" s="120">
        <v>0</v>
      </c>
      <c r="P25" s="120">
        <v>2</v>
      </c>
      <c r="Q25" s="120">
        <v>0</v>
      </c>
      <c r="R25" s="120">
        <v>2</v>
      </c>
      <c r="S25" s="120">
        <v>0</v>
      </c>
      <c r="T25" s="120">
        <v>2</v>
      </c>
      <c r="U25" s="120">
        <v>0</v>
      </c>
      <c r="V25" s="119">
        <v>2</v>
      </c>
      <c r="W25" s="370">
        <v>0</v>
      </c>
    </row>
    <row r="26" spans="1:23" ht="54">
      <c r="A26" s="290" t="s">
        <v>231</v>
      </c>
      <c r="B26" s="309" t="s">
        <v>361</v>
      </c>
      <c r="C26" s="284" t="s">
        <v>373</v>
      </c>
      <c r="D26" s="285">
        <f>+H26+L26+P26+T26</f>
        <v>7</v>
      </c>
      <c r="E26" s="120">
        <f t="shared" si="2"/>
        <v>0</v>
      </c>
      <c r="F26" s="120">
        <f>+J26+N26+R26+V26</f>
        <v>7</v>
      </c>
      <c r="G26" s="120">
        <f t="shared" si="2"/>
        <v>0</v>
      </c>
      <c r="H26" s="284">
        <v>1</v>
      </c>
      <c r="I26" s="285">
        <v>0</v>
      </c>
      <c r="J26" s="120">
        <v>1</v>
      </c>
      <c r="K26" s="287">
        <v>0</v>
      </c>
      <c r="L26" s="120">
        <v>2</v>
      </c>
      <c r="M26" s="120">
        <v>0</v>
      </c>
      <c r="N26" s="120">
        <v>2</v>
      </c>
      <c r="O26" s="120">
        <v>0</v>
      </c>
      <c r="P26" s="120">
        <v>2</v>
      </c>
      <c r="Q26" s="120">
        <v>0</v>
      </c>
      <c r="R26" s="120">
        <v>2</v>
      </c>
      <c r="S26" s="120">
        <v>0</v>
      </c>
      <c r="T26" s="120">
        <v>2</v>
      </c>
      <c r="U26" s="120">
        <v>0</v>
      </c>
      <c r="V26" s="119">
        <v>2</v>
      </c>
      <c r="W26" s="370">
        <v>0</v>
      </c>
    </row>
    <row r="27" spans="1:23" ht="54">
      <c r="A27" s="290" t="s">
        <v>232</v>
      </c>
      <c r="B27" s="309" t="s">
        <v>361</v>
      </c>
      <c r="C27" s="284" t="s">
        <v>374</v>
      </c>
      <c r="D27" s="285">
        <f t="shared" si="2"/>
        <v>7</v>
      </c>
      <c r="E27" s="120">
        <f t="shared" si="2"/>
        <v>38046379</v>
      </c>
      <c r="F27" s="120">
        <f t="shared" si="2"/>
        <v>8</v>
      </c>
      <c r="G27" s="120">
        <f t="shared" si="2"/>
        <v>38046379</v>
      </c>
      <c r="H27" s="284">
        <v>1</v>
      </c>
      <c r="I27" s="285">
        <v>0</v>
      </c>
      <c r="J27" s="120">
        <v>1</v>
      </c>
      <c r="K27" s="287">
        <v>0</v>
      </c>
      <c r="L27" s="120">
        <v>2</v>
      </c>
      <c r="M27" s="120">
        <v>0</v>
      </c>
      <c r="N27" s="120">
        <v>2</v>
      </c>
      <c r="O27" s="120">
        <v>0</v>
      </c>
      <c r="P27" s="120">
        <v>2</v>
      </c>
      <c r="Q27" s="120">
        <v>16264800</v>
      </c>
      <c r="R27" s="120">
        <v>3</v>
      </c>
      <c r="S27" s="120">
        <v>16264800</v>
      </c>
      <c r="T27" s="120">
        <v>2</v>
      </c>
      <c r="U27" s="120">
        <v>21781579</v>
      </c>
      <c r="V27" s="119">
        <v>2</v>
      </c>
      <c r="W27" s="370">
        <v>21781579</v>
      </c>
    </row>
    <row r="28" spans="1:23" ht="54">
      <c r="A28" s="290" t="s">
        <v>233</v>
      </c>
      <c r="B28" s="309" t="s">
        <v>361</v>
      </c>
      <c r="C28" s="284" t="s">
        <v>375</v>
      </c>
      <c r="D28" s="285">
        <f>+H28+L28+P28+T28</f>
        <v>6</v>
      </c>
      <c r="E28" s="120">
        <f>+I28+M28+Q28+U28</f>
        <v>298990108.728</v>
      </c>
      <c r="F28" s="120">
        <f>+J28+N28+R28+V28</f>
        <v>6</v>
      </c>
      <c r="G28" s="120">
        <f>+K28+O28+S28+W28</f>
        <v>298820212</v>
      </c>
      <c r="H28" s="284">
        <v>0</v>
      </c>
      <c r="I28" s="285">
        <v>0</v>
      </c>
      <c r="J28" s="120">
        <v>0</v>
      </c>
      <c r="K28" s="287">
        <v>0</v>
      </c>
      <c r="L28" s="120">
        <v>2</v>
      </c>
      <c r="M28" s="120">
        <v>34000000</v>
      </c>
      <c r="N28" s="120">
        <v>2</v>
      </c>
      <c r="O28" s="120">
        <v>33832583</v>
      </c>
      <c r="P28" s="120">
        <v>2</v>
      </c>
      <c r="Q28" s="120">
        <v>75744277</v>
      </c>
      <c r="R28" s="120">
        <v>2</v>
      </c>
      <c r="S28" s="120">
        <v>75741824</v>
      </c>
      <c r="T28" s="120">
        <v>2</v>
      </c>
      <c r="U28" s="120">
        <v>189245831.728</v>
      </c>
      <c r="V28" s="119">
        <v>2</v>
      </c>
      <c r="W28" s="370">
        <v>189245805</v>
      </c>
    </row>
    <row r="29" spans="1:23" ht="57.75" customHeight="1">
      <c r="A29" s="290" t="s">
        <v>234</v>
      </c>
      <c r="B29" s="309" t="s">
        <v>361</v>
      </c>
      <c r="C29" s="284" t="s">
        <v>375</v>
      </c>
      <c r="D29" s="285">
        <f t="shared" si="2"/>
        <v>6</v>
      </c>
      <c r="E29" s="120">
        <f t="shared" si="2"/>
        <v>80220000</v>
      </c>
      <c r="F29" s="120">
        <f t="shared" si="2"/>
        <v>6</v>
      </c>
      <c r="G29" s="120">
        <f t="shared" si="2"/>
        <v>80062058</v>
      </c>
      <c r="H29" s="284">
        <v>0</v>
      </c>
      <c r="I29" s="285">
        <v>0</v>
      </c>
      <c r="J29" s="120">
        <v>0</v>
      </c>
      <c r="K29" s="287">
        <v>0</v>
      </c>
      <c r="L29" s="120">
        <v>2</v>
      </c>
      <c r="M29" s="120">
        <v>25000000</v>
      </c>
      <c r="N29" s="120">
        <v>2</v>
      </c>
      <c r="O29" s="120">
        <v>24842058</v>
      </c>
      <c r="P29" s="120">
        <v>2</v>
      </c>
      <c r="Q29" s="120">
        <v>55220000</v>
      </c>
      <c r="R29" s="120">
        <v>2</v>
      </c>
      <c r="S29" s="120">
        <v>55220000</v>
      </c>
      <c r="T29" s="120">
        <v>2</v>
      </c>
      <c r="U29" s="120"/>
      <c r="V29" s="119">
        <v>2</v>
      </c>
      <c r="W29" s="370">
        <v>0</v>
      </c>
    </row>
    <row r="30" spans="1:23" ht="63.75" customHeight="1">
      <c r="A30" s="290" t="s">
        <v>235</v>
      </c>
      <c r="B30" s="309" t="s">
        <v>361</v>
      </c>
      <c r="C30" s="284" t="s">
        <v>376</v>
      </c>
      <c r="D30" s="285">
        <f>+H30+L30+P30+T30</f>
        <v>14</v>
      </c>
      <c r="E30" s="120">
        <f t="shared" si="2"/>
        <v>41877096</v>
      </c>
      <c r="F30" s="120">
        <f>+J30+N30+R30+V30</f>
        <v>14</v>
      </c>
      <c r="G30" s="120">
        <f t="shared" si="2"/>
        <v>41818106</v>
      </c>
      <c r="H30" s="284">
        <v>0</v>
      </c>
      <c r="I30" s="285">
        <v>0</v>
      </c>
      <c r="J30" s="120">
        <v>0</v>
      </c>
      <c r="K30" s="287">
        <v>0</v>
      </c>
      <c r="L30" s="120">
        <v>3</v>
      </c>
      <c r="M30" s="120">
        <v>16000000</v>
      </c>
      <c r="N30" s="120">
        <v>3</v>
      </c>
      <c r="O30" s="120">
        <v>15941010</v>
      </c>
      <c r="P30" s="120">
        <v>5</v>
      </c>
      <c r="Q30" s="120">
        <v>14160416</v>
      </c>
      <c r="R30" s="120">
        <v>5</v>
      </c>
      <c r="S30" s="120">
        <v>14160416</v>
      </c>
      <c r="T30" s="120">
        <v>6</v>
      </c>
      <c r="U30" s="120">
        <v>11716680</v>
      </c>
      <c r="V30" s="119">
        <v>6</v>
      </c>
      <c r="W30" s="370">
        <v>11716680</v>
      </c>
    </row>
    <row r="31" spans="1:23" ht="45.75" customHeight="1">
      <c r="A31" s="290" t="s">
        <v>368</v>
      </c>
      <c r="B31" s="294" t="s">
        <v>363</v>
      </c>
      <c r="C31" s="294" t="s">
        <v>308</v>
      </c>
      <c r="D31" s="120">
        <f>AVERAGE(H31,L31,P31,T31)</f>
        <v>75</v>
      </c>
      <c r="E31" s="120">
        <f>+I31+M31+Q31+U31</f>
        <v>18187042</v>
      </c>
      <c r="F31" s="120">
        <f>AVERAGE(J31,N31,R31,V31)</f>
        <v>75</v>
      </c>
      <c r="G31" s="120">
        <f t="shared" si="2"/>
        <v>18187042</v>
      </c>
      <c r="H31" s="310">
        <v>100</v>
      </c>
      <c r="I31" s="285">
        <v>2320626</v>
      </c>
      <c r="J31" s="120">
        <v>100</v>
      </c>
      <c r="K31" s="287">
        <v>2320626</v>
      </c>
      <c r="L31" s="120">
        <v>0</v>
      </c>
      <c r="M31" s="120">
        <v>0</v>
      </c>
      <c r="N31" s="120">
        <v>0</v>
      </c>
      <c r="O31" s="120">
        <v>0</v>
      </c>
      <c r="P31" s="120">
        <v>100</v>
      </c>
      <c r="Q31" s="120">
        <v>13610507</v>
      </c>
      <c r="R31" s="120">
        <v>100</v>
      </c>
      <c r="S31" s="120">
        <v>13610507</v>
      </c>
      <c r="T31" s="120">
        <v>100</v>
      </c>
      <c r="U31" s="120">
        <v>2255909</v>
      </c>
      <c r="V31" s="398">
        <v>100</v>
      </c>
      <c r="W31" s="370">
        <v>2255909</v>
      </c>
    </row>
    <row r="32" spans="1:23" ht="46.5" customHeight="1">
      <c r="A32" s="311" t="s">
        <v>377</v>
      </c>
      <c r="B32" s="312"/>
      <c r="C32" s="272"/>
      <c r="D32" s="313"/>
      <c r="E32" s="314">
        <f>+E33+E37+E46+E57</f>
        <v>37139585971.26</v>
      </c>
      <c r="F32" s="313"/>
      <c r="G32" s="314">
        <f>+G33+G37+G46+G57</f>
        <v>35630226380</v>
      </c>
      <c r="H32" s="315">
        <v>0</v>
      </c>
      <c r="I32" s="314">
        <v>0</v>
      </c>
      <c r="J32" s="314"/>
      <c r="K32" s="314"/>
      <c r="L32" s="313">
        <v>0</v>
      </c>
      <c r="M32" s="314">
        <v>0</v>
      </c>
      <c r="N32" s="313">
        <v>0</v>
      </c>
      <c r="O32" s="314">
        <v>0</v>
      </c>
      <c r="P32" s="314">
        <v>0</v>
      </c>
      <c r="Q32" s="314">
        <v>0</v>
      </c>
      <c r="R32" s="314">
        <v>0</v>
      </c>
      <c r="S32" s="314">
        <v>0</v>
      </c>
      <c r="T32" s="313">
        <v>0</v>
      </c>
      <c r="U32" s="314">
        <v>0</v>
      </c>
      <c r="V32" s="387"/>
      <c r="W32" s="374"/>
    </row>
    <row r="33" spans="1:23" ht="44.25" customHeight="1">
      <c r="A33" s="306" t="s">
        <v>378</v>
      </c>
      <c r="B33" s="316"/>
      <c r="C33" s="308"/>
      <c r="D33" s="317"/>
      <c r="E33" s="299">
        <f>SUM(E34:E36)</f>
        <v>10321730462</v>
      </c>
      <c r="F33" s="300"/>
      <c r="G33" s="299">
        <f>SUM(G34:G36)</f>
        <v>9949999308</v>
      </c>
      <c r="H33" s="317">
        <v>0</v>
      </c>
      <c r="I33" s="299">
        <f>SUM(I34:I36)</f>
        <v>1939300932</v>
      </c>
      <c r="J33" s="299"/>
      <c r="K33" s="299">
        <f>SUM(K34:K36)</f>
        <v>1908110999</v>
      </c>
      <c r="L33" s="300">
        <v>0</v>
      </c>
      <c r="M33" s="299">
        <f>+M34+M35+M36</f>
        <v>1968364062</v>
      </c>
      <c r="N33" s="300">
        <v>0</v>
      </c>
      <c r="O33" s="299">
        <f>+O34+O35+O36</f>
        <v>1867301539</v>
      </c>
      <c r="P33" s="299">
        <v>0</v>
      </c>
      <c r="Q33" s="299">
        <f>SUM(Q34:Q36)</f>
        <v>3602366664</v>
      </c>
      <c r="R33" s="299">
        <v>0</v>
      </c>
      <c r="S33" s="299">
        <f>SUM(S34:S36)</f>
        <v>3481467297</v>
      </c>
      <c r="T33" s="300"/>
      <c r="U33" s="328">
        <f>SUM(U34:U35)</f>
        <v>2811698804</v>
      </c>
      <c r="V33" s="391"/>
      <c r="W33" s="371">
        <f>SUM(W34:W36)</f>
        <v>2693119473</v>
      </c>
    </row>
    <row r="34" spans="1:23" ht="151.5" customHeight="1">
      <c r="A34" s="282" t="s">
        <v>238</v>
      </c>
      <c r="B34" s="294" t="s">
        <v>361</v>
      </c>
      <c r="C34" s="284" t="s">
        <v>241</v>
      </c>
      <c r="D34" s="285">
        <f>AVERAGE(H34,L34,P34,T34)</f>
        <v>0.75</v>
      </c>
      <c r="E34" s="120">
        <f>+I34+M34+Q34+U34</f>
        <v>1137186268</v>
      </c>
      <c r="F34" s="285">
        <f>AVERAGE(J34,N34,R34,V34)</f>
        <v>0.75</v>
      </c>
      <c r="G34" s="120">
        <f>+K34+O34+S34+W34</f>
        <v>959360758</v>
      </c>
      <c r="H34" s="284">
        <v>0</v>
      </c>
      <c r="I34" s="285">
        <v>0</v>
      </c>
      <c r="J34" s="120">
        <v>0</v>
      </c>
      <c r="K34" s="287">
        <v>0</v>
      </c>
      <c r="L34" s="120">
        <v>1</v>
      </c>
      <c r="M34" s="120">
        <v>700000000</v>
      </c>
      <c r="N34" s="120">
        <v>1</v>
      </c>
      <c r="O34" s="120">
        <v>642560000</v>
      </c>
      <c r="P34" s="120">
        <v>1</v>
      </c>
      <c r="Q34" s="120">
        <v>437186268</v>
      </c>
      <c r="R34" s="120">
        <v>1</v>
      </c>
      <c r="S34" s="120">
        <v>316800758</v>
      </c>
      <c r="T34" s="120">
        <v>1</v>
      </c>
      <c r="U34" s="370">
        <v>0</v>
      </c>
      <c r="V34" s="119">
        <v>1</v>
      </c>
      <c r="W34" s="370">
        <v>0</v>
      </c>
    </row>
    <row r="35" spans="1:23" ht="43.5" customHeight="1">
      <c r="A35" s="282" t="s">
        <v>239</v>
      </c>
      <c r="B35" s="294" t="s">
        <v>363</v>
      </c>
      <c r="C35" s="284" t="s">
        <v>541</v>
      </c>
      <c r="D35" s="285">
        <f>AVERAGE(H35,L35,P35,T35)</f>
        <v>6</v>
      </c>
      <c r="E35" s="120">
        <f>+I35+M35+Q35+U35</f>
        <v>9184544194</v>
      </c>
      <c r="F35" s="120">
        <f>AVERAGE(J35,N35,R35,V35)</f>
        <v>6</v>
      </c>
      <c r="G35" s="120">
        <f>+K35+O35+S35+W35</f>
        <v>8990638550</v>
      </c>
      <c r="H35" s="284">
        <v>6</v>
      </c>
      <c r="I35" s="285">
        <v>1939300932</v>
      </c>
      <c r="J35" s="120">
        <v>6</v>
      </c>
      <c r="K35" s="287">
        <v>1908110999</v>
      </c>
      <c r="L35" s="120">
        <v>6</v>
      </c>
      <c r="M35" s="120">
        <v>1268364062</v>
      </c>
      <c r="N35" s="120">
        <v>6</v>
      </c>
      <c r="O35" s="120">
        <v>1224741539</v>
      </c>
      <c r="P35" s="120">
        <v>6</v>
      </c>
      <c r="Q35" s="120">
        <v>3165180396</v>
      </c>
      <c r="R35" s="120">
        <v>6</v>
      </c>
      <c r="S35" s="120">
        <v>3164666539</v>
      </c>
      <c r="T35" s="120">
        <v>6</v>
      </c>
      <c r="U35" s="120">
        <f>2658871379+152827425</f>
        <v>2811698804</v>
      </c>
      <c r="V35" s="119">
        <v>6</v>
      </c>
      <c r="W35" s="370">
        <v>2693119473</v>
      </c>
    </row>
    <row r="36" spans="1:23" ht="43.5" customHeight="1">
      <c r="A36" s="290" t="s">
        <v>240</v>
      </c>
      <c r="B36" s="294" t="s">
        <v>363</v>
      </c>
      <c r="C36" s="284" t="s">
        <v>242</v>
      </c>
      <c r="D36" s="285">
        <f>AVERAGE(H36,L36,P36,T36)</f>
        <v>0.75</v>
      </c>
      <c r="E36" s="120">
        <f>+I36+M36+Q36+U36</f>
        <v>0</v>
      </c>
      <c r="F36" s="120">
        <f>AVERAGE(J36,N36,R36,V36)</f>
        <v>0.75</v>
      </c>
      <c r="G36" s="120">
        <f>+K36+O36+S36+W36</f>
        <v>0</v>
      </c>
      <c r="H36" s="284">
        <v>0</v>
      </c>
      <c r="I36" s="285">
        <v>0</v>
      </c>
      <c r="J36" s="120">
        <v>0</v>
      </c>
      <c r="K36" s="287">
        <v>0</v>
      </c>
      <c r="L36" s="120">
        <v>1</v>
      </c>
      <c r="M36" s="120">
        <v>0</v>
      </c>
      <c r="N36" s="120">
        <v>1</v>
      </c>
      <c r="O36" s="120">
        <v>0</v>
      </c>
      <c r="P36" s="120">
        <v>1</v>
      </c>
      <c r="Q36" s="120">
        <v>0</v>
      </c>
      <c r="R36" s="120">
        <v>1</v>
      </c>
      <c r="S36" s="120">
        <v>0</v>
      </c>
      <c r="T36" s="120">
        <v>1</v>
      </c>
      <c r="U36" s="120">
        <v>0</v>
      </c>
      <c r="V36" s="119">
        <v>1</v>
      </c>
      <c r="W36" s="370">
        <f>'[3]EJECUCION FINANCIERA'!$I$19</f>
        <v>0</v>
      </c>
    </row>
    <row r="37" spans="1:23" ht="44.25" customHeight="1">
      <c r="A37" s="318" t="s">
        <v>379</v>
      </c>
      <c r="B37" s="319"/>
      <c r="C37" s="320"/>
      <c r="D37" s="321"/>
      <c r="E37" s="322">
        <f>SUM(E38:E45)</f>
        <v>11919853421.26</v>
      </c>
      <c r="F37" s="300"/>
      <c r="G37" s="322">
        <f>SUM(G38:G45)</f>
        <v>11334025088</v>
      </c>
      <c r="H37" s="323"/>
      <c r="I37" s="322">
        <f>SUM(I38:I45)</f>
        <v>2329231325</v>
      </c>
      <c r="J37" s="322"/>
      <c r="K37" s="322">
        <f>SUM(K38:K45)</f>
        <v>2325039050</v>
      </c>
      <c r="L37" s="322"/>
      <c r="M37" s="322">
        <f>SUM(M38:M45)</f>
        <v>2611379576</v>
      </c>
      <c r="N37" s="322"/>
      <c r="O37" s="322">
        <f>SUM(O38:O45)</f>
        <v>2545829271</v>
      </c>
      <c r="P37" s="322"/>
      <c r="Q37" s="322">
        <f>SUM(Q38:Q45)</f>
        <v>3256227731</v>
      </c>
      <c r="R37" s="322"/>
      <c r="S37" s="322">
        <f>SUM(S38:S45)</f>
        <v>2921019719</v>
      </c>
      <c r="T37" s="322"/>
      <c r="U37" s="322">
        <f>SUM(U38:U45)</f>
        <v>3723014789.26</v>
      </c>
      <c r="V37" s="388"/>
      <c r="W37" s="394">
        <f>SUM(W38:W45)</f>
        <v>3542137048</v>
      </c>
    </row>
    <row r="38" spans="1:23" ht="36">
      <c r="A38" s="282" t="s">
        <v>146</v>
      </c>
      <c r="B38" s="309" t="s">
        <v>361</v>
      </c>
      <c r="C38" s="284" t="s">
        <v>362</v>
      </c>
      <c r="D38" s="285">
        <f aca="true" t="shared" si="3" ref="D38:G42">+H38+L38+P38+T38</f>
        <v>392</v>
      </c>
      <c r="E38" s="120">
        <f t="shared" si="3"/>
        <v>1869342203</v>
      </c>
      <c r="F38" s="120">
        <f t="shared" si="3"/>
        <v>300</v>
      </c>
      <c r="G38" s="120">
        <f t="shared" si="3"/>
        <v>1850300134</v>
      </c>
      <c r="H38" s="284">
        <v>102</v>
      </c>
      <c r="I38" s="120">
        <v>496095621</v>
      </c>
      <c r="J38" s="120">
        <v>45</v>
      </c>
      <c r="K38" s="120">
        <v>493999486</v>
      </c>
      <c r="L38" s="120">
        <v>130</v>
      </c>
      <c r="M38" s="120">
        <v>568343493</v>
      </c>
      <c r="N38" s="120">
        <v>160</v>
      </c>
      <c r="O38" s="120">
        <v>552340026</v>
      </c>
      <c r="P38" s="120">
        <v>80</v>
      </c>
      <c r="Q38" s="120">
        <v>364086215</v>
      </c>
      <c r="R38" s="120">
        <v>80</v>
      </c>
      <c r="S38" s="120">
        <v>364085053</v>
      </c>
      <c r="T38" s="120">
        <v>80</v>
      </c>
      <c r="U38" s="120">
        <v>440816874</v>
      </c>
      <c r="V38" s="399">
        <v>15</v>
      </c>
      <c r="W38" s="370">
        <v>439875569</v>
      </c>
    </row>
    <row r="39" spans="1:23" ht="36">
      <c r="A39" s="282" t="s">
        <v>147</v>
      </c>
      <c r="B39" s="309" t="s">
        <v>361</v>
      </c>
      <c r="C39" s="284" t="s">
        <v>362</v>
      </c>
      <c r="D39" s="285">
        <f t="shared" si="3"/>
        <v>970</v>
      </c>
      <c r="E39" s="120">
        <f t="shared" si="3"/>
        <v>766481007.26</v>
      </c>
      <c r="F39" s="120">
        <f t="shared" si="3"/>
        <v>372</v>
      </c>
      <c r="G39" s="120">
        <f t="shared" si="3"/>
        <v>690891822</v>
      </c>
      <c r="H39" s="284">
        <v>168</v>
      </c>
      <c r="I39" s="120">
        <v>90692118</v>
      </c>
      <c r="J39" s="120">
        <v>0</v>
      </c>
      <c r="K39" s="120">
        <v>90692118</v>
      </c>
      <c r="L39" s="120">
        <v>255</v>
      </c>
      <c r="M39" s="120">
        <v>202288278</v>
      </c>
      <c r="N39" s="120">
        <v>147</v>
      </c>
      <c r="O39" s="120">
        <v>165542571</v>
      </c>
      <c r="P39" s="324">
        <v>267</v>
      </c>
      <c r="Q39" s="120">
        <v>263564823</v>
      </c>
      <c r="R39" s="120">
        <v>225</v>
      </c>
      <c r="S39" s="120">
        <v>225362377</v>
      </c>
      <c r="T39" s="120">
        <v>280</v>
      </c>
      <c r="U39" s="120">
        <v>209935788.26</v>
      </c>
      <c r="V39" s="399">
        <v>0</v>
      </c>
      <c r="W39" s="370">
        <v>209294756</v>
      </c>
    </row>
    <row r="40" spans="1:23" ht="36">
      <c r="A40" s="325" t="s">
        <v>244</v>
      </c>
      <c r="B40" s="309" t="s">
        <v>361</v>
      </c>
      <c r="C40" s="284" t="s">
        <v>362</v>
      </c>
      <c r="D40" s="285">
        <f t="shared" si="3"/>
        <v>2981</v>
      </c>
      <c r="E40" s="120">
        <f t="shared" si="3"/>
        <v>5203059059</v>
      </c>
      <c r="F40" s="120">
        <f t="shared" si="3"/>
        <v>11958</v>
      </c>
      <c r="G40" s="120">
        <f t="shared" si="3"/>
        <v>4774813086</v>
      </c>
      <c r="H40" s="284">
        <v>581</v>
      </c>
      <c r="I40" s="120">
        <v>451796409</v>
      </c>
      <c r="J40" s="120">
        <v>276</v>
      </c>
      <c r="K40" s="120">
        <v>449700269</v>
      </c>
      <c r="L40" s="120">
        <v>800</v>
      </c>
      <c r="M40" s="120">
        <v>1036392490</v>
      </c>
      <c r="N40" s="120">
        <v>1681</v>
      </c>
      <c r="O40" s="120">
        <v>1033526651</v>
      </c>
      <c r="P40" s="120">
        <v>800</v>
      </c>
      <c r="Q40" s="120">
        <f>197658889+1900000000</f>
        <v>2097658889</v>
      </c>
      <c r="R40" s="120">
        <v>6345</v>
      </c>
      <c r="S40" s="120">
        <f>197658889+1645748668</f>
        <v>1843407557</v>
      </c>
      <c r="T40" s="120">
        <v>800</v>
      </c>
      <c r="U40" s="120">
        <v>1617211271</v>
      </c>
      <c r="V40" s="400">
        <v>3656</v>
      </c>
      <c r="W40" s="370">
        <v>1448178609</v>
      </c>
    </row>
    <row r="41" spans="1:23" ht="54">
      <c r="A41" s="325" t="s">
        <v>245</v>
      </c>
      <c r="B41" s="309" t="s">
        <v>361</v>
      </c>
      <c r="C41" s="284" t="s">
        <v>362</v>
      </c>
      <c r="D41" s="285">
        <f t="shared" si="3"/>
        <v>3438</v>
      </c>
      <c r="E41" s="120">
        <f t="shared" si="3"/>
        <v>1871136600</v>
      </c>
      <c r="F41" s="120">
        <f t="shared" si="3"/>
        <v>2746.6125766871164</v>
      </c>
      <c r="G41" s="120">
        <f t="shared" si="3"/>
        <v>1860918460</v>
      </c>
      <c r="H41" s="284">
        <v>800</v>
      </c>
      <c r="I41" s="120">
        <v>205669742</v>
      </c>
      <c r="J41" s="120">
        <v>0</v>
      </c>
      <c r="K41" s="120">
        <v>205669742</v>
      </c>
      <c r="L41" s="120">
        <v>1038</v>
      </c>
      <c r="M41" s="120">
        <v>459830606</v>
      </c>
      <c r="N41" s="120">
        <v>1271</v>
      </c>
      <c r="O41" s="120">
        <v>459827605</v>
      </c>
      <c r="P41" s="120">
        <v>800</v>
      </c>
      <c r="Q41" s="120">
        <v>247088118</v>
      </c>
      <c r="R41" s="120">
        <v>829</v>
      </c>
      <c r="S41" s="120">
        <v>247088083</v>
      </c>
      <c r="T41" s="120">
        <v>800</v>
      </c>
      <c r="U41" s="120">
        <v>958548134</v>
      </c>
      <c r="V41" s="400">
        <v>646.6125766871165</v>
      </c>
      <c r="W41" s="370">
        <v>948333030</v>
      </c>
    </row>
    <row r="42" spans="1:26" ht="90">
      <c r="A42" s="290" t="s">
        <v>246</v>
      </c>
      <c r="B42" s="309" t="s">
        <v>361</v>
      </c>
      <c r="C42" s="284" t="s">
        <v>362</v>
      </c>
      <c r="D42" s="285">
        <f t="shared" si="3"/>
        <v>2030</v>
      </c>
      <c r="E42" s="120">
        <f t="shared" si="3"/>
        <v>2048296747</v>
      </c>
      <c r="F42" s="120">
        <f t="shared" si="3"/>
        <v>1661.29</v>
      </c>
      <c r="G42" s="120">
        <f t="shared" si="3"/>
        <v>2005165109</v>
      </c>
      <c r="H42" s="286">
        <v>1130</v>
      </c>
      <c r="I42" s="120">
        <v>1084977435</v>
      </c>
      <c r="J42" s="120">
        <v>600</v>
      </c>
      <c r="K42" s="120">
        <v>1084977435</v>
      </c>
      <c r="L42" s="120">
        <v>300</v>
      </c>
      <c r="M42" s="120">
        <v>230500826</v>
      </c>
      <c r="N42" s="120">
        <v>370</v>
      </c>
      <c r="O42" s="120">
        <v>230122226</v>
      </c>
      <c r="P42" s="120">
        <v>300</v>
      </c>
      <c r="Q42" s="120">
        <v>263749686</v>
      </c>
      <c r="R42" s="120">
        <v>330</v>
      </c>
      <c r="S42" s="120">
        <v>220996649</v>
      </c>
      <c r="T42" s="120">
        <v>300</v>
      </c>
      <c r="U42" s="120">
        <v>469068800</v>
      </c>
      <c r="V42" s="399">
        <v>361.29</v>
      </c>
      <c r="W42" s="370">
        <v>469068799</v>
      </c>
      <c r="Z42" s="661">
        <f>+J42+N42+R42+V42</f>
        <v>1661.29</v>
      </c>
    </row>
    <row r="43" spans="1:27" ht="126">
      <c r="A43" s="290" t="s">
        <v>247</v>
      </c>
      <c r="B43" s="309" t="s">
        <v>363</v>
      </c>
      <c r="C43" s="284" t="s">
        <v>380</v>
      </c>
      <c r="D43" s="285">
        <f>AVERAGE(H43,L43,P43,T43)</f>
        <v>1</v>
      </c>
      <c r="E43" s="120">
        <f>+I43+M43+Q43+U43</f>
        <v>108126630</v>
      </c>
      <c r="F43" s="120">
        <f aca="true" t="shared" si="4" ref="F43:F48">AVERAGE(J43,N43,R43,V43)</f>
        <v>0.75</v>
      </c>
      <c r="G43" s="120">
        <f>+K43+O43+S43+W43</f>
        <v>99178331</v>
      </c>
      <c r="H43" s="284">
        <v>1</v>
      </c>
      <c r="I43" s="120">
        <v>0</v>
      </c>
      <c r="J43" s="120">
        <v>0</v>
      </c>
      <c r="K43" s="120">
        <v>0</v>
      </c>
      <c r="L43" s="120">
        <v>1</v>
      </c>
      <c r="M43" s="120">
        <v>80546630</v>
      </c>
      <c r="N43" s="120">
        <v>1</v>
      </c>
      <c r="O43" s="120">
        <v>71599696</v>
      </c>
      <c r="P43" s="120">
        <v>1</v>
      </c>
      <c r="Q43" s="120">
        <v>20080000</v>
      </c>
      <c r="R43" s="120">
        <v>1</v>
      </c>
      <c r="S43" s="120">
        <v>20080000</v>
      </c>
      <c r="T43" s="120">
        <v>1</v>
      </c>
      <c r="U43" s="120">
        <v>7500000</v>
      </c>
      <c r="V43" s="399">
        <v>1</v>
      </c>
      <c r="W43" s="370">
        <v>7498635</v>
      </c>
      <c r="Z43" s="107">
        <f>+U37-2183014789</f>
        <v>1540000000.2600002</v>
      </c>
      <c r="AA43" s="106">
        <f>+W38+W39+W40+W41+W42+W43+W44+W45-Z43</f>
        <v>2002137047.7399998</v>
      </c>
    </row>
    <row r="44" spans="1:23" ht="54">
      <c r="A44" s="290" t="s">
        <v>248</v>
      </c>
      <c r="B44" s="294" t="s">
        <v>363</v>
      </c>
      <c r="C44" s="284" t="s">
        <v>381</v>
      </c>
      <c r="D44" s="285">
        <f>AVERAGE(H44,L44,P44,T44)</f>
        <v>0.75</v>
      </c>
      <c r="E44" s="120">
        <f>+I44+M44+Q44+U44</f>
        <v>43517253</v>
      </c>
      <c r="F44" s="120">
        <f t="shared" si="4"/>
        <v>1</v>
      </c>
      <c r="G44" s="120">
        <f>+K44+O44+S44+W44</f>
        <v>42864224</v>
      </c>
      <c r="H44" s="284">
        <v>0</v>
      </c>
      <c r="I44" s="120">
        <v>0</v>
      </c>
      <c r="J44" s="120">
        <v>0</v>
      </c>
      <c r="K44" s="120">
        <v>0</v>
      </c>
      <c r="L44" s="120">
        <v>1</v>
      </c>
      <c r="M44" s="120">
        <v>33477253</v>
      </c>
      <c r="N44" s="120">
        <v>1</v>
      </c>
      <c r="O44" s="120">
        <v>32870496</v>
      </c>
      <c r="P44" s="120">
        <v>1</v>
      </c>
      <c r="Q44" s="120">
        <v>0</v>
      </c>
      <c r="R44" s="324">
        <v>2</v>
      </c>
      <c r="S44" s="120">
        <v>0</v>
      </c>
      <c r="T44" s="120">
        <v>1</v>
      </c>
      <c r="U44" s="120">
        <v>10040000</v>
      </c>
      <c r="V44" s="399">
        <v>1</v>
      </c>
      <c r="W44" s="370">
        <v>9993728</v>
      </c>
    </row>
    <row r="45" spans="1:23" ht="54.75" customHeight="1">
      <c r="A45" s="290" t="s">
        <v>206</v>
      </c>
      <c r="B45" s="294" t="s">
        <v>363</v>
      </c>
      <c r="C45" s="294" t="s">
        <v>308</v>
      </c>
      <c r="D45" s="120">
        <f>AVERAGE(H45,L45,P45,T45)</f>
        <v>25</v>
      </c>
      <c r="E45" s="120">
        <f>+I45+M45+Q45+U45</f>
        <v>9893922</v>
      </c>
      <c r="F45" s="120">
        <f t="shared" si="4"/>
        <v>25</v>
      </c>
      <c r="G45" s="120">
        <f>+K45+O45+S45+W45</f>
        <v>9893922</v>
      </c>
      <c r="H45" s="310">
        <v>0</v>
      </c>
      <c r="I45" s="285">
        <v>0</v>
      </c>
      <c r="J45" s="120">
        <v>0</v>
      </c>
      <c r="K45" s="287">
        <v>0</v>
      </c>
      <c r="L45" s="120">
        <v>0</v>
      </c>
      <c r="M45" s="120">
        <v>0</v>
      </c>
      <c r="N45" s="120">
        <v>0</v>
      </c>
      <c r="O45" s="120">
        <v>0</v>
      </c>
      <c r="P45" s="324">
        <v>0</v>
      </c>
      <c r="Q45" s="120">
        <v>0</v>
      </c>
      <c r="R45" s="120">
        <v>0</v>
      </c>
      <c r="S45" s="120">
        <v>0</v>
      </c>
      <c r="T45" s="120">
        <v>100</v>
      </c>
      <c r="U45" s="120">
        <v>9893922</v>
      </c>
      <c r="V45" s="398">
        <v>100</v>
      </c>
      <c r="W45" s="370">
        <f>+U45</f>
        <v>9893922</v>
      </c>
    </row>
    <row r="46" spans="1:23" ht="54">
      <c r="A46" s="306" t="s">
        <v>382</v>
      </c>
      <c r="B46" s="307"/>
      <c r="C46" s="308"/>
      <c r="D46" s="326"/>
      <c r="E46" s="322">
        <f>SUM(E47:E56)</f>
        <v>4798836302</v>
      </c>
      <c r="F46" s="327">
        <f t="shared" si="4"/>
        <v>0</v>
      </c>
      <c r="G46" s="322">
        <f>SUM(G47:G56)</f>
        <v>4400576351</v>
      </c>
      <c r="H46" s="308"/>
      <c r="I46" s="322">
        <f>SUM(I47:I56)</f>
        <v>401126297</v>
      </c>
      <c r="J46" s="322"/>
      <c r="K46" s="322">
        <f>SUM(K47:K56)</f>
        <v>396996877</v>
      </c>
      <c r="L46" s="300">
        <v>0</v>
      </c>
      <c r="M46" s="299">
        <f>SUM(M47:M56)</f>
        <v>763464594</v>
      </c>
      <c r="N46" s="300">
        <v>0</v>
      </c>
      <c r="O46" s="299">
        <f>SUM(O47:O56)</f>
        <v>680897978</v>
      </c>
      <c r="P46" s="299">
        <v>0</v>
      </c>
      <c r="Q46" s="299">
        <f>SUM(Q47:Q56)</f>
        <v>1422739943</v>
      </c>
      <c r="R46" s="299">
        <v>0</v>
      </c>
      <c r="S46" s="299">
        <f>SUM(S47:S56)</f>
        <v>1227250523</v>
      </c>
      <c r="T46" s="300"/>
      <c r="U46" s="299">
        <f>SUM(U47:U56)</f>
        <v>2211505468</v>
      </c>
      <c r="V46" s="391"/>
      <c r="W46" s="371">
        <f>SUM(W47:W56)</f>
        <v>2095430973</v>
      </c>
    </row>
    <row r="47" spans="1:23" ht="54">
      <c r="A47" s="282" t="s">
        <v>142</v>
      </c>
      <c r="B47" s="309" t="s">
        <v>363</v>
      </c>
      <c r="C47" s="284" t="s">
        <v>383</v>
      </c>
      <c r="D47" s="285">
        <f>AVERAGE(H47,L47,P47,T47)</f>
        <v>68</v>
      </c>
      <c r="E47" s="120">
        <f aca="true" t="shared" si="5" ref="E47:E56">+I47+M47+Q47+U47</f>
        <v>0</v>
      </c>
      <c r="F47" s="341">
        <f t="shared" si="4"/>
        <v>60.5</v>
      </c>
      <c r="G47" s="120">
        <f aca="true" t="shared" si="6" ref="G47:G56">+K47+O47+S47+W47</f>
        <v>0</v>
      </c>
      <c r="H47" s="291">
        <v>68</v>
      </c>
      <c r="I47" s="120">
        <v>0</v>
      </c>
      <c r="J47" s="120">
        <v>44</v>
      </c>
      <c r="K47" s="120">
        <v>0</v>
      </c>
      <c r="L47" s="120">
        <v>68</v>
      </c>
      <c r="M47" s="120">
        <v>0</v>
      </c>
      <c r="N47" s="120">
        <v>62</v>
      </c>
      <c r="O47" s="120">
        <v>0</v>
      </c>
      <c r="P47" s="120">
        <v>68</v>
      </c>
      <c r="Q47" s="120">
        <v>0</v>
      </c>
      <c r="R47" s="120">
        <v>62</v>
      </c>
      <c r="S47" s="120">
        <v>0</v>
      </c>
      <c r="T47" s="120">
        <v>68</v>
      </c>
      <c r="U47" s="120">
        <v>0</v>
      </c>
      <c r="V47" s="119">
        <v>74</v>
      </c>
      <c r="W47" s="370">
        <v>0</v>
      </c>
    </row>
    <row r="48" spans="1:23" ht="54">
      <c r="A48" s="290" t="s">
        <v>542</v>
      </c>
      <c r="B48" s="294" t="s">
        <v>363</v>
      </c>
      <c r="C48" s="210" t="s">
        <v>543</v>
      </c>
      <c r="D48" s="285">
        <f>AVERAGE(H48,L48,P48,T48)</f>
        <v>2.5</v>
      </c>
      <c r="E48" s="120">
        <f t="shared" si="5"/>
        <v>397977600</v>
      </c>
      <c r="F48" s="120">
        <f t="shared" si="4"/>
        <v>2.5</v>
      </c>
      <c r="G48" s="120">
        <f t="shared" si="6"/>
        <v>349942954</v>
      </c>
      <c r="H48" s="284">
        <v>0</v>
      </c>
      <c r="I48" s="120">
        <v>0</v>
      </c>
      <c r="J48" s="120">
        <v>0</v>
      </c>
      <c r="K48" s="120"/>
      <c r="L48" s="120">
        <v>1</v>
      </c>
      <c r="M48" s="120">
        <v>128300000</v>
      </c>
      <c r="N48" s="120">
        <v>1</v>
      </c>
      <c r="O48" s="120">
        <v>95217162</v>
      </c>
      <c r="P48" s="120">
        <v>1</v>
      </c>
      <c r="Q48" s="120">
        <v>144977600</v>
      </c>
      <c r="R48" s="120">
        <v>1</v>
      </c>
      <c r="S48" s="120">
        <v>130467457</v>
      </c>
      <c r="T48" s="120">
        <v>8</v>
      </c>
      <c r="U48" s="120">
        <v>124700000</v>
      </c>
      <c r="V48" s="119">
        <v>8</v>
      </c>
      <c r="W48" s="370">
        <v>124258335</v>
      </c>
    </row>
    <row r="49" spans="1:23" ht="36">
      <c r="A49" s="290" t="s">
        <v>384</v>
      </c>
      <c r="B49" s="309" t="s">
        <v>361</v>
      </c>
      <c r="C49" s="284" t="s">
        <v>385</v>
      </c>
      <c r="D49" s="285">
        <f>+H49+L49+P49+T49</f>
        <v>1</v>
      </c>
      <c r="E49" s="120">
        <f t="shared" si="5"/>
        <v>243412880</v>
      </c>
      <c r="F49" s="120">
        <f>+J49+N49+R49+V49</f>
        <v>1</v>
      </c>
      <c r="G49" s="120">
        <f t="shared" si="6"/>
        <v>239283460</v>
      </c>
      <c r="H49" s="284">
        <v>1</v>
      </c>
      <c r="I49" s="120">
        <v>243412880</v>
      </c>
      <c r="J49" s="120">
        <v>1</v>
      </c>
      <c r="K49" s="120">
        <v>239283460</v>
      </c>
      <c r="L49" s="120">
        <v>0</v>
      </c>
      <c r="M49" s="120">
        <v>0</v>
      </c>
      <c r="N49" s="120">
        <v>0</v>
      </c>
      <c r="O49" s="120">
        <v>0</v>
      </c>
      <c r="P49" s="120">
        <v>0</v>
      </c>
      <c r="Q49" s="120">
        <v>0</v>
      </c>
      <c r="R49" s="120"/>
      <c r="S49" s="120">
        <v>0</v>
      </c>
      <c r="T49" s="60">
        <v>0</v>
      </c>
      <c r="U49" s="120">
        <v>0</v>
      </c>
      <c r="V49" s="119">
        <v>0</v>
      </c>
      <c r="W49" s="370">
        <v>0</v>
      </c>
    </row>
    <row r="50" spans="1:23" ht="45.75" customHeight="1">
      <c r="A50" s="290" t="s">
        <v>544</v>
      </c>
      <c r="B50" s="309" t="s">
        <v>361</v>
      </c>
      <c r="C50" s="210" t="s">
        <v>545</v>
      </c>
      <c r="D50" s="285">
        <f>+H50+L50+P50+T50</f>
        <v>7</v>
      </c>
      <c r="E50" s="120">
        <f t="shared" si="5"/>
        <v>1499542952</v>
      </c>
      <c r="F50" s="120">
        <v>7</v>
      </c>
      <c r="G50" s="120">
        <f t="shared" si="6"/>
        <v>1436487455</v>
      </c>
      <c r="H50" s="284">
        <v>0</v>
      </c>
      <c r="I50" s="120">
        <v>0</v>
      </c>
      <c r="J50" s="120"/>
      <c r="K50" s="120"/>
      <c r="L50" s="120">
        <v>2</v>
      </c>
      <c r="M50" s="120">
        <v>236011500</v>
      </c>
      <c r="N50" s="120">
        <v>0</v>
      </c>
      <c r="O50" s="120">
        <v>235940000</v>
      </c>
      <c r="P50" s="120">
        <v>2</v>
      </c>
      <c r="Q50" s="120">
        <v>280800000</v>
      </c>
      <c r="R50" s="120">
        <v>2</v>
      </c>
      <c r="S50" s="120">
        <v>279348060</v>
      </c>
      <c r="T50" s="120">
        <v>3</v>
      </c>
      <c r="U50" s="120">
        <v>982731452</v>
      </c>
      <c r="V50" s="119">
        <v>3</v>
      </c>
      <c r="W50" s="370">
        <v>921199395</v>
      </c>
    </row>
    <row r="51" spans="1:23" ht="36">
      <c r="A51" s="290" t="s">
        <v>250</v>
      </c>
      <c r="B51" s="309" t="s">
        <v>361</v>
      </c>
      <c r="C51" s="284" t="s">
        <v>386</v>
      </c>
      <c r="D51" s="285">
        <f>+H51+L51+P51+T51</f>
        <v>7</v>
      </c>
      <c r="E51" s="120">
        <f t="shared" si="5"/>
        <v>301201600</v>
      </c>
      <c r="F51" s="120">
        <f>+J51+N51+R51+V51</f>
        <v>6</v>
      </c>
      <c r="G51" s="120">
        <f t="shared" si="6"/>
        <v>300349813</v>
      </c>
      <c r="H51" s="284">
        <v>2</v>
      </c>
      <c r="I51" s="120">
        <v>0</v>
      </c>
      <c r="J51" s="120">
        <v>1</v>
      </c>
      <c r="K51" s="120"/>
      <c r="L51" s="120">
        <v>2</v>
      </c>
      <c r="M51" s="120">
        <v>100400000</v>
      </c>
      <c r="N51" s="120">
        <v>2</v>
      </c>
      <c r="O51" s="120">
        <v>100400000</v>
      </c>
      <c r="P51" s="120">
        <v>2</v>
      </c>
      <c r="Q51" s="120">
        <v>100801600</v>
      </c>
      <c r="R51" s="120">
        <v>2</v>
      </c>
      <c r="S51" s="120">
        <v>100801600</v>
      </c>
      <c r="T51" s="120">
        <v>1</v>
      </c>
      <c r="U51" s="120">
        <v>100000000</v>
      </c>
      <c r="V51" s="119">
        <v>1</v>
      </c>
      <c r="W51" s="370">
        <v>99148213</v>
      </c>
    </row>
    <row r="52" spans="1:24" ht="45" customHeight="1">
      <c r="A52" s="290" t="s">
        <v>251</v>
      </c>
      <c r="B52" s="309" t="s">
        <v>361</v>
      </c>
      <c r="C52" s="284" t="s">
        <v>387</v>
      </c>
      <c r="D52" s="285">
        <v>37</v>
      </c>
      <c r="E52" s="120">
        <f t="shared" si="5"/>
        <v>424030000</v>
      </c>
      <c r="F52" s="120">
        <v>37</v>
      </c>
      <c r="G52" s="120">
        <f t="shared" si="6"/>
        <v>413975689</v>
      </c>
      <c r="H52" s="291">
        <v>28</v>
      </c>
      <c r="I52" s="120">
        <v>0</v>
      </c>
      <c r="J52" s="120">
        <v>28</v>
      </c>
      <c r="K52" s="120"/>
      <c r="L52" s="120">
        <v>28</v>
      </c>
      <c r="M52" s="120">
        <v>0</v>
      </c>
      <c r="N52" s="120">
        <v>28</v>
      </c>
      <c r="O52" s="120">
        <v>0</v>
      </c>
      <c r="P52" s="120">
        <v>32</v>
      </c>
      <c r="Q52" s="120">
        <v>158130000</v>
      </c>
      <c r="R52" s="120">
        <v>32</v>
      </c>
      <c r="S52" s="120">
        <v>158130000</v>
      </c>
      <c r="T52" s="120">
        <v>37</v>
      </c>
      <c r="U52" s="120">
        <v>265900000</v>
      </c>
      <c r="V52" s="119">
        <v>37</v>
      </c>
      <c r="W52" s="370">
        <v>255845689</v>
      </c>
      <c r="X52" s="106"/>
    </row>
    <row r="53" spans="1:24" ht="66" customHeight="1">
      <c r="A53" s="290" t="s">
        <v>252</v>
      </c>
      <c r="B53" s="309" t="s">
        <v>363</v>
      </c>
      <c r="C53" s="284" t="s">
        <v>388</v>
      </c>
      <c r="D53" s="285">
        <f>AVERAGE(H53,L53,P53,T53)</f>
        <v>1</v>
      </c>
      <c r="E53" s="120">
        <f t="shared" si="5"/>
        <v>1114796941</v>
      </c>
      <c r="F53" s="120">
        <f>AVERAGE(J53,N53,R53,V53)</f>
        <v>1</v>
      </c>
      <c r="G53" s="120">
        <f t="shared" si="6"/>
        <v>949492771</v>
      </c>
      <c r="H53" s="284">
        <v>1</v>
      </c>
      <c r="I53" s="120">
        <v>0</v>
      </c>
      <c r="J53" s="120">
        <v>1</v>
      </c>
      <c r="K53" s="120"/>
      <c r="L53" s="120">
        <v>1</v>
      </c>
      <c r="M53" s="120">
        <v>271324883</v>
      </c>
      <c r="N53" s="120">
        <v>1</v>
      </c>
      <c r="O53" s="120">
        <v>233155206</v>
      </c>
      <c r="P53" s="120">
        <v>1</v>
      </c>
      <c r="Q53" s="120">
        <v>527605428</v>
      </c>
      <c r="R53" s="120">
        <v>1</v>
      </c>
      <c r="S53" s="120">
        <v>413285569</v>
      </c>
      <c r="T53" s="120">
        <v>1</v>
      </c>
      <c r="U53" s="120">
        <v>315866630</v>
      </c>
      <c r="V53" s="119">
        <v>1</v>
      </c>
      <c r="W53" s="370">
        <v>303051996</v>
      </c>
      <c r="X53" s="106"/>
    </row>
    <row r="54" spans="1:23" ht="36">
      <c r="A54" s="290" t="s">
        <v>253</v>
      </c>
      <c r="B54" s="309" t="s">
        <v>363</v>
      </c>
      <c r="C54" s="284" t="s">
        <v>389</v>
      </c>
      <c r="D54" s="285">
        <f>AVERAGE(H54,L54,P54,T54)</f>
        <v>25</v>
      </c>
      <c r="E54" s="120">
        <f t="shared" si="5"/>
        <v>737330092</v>
      </c>
      <c r="F54" s="120">
        <f>AVERAGE(J54,N54,R54,V54)</f>
        <v>25</v>
      </c>
      <c r="G54" s="120">
        <f t="shared" si="6"/>
        <v>676795018</v>
      </c>
      <c r="H54" s="284">
        <v>19</v>
      </c>
      <c r="I54" s="120">
        <v>157713417</v>
      </c>
      <c r="J54" s="120">
        <v>19</v>
      </c>
      <c r="K54" s="120">
        <v>157713417</v>
      </c>
      <c r="L54" s="120">
        <v>0</v>
      </c>
      <c r="M54" s="120">
        <v>0</v>
      </c>
      <c r="N54" s="120">
        <v>0</v>
      </c>
      <c r="O54" s="120">
        <v>0</v>
      </c>
      <c r="P54" s="120">
        <v>40</v>
      </c>
      <c r="Q54" s="120">
        <v>175409289</v>
      </c>
      <c r="R54" s="120">
        <v>40</v>
      </c>
      <c r="S54" s="120">
        <v>145217837</v>
      </c>
      <c r="T54" s="120">
        <v>41</v>
      </c>
      <c r="U54" s="120">
        <v>404207386</v>
      </c>
      <c r="V54" s="401">
        <v>41</v>
      </c>
      <c r="W54" s="370">
        <v>373863764</v>
      </c>
    </row>
    <row r="55" spans="1:23" ht="90">
      <c r="A55" s="290" t="s">
        <v>140</v>
      </c>
      <c r="B55" s="309" t="s">
        <v>363</v>
      </c>
      <c r="C55" s="291" t="s">
        <v>255</v>
      </c>
      <c r="D55" s="285">
        <f>AVERAGE(H55,L55,P55,T55)</f>
        <v>37</v>
      </c>
      <c r="E55" s="120">
        <f t="shared" si="5"/>
        <v>0</v>
      </c>
      <c r="F55" s="120">
        <f>AVERAGE(J55,N55,R55,V55)</f>
        <v>37</v>
      </c>
      <c r="G55" s="120">
        <f t="shared" si="6"/>
        <v>0</v>
      </c>
      <c r="H55" s="291">
        <v>37</v>
      </c>
      <c r="I55" s="120">
        <v>0</v>
      </c>
      <c r="J55" s="120">
        <v>37</v>
      </c>
      <c r="K55" s="120">
        <v>0</v>
      </c>
      <c r="L55" s="120">
        <v>37</v>
      </c>
      <c r="M55" s="120">
        <v>0</v>
      </c>
      <c r="N55" s="120">
        <v>37</v>
      </c>
      <c r="O55" s="120">
        <v>0</v>
      </c>
      <c r="P55" s="120">
        <v>37</v>
      </c>
      <c r="Q55" s="120">
        <v>0</v>
      </c>
      <c r="R55" s="120">
        <v>37</v>
      </c>
      <c r="S55" s="120">
        <v>0</v>
      </c>
      <c r="T55" s="120">
        <v>37</v>
      </c>
      <c r="U55" s="120">
        <v>0</v>
      </c>
      <c r="V55" s="119">
        <v>37</v>
      </c>
      <c r="W55" s="370">
        <v>0</v>
      </c>
    </row>
    <row r="56" spans="1:23" ht="54">
      <c r="A56" s="290" t="s">
        <v>254</v>
      </c>
      <c r="B56" s="309" t="s">
        <v>363</v>
      </c>
      <c r="C56" s="284" t="s">
        <v>390</v>
      </c>
      <c r="D56" s="285">
        <f>AVERAGE(H56,L56,P56,T56)</f>
        <v>37</v>
      </c>
      <c r="E56" s="120">
        <f t="shared" si="5"/>
        <v>80544237</v>
      </c>
      <c r="F56" s="120">
        <f>AVERAGE(J56,N56,R56,V56)</f>
        <v>37</v>
      </c>
      <c r="G56" s="120">
        <f t="shared" si="6"/>
        <v>34249191</v>
      </c>
      <c r="H56" s="284">
        <v>37</v>
      </c>
      <c r="I56" s="120">
        <v>0</v>
      </c>
      <c r="J56" s="120">
        <v>37</v>
      </c>
      <c r="K56" s="120">
        <v>0</v>
      </c>
      <c r="L56" s="120">
        <v>37</v>
      </c>
      <c r="M56" s="120">
        <v>27428211</v>
      </c>
      <c r="N56" s="120">
        <v>37</v>
      </c>
      <c r="O56" s="120">
        <v>16185610</v>
      </c>
      <c r="P56" s="120">
        <v>37</v>
      </c>
      <c r="Q56" s="120">
        <v>35016026</v>
      </c>
      <c r="R56" s="120">
        <v>37</v>
      </c>
      <c r="S56" s="120">
        <v>0</v>
      </c>
      <c r="T56" s="120">
        <v>37</v>
      </c>
      <c r="U56" s="120">
        <v>18100000</v>
      </c>
      <c r="V56" s="119">
        <v>37</v>
      </c>
      <c r="W56" s="370">
        <v>18063581</v>
      </c>
    </row>
    <row r="57" spans="1:23" ht="54">
      <c r="A57" s="306" t="s">
        <v>391</v>
      </c>
      <c r="B57" s="307"/>
      <c r="C57" s="308"/>
      <c r="D57" s="326"/>
      <c r="E57" s="328">
        <f>SUM(E58:E63)</f>
        <v>10099165786</v>
      </c>
      <c r="F57" s="300"/>
      <c r="G57" s="328">
        <f>SUM(G58:G63)</f>
        <v>9945625633</v>
      </c>
      <c r="H57" s="323">
        <v>0</v>
      </c>
      <c r="I57" s="278">
        <f>SUM(I58:I63)</f>
        <v>1651350000</v>
      </c>
      <c r="J57" s="278"/>
      <c r="K57" s="278">
        <f>SUM(K58:K63)</f>
        <v>1498358942</v>
      </c>
      <c r="L57" s="300">
        <v>0</v>
      </c>
      <c r="M57" s="299">
        <f>SUM(M58:M63)</f>
        <v>4589244833</v>
      </c>
      <c r="N57" s="300">
        <v>0</v>
      </c>
      <c r="O57" s="299">
        <f>SUM(O58:O63)</f>
        <v>4589240858</v>
      </c>
      <c r="P57" s="299">
        <v>0</v>
      </c>
      <c r="Q57" s="299">
        <f>SUM(Q58:Q63)</f>
        <v>2814615951</v>
      </c>
      <c r="R57" s="299">
        <v>0</v>
      </c>
      <c r="S57" s="299">
        <f>SUM(S58:S63)</f>
        <v>2814070831</v>
      </c>
      <c r="T57" s="300">
        <v>0</v>
      </c>
      <c r="U57" s="328">
        <f>SUM(U58:U63)</f>
        <v>1043955002</v>
      </c>
      <c r="V57" s="391"/>
      <c r="W57" s="371">
        <f>SUM(W58:W63)</f>
        <v>1043955002</v>
      </c>
    </row>
    <row r="58" spans="1:23" ht="90">
      <c r="A58" s="282" t="s">
        <v>257</v>
      </c>
      <c r="B58" s="309" t="s">
        <v>363</v>
      </c>
      <c r="C58" s="284" t="s">
        <v>383</v>
      </c>
      <c r="D58" s="285">
        <f>AVERAGE(H58,L58,P58,T58)</f>
        <v>13.75</v>
      </c>
      <c r="E58" s="120">
        <f aca="true" t="shared" si="7" ref="E58:E63">+I58+M58+Q58+U58</f>
        <v>0</v>
      </c>
      <c r="F58" s="120">
        <f>AVERAGE(J58,N58,R58,V58)</f>
        <v>13.75</v>
      </c>
      <c r="G58" s="120">
        <f aca="true" t="shared" si="8" ref="G58:G63">+K58+O58+S58+W58</f>
        <v>0</v>
      </c>
      <c r="H58" s="291">
        <v>13</v>
      </c>
      <c r="I58" s="285">
        <v>0</v>
      </c>
      <c r="J58" s="120">
        <v>13</v>
      </c>
      <c r="K58" s="287">
        <v>0</v>
      </c>
      <c r="L58" s="120">
        <v>14</v>
      </c>
      <c r="M58" s="120">
        <v>0</v>
      </c>
      <c r="N58" s="120">
        <v>14</v>
      </c>
      <c r="O58" s="120">
        <v>0</v>
      </c>
      <c r="P58" s="120">
        <v>14</v>
      </c>
      <c r="Q58" s="120">
        <v>0</v>
      </c>
      <c r="R58" s="120">
        <v>14</v>
      </c>
      <c r="S58" s="120">
        <v>0</v>
      </c>
      <c r="T58" s="120">
        <v>14</v>
      </c>
      <c r="U58" s="120">
        <v>0</v>
      </c>
      <c r="V58" s="341">
        <v>14</v>
      </c>
      <c r="W58" s="370">
        <f>'[4]EJECUCION FINANCIERA'!$I$6</f>
        <v>0</v>
      </c>
    </row>
    <row r="59" spans="1:23" ht="90">
      <c r="A59" s="282" t="s">
        <v>171</v>
      </c>
      <c r="B59" s="309" t="s">
        <v>363</v>
      </c>
      <c r="C59" s="284" t="s">
        <v>383</v>
      </c>
      <c r="D59" s="285">
        <f>AVERAGE(H59,L59,P59,T59)</f>
        <v>12.75</v>
      </c>
      <c r="E59" s="120">
        <f t="shared" si="7"/>
        <v>0</v>
      </c>
      <c r="F59" s="120">
        <f>AVERAGE(J59,N59,R59,V59)</f>
        <v>12.75</v>
      </c>
      <c r="G59" s="120">
        <f t="shared" si="8"/>
        <v>0</v>
      </c>
      <c r="H59" s="291">
        <v>12</v>
      </c>
      <c r="I59" s="285">
        <v>0</v>
      </c>
      <c r="J59" s="120">
        <v>12</v>
      </c>
      <c r="K59" s="287">
        <v>0</v>
      </c>
      <c r="L59" s="120">
        <v>13</v>
      </c>
      <c r="M59" s="120">
        <v>0</v>
      </c>
      <c r="N59" s="120">
        <v>13</v>
      </c>
      <c r="O59" s="120">
        <v>0</v>
      </c>
      <c r="P59" s="120">
        <v>13</v>
      </c>
      <c r="Q59" s="120">
        <v>0</v>
      </c>
      <c r="R59" s="120">
        <v>13</v>
      </c>
      <c r="S59" s="120">
        <v>0</v>
      </c>
      <c r="T59" s="120">
        <v>13</v>
      </c>
      <c r="U59" s="120">
        <v>0</v>
      </c>
      <c r="V59" s="341">
        <v>13</v>
      </c>
      <c r="W59" s="370">
        <f>'[4]EJECUCION FINANCIERA'!$I$9</f>
        <v>0</v>
      </c>
    </row>
    <row r="60" spans="1:23" ht="54">
      <c r="A60" s="282" t="s">
        <v>141</v>
      </c>
      <c r="B60" s="329" t="s">
        <v>363</v>
      </c>
      <c r="C60" s="284" t="s">
        <v>383</v>
      </c>
      <c r="D60" s="285">
        <f>AVERAGE(H60,L60,P60,T60)</f>
        <v>87</v>
      </c>
      <c r="E60" s="120">
        <f t="shared" si="7"/>
        <v>0</v>
      </c>
      <c r="F60" s="120">
        <f>AVERAGE(J60,N60,R60,V60)</f>
        <v>77</v>
      </c>
      <c r="G60" s="120">
        <f t="shared" si="8"/>
        <v>0</v>
      </c>
      <c r="H60" s="284">
        <v>87</v>
      </c>
      <c r="I60" s="330">
        <v>0</v>
      </c>
      <c r="J60" s="120">
        <v>50</v>
      </c>
      <c r="K60" s="331">
        <v>0</v>
      </c>
      <c r="L60" s="120">
        <v>87</v>
      </c>
      <c r="M60" s="120">
        <v>0</v>
      </c>
      <c r="N60" s="120">
        <v>71</v>
      </c>
      <c r="O60" s="120">
        <v>0</v>
      </c>
      <c r="P60" s="120">
        <v>87</v>
      </c>
      <c r="Q60" s="120">
        <v>0</v>
      </c>
      <c r="R60" s="120">
        <v>87</v>
      </c>
      <c r="S60" s="120"/>
      <c r="T60" s="120">
        <v>87</v>
      </c>
      <c r="U60" s="120">
        <v>0</v>
      </c>
      <c r="V60" s="119">
        <v>100</v>
      </c>
      <c r="W60" s="370">
        <f>'[4]EJECUCION FINANCIERA'!$I$11</f>
        <v>0</v>
      </c>
    </row>
    <row r="61" spans="1:23" ht="72">
      <c r="A61" s="290" t="s">
        <v>258</v>
      </c>
      <c r="B61" s="329" t="s">
        <v>361</v>
      </c>
      <c r="C61" s="284" t="s">
        <v>167</v>
      </c>
      <c r="D61" s="285">
        <f>+H61+L61+P61+T61</f>
        <v>5</v>
      </c>
      <c r="E61" s="120">
        <f t="shared" si="7"/>
        <v>9723195174</v>
      </c>
      <c r="F61" s="120">
        <f>+J61+N61+R61+V61</f>
        <v>5</v>
      </c>
      <c r="G61" s="120">
        <f t="shared" si="8"/>
        <v>9570204116</v>
      </c>
      <c r="H61" s="284">
        <v>2</v>
      </c>
      <c r="I61" s="330">
        <v>1624468848</v>
      </c>
      <c r="J61" s="120">
        <v>0</v>
      </c>
      <c r="K61" s="331">
        <v>1471477790</v>
      </c>
      <c r="L61" s="120">
        <v>1</v>
      </c>
      <c r="M61" s="120">
        <v>4474438701</v>
      </c>
      <c r="N61" s="120">
        <v>0</v>
      </c>
      <c r="O61" s="332">
        <v>4474438701</v>
      </c>
      <c r="P61" s="120">
        <v>1</v>
      </c>
      <c r="Q61" s="332">
        <v>2697639983</v>
      </c>
      <c r="R61" s="120">
        <v>1</v>
      </c>
      <c r="S61" s="120">
        <v>2697639983</v>
      </c>
      <c r="T61" s="120">
        <v>1</v>
      </c>
      <c r="U61" s="332">
        <v>926647642</v>
      </c>
      <c r="V61" s="119">
        <v>4</v>
      </c>
      <c r="W61" s="370">
        <v>926647642</v>
      </c>
    </row>
    <row r="62" spans="1:23" ht="42.75" customHeight="1">
      <c r="A62" s="290" t="s">
        <v>392</v>
      </c>
      <c r="B62" s="329" t="s">
        <v>361</v>
      </c>
      <c r="C62" s="284" t="s">
        <v>385</v>
      </c>
      <c r="D62" s="285">
        <f>+H62+L62+P62+T62</f>
        <v>1</v>
      </c>
      <c r="E62" s="120">
        <f t="shared" si="7"/>
        <v>26881152</v>
      </c>
      <c r="F62" s="120">
        <f>+J62+N62+R62+V62</f>
        <v>1</v>
      </c>
      <c r="G62" s="120">
        <f t="shared" si="8"/>
        <v>26881152</v>
      </c>
      <c r="H62" s="291">
        <v>1</v>
      </c>
      <c r="I62" s="330">
        <v>26881152</v>
      </c>
      <c r="J62" s="120">
        <v>1</v>
      </c>
      <c r="K62" s="331">
        <v>26881152</v>
      </c>
      <c r="L62" s="120">
        <v>0</v>
      </c>
      <c r="M62" s="332">
        <v>0</v>
      </c>
      <c r="N62" s="120">
        <v>0</v>
      </c>
      <c r="O62" s="332"/>
      <c r="P62" s="120">
        <v>0</v>
      </c>
      <c r="Q62" s="332">
        <v>0</v>
      </c>
      <c r="R62" s="120">
        <v>0</v>
      </c>
      <c r="S62" s="120">
        <v>0</v>
      </c>
      <c r="T62" s="120"/>
      <c r="U62" s="332">
        <v>0</v>
      </c>
      <c r="V62" s="119">
        <v>0</v>
      </c>
      <c r="W62" s="370">
        <v>0</v>
      </c>
    </row>
    <row r="63" spans="1:23" ht="36">
      <c r="A63" s="290" t="s">
        <v>250</v>
      </c>
      <c r="B63" s="329" t="s">
        <v>361</v>
      </c>
      <c r="C63" s="284" t="s">
        <v>259</v>
      </c>
      <c r="D63" s="285">
        <f>+H63+L63+P63+T63</f>
        <v>7</v>
      </c>
      <c r="E63" s="120">
        <f t="shared" si="7"/>
        <v>349089460</v>
      </c>
      <c r="F63" s="120">
        <f>+J63+N63+R63+V63</f>
        <v>6</v>
      </c>
      <c r="G63" s="120">
        <f t="shared" si="8"/>
        <v>348540365</v>
      </c>
      <c r="H63" s="284">
        <v>2</v>
      </c>
      <c r="I63" s="330">
        <v>0</v>
      </c>
      <c r="J63" s="120">
        <v>1</v>
      </c>
      <c r="K63" s="331">
        <v>0</v>
      </c>
      <c r="L63" s="120">
        <v>2</v>
      </c>
      <c r="M63" s="332">
        <v>114806132</v>
      </c>
      <c r="N63" s="120">
        <v>2</v>
      </c>
      <c r="O63" s="332">
        <v>114802157</v>
      </c>
      <c r="P63" s="120">
        <v>2</v>
      </c>
      <c r="Q63" s="332">
        <v>116975968</v>
      </c>
      <c r="R63" s="120">
        <v>2</v>
      </c>
      <c r="S63" s="120">
        <v>116430848</v>
      </c>
      <c r="T63" s="120">
        <v>1</v>
      </c>
      <c r="U63" s="332">
        <f>+'[11]CONSOLIDADO POAI '!$F$158+'[11]CONSOLIDADO POAI '!$F$159</f>
        <v>117307360</v>
      </c>
      <c r="V63" s="119">
        <v>1</v>
      </c>
      <c r="W63" s="370">
        <v>117307360</v>
      </c>
    </row>
    <row r="64" spans="1:23" ht="54">
      <c r="A64" s="311" t="s">
        <v>393</v>
      </c>
      <c r="B64" s="312"/>
      <c r="C64" s="333"/>
      <c r="D64" s="334"/>
      <c r="E64" s="335">
        <f>+E65+E73</f>
        <v>15072383291</v>
      </c>
      <c r="F64" s="334"/>
      <c r="G64" s="336">
        <f>+G65+G73</f>
        <v>14575129385</v>
      </c>
      <c r="H64" s="333">
        <v>0</v>
      </c>
      <c r="I64" s="334">
        <v>0</v>
      </c>
      <c r="J64" s="334"/>
      <c r="K64" s="334"/>
      <c r="L64" s="334">
        <v>0</v>
      </c>
      <c r="M64" s="334">
        <v>0</v>
      </c>
      <c r="N64" s="334">
        <v>0</v>
      </c>
      <c r="O64" s="334">
        <v>0</v>
      </c>
      <c r="P64" s="334">
        <v>0</v>
      </c>
      <c r="Q64" s="334">
        <v>0</v>
      </c>
      <c r="R64" s="334">
        <v>0</v>
      </c>
      <c r="S64" s="334">
        <v>0</v>
      </c>
      <c r="T64" s="334">
        <v>0</v>
      </c>
      <c r="U64" s="366">
        <v>0</v>
      </c>
      <c r="V64" s="387"/>
      <c r="W64" s="374"/>
    </row>
    <row r="65" spans="1:23" ht="51" customHeight="1">
      <c r="A65" s="306" t="s">
        <v>394</v>
      </c>
      <c r="B65" s="307"/>
      <c r="C65" s="337"/>
      <c r="D65" s="338"/>
      <c r="E65" s="339">
        <f>SUM(E66:E72)</f>
        <v>998000000</v>
      </c>
      <c r="F65" s="340"/>
      <c r="G65" s="339">
        <f>SUM(G66:G72)</f>
        <v>945328282</v>
      </c>
      <c r="H65" s="340">
        <v>0</v>
      </c>
      <c r="I65" s="339">
        <f>SUM(I66:I72)</f>
        <v>168000000</v>
      </c>
      <c r="J65" s="339"/>
      <c r="K65" s="339">
        <f>SUM(K66:K72)</f>
        <v>118153776</v>
      </c>
      <c r="L65" s="338">
        <v>0</v>
      </c>
      <c r="M65" s="339">
        <f>SUM(M66:M72)</f>
        <v>250000000</v>
      </c>
      <c r="N65" s="338">
        <v>0</v>
      </c>
      <c r="O65" s="339">
        <f>SUM(O66:O72)</f>
        <v>248571160</v>
      </c>
      <c r="P65" s="339">
        <v>0</v>
      </c>
      <c r="Q65" s="339">
        <f>SUM(Q66:Q72)</f>
        <v>260000000</v>
      </c>
      <c r="R65" s="339">
        <v>0</v>
      </c>
      <c r="S65" s="339">
        <f>SUM(S66:S72)</f>
        <v>259273947</v>
      </c>
      <c r="T65" s="339">
        <v>0</v>
      </c>
      <c r="U65" s="328">
        <f>SUM(U66:U72)</f>
        <v>320000000</v>
      </c>
      <c r="V65" s="391"/>
      <c r="W65" s="371">
        <f>SUM(W66:W72)</f>
        <v>319329399</v>
      </c>
    </row>
    <row r="66" spans="1:23" ht="108">
      <c r="A66" s="282" t="s">
        <v>262</v>
      </c>
      <c r="B66" s="309" t="s">
        <v>363</v>
      </c>
      <c r="C66" s="284" t="s">
        <v>395</v>
      </c>
      <c r="D66" s="285">
        <f>AVERAGE(H66,L66,P66,T66)</f>
        <v>37</v>
      </c>
      <c r="E66" s="120">
        <f>+I66+M66+Q66+U66</f>
        <v>91227792</v>
      </c>
      <c r="F66" s="120">
        <f>AVERAGE(J66,N66,R66,V66)</f>
        <v>37</v>
      </c>
      <c r="G66" s="120">
        <f aca="true" t="shared" si="9" ref="G66:G72">+K66+O66+S66+W66</f>
        <v>91070832</v>
      </c>
      <c r="H66" s="341">
        <v>37</v>
      </c>
      <c r="I66" s="120">
        <v>70227792</v>
      </c>
      <c r="J66" s="120">
        <v>37</v>
      </c>
      <c r="K66" s="120">
        <v>70227792</v>
      </c>
      <c r="L66" s="120">
        <v>37</v>
      </c>
      <c r="M66" s="120">
        <v>21000000</v>
      </c>
      <c r="N66" s="120">
        <v>37</v>
      </c>
      <c r="O66" s="120">
        <v>20843040</v>
      </c>
      <c r="P66" s="120">
        <v>37</v>
      </c>
      <c r="Q66" s="120">
        <v>0</v>
      </c>
      <c r="R66" s="120">
        <v>37</v>
      </c>
      <c r="S66" s="120">
        <v>0</v>
      </c>
      <c r="T66" s="120">
        <v>37</v>
      </c>
      <c r="U66" s="120">
        <v>0</v>
      </c>
      <c r="V66" s="119">
        <v>37</v>
      </c>
      <c r="W66" s="370">
        <v>0</v>
      </c>
    </row>
    <row r="67" spans="1:23" ht="72">
      <c r="A67" s="290" t="s">
        <v>396</v>
      </c>
      <c r="B67" s="309" t="s">
        <v>361</v>
      </c>
      <c r="C67" s="284" t="s">
        <v>397</v>
      </c>
      <c r="D67" s="285">
        <f>+H67+L67+P67+T67</f>
        <v>1</v>
      </c>
      <c r="E67" s="120">
        <f aca="true" t="shared" si="10" ref="E67:E72">+I67+M67+Q67+U67</f>
        <v>0</v>
      </c>
      <c r="F67" s="120">
        <f>AVERAGE(J67,N67,R67,V67)</f>
        <v>1</v>
      </c>
      <c r="G67" s="120">
        <f t="shared" si="9"/>
        <v>0</v>
      </c>
      <c r="H67" s="341">
        <v>1</v>
      </c>
      <c r="I67" s="120"/>
      <c r="J67" s="120">
        <v>1</v>
      </c>
      <c r="K67" s="120"/>
      <c r="L67" s="120">
        <v>0</v>
      </c>
      <c r="M67" s="120">
        <v>0</v>
      </c>
      <c r="N67" s="120"/>
      <c r="O67" s="120"/>
      <c r="P67" s="120">
        <v>0</v>
      </c>
      <c r="Q67" s="120">
        <v>0</v>
      </c>
      <c r="R67" s="120"/>
      <c r="S67" s="120"/>
      <c r="T67" s="120"/>
      <c r="U67" s="120">
        <v>0</v>
      </c>
      <c r="V67" s="119"/>
      <c r="W67" s="370"/>
    </row>
    <row r="68" spans="1:23" ht="36">
      <c r="A68" s="290" t="s">
        <v>263</v>
      </c>
      <c r="B68" s="309" t="s">
        <v>363</v>
      </c>
      <c r="C68" s="284" t="s">
        <v>398</v>
      </c>
      <c r="D68" s="285">
        <f>AVERAGE(H68,L68,P68,T68)</f>
        <v>37</v>
      </c>
      <c r="E68" s="120">
        <f t="shared" si="10"/>
        <v>175914025</v>
      </c>
      <c r="F68" s="120">
        <f>AVERAGE(J68,N68,R68,V68)</f>
        <v>37</v>
      </c>
      <c r="G68" s="120">
        <f t="shared" si="9"/>
        <v>174940030</v>
      </c>
      <c r="H68" s="291">
        <v>37</v>
      </c>
      <c r="I68" s="120">
        <v>0</v>
      </c>
      <c r="J68" s="120">
        <v>37</v>
      </c>
      <c r="K68" s="120"/>
      <c r="L68" s="120">
        <v>37</v>
      </c>
      <c r="M68" s="120">
        <v>85000000</v>
      </c>
      <c r="N68" s="120">
        <v>37</v>
      </c>
      <c r="O68" s="120">
        <v>84752058</v>
      </c>
      <c r="P68" s="120">
        <v>37</v>
      </c>
      <c r="Q68" s="120">
        <v>27708553</v>
      </c>
      <c r="R68" s="120">
        <v>37</v>
      </c>
      <c r="S68" s="120">
        <v>26982500</v>
      </c>
      <c r="T68" s="120">
        <v>37</v>
      </c>
      <c r="U68" s="120">
        <v>63205472</v>
      </c>
      <c r="V68" s="119">
        <v>37</v>
      </c>
      <c r="W68" s="370">
        <v>63205472</v>
      </c>
    </row>
    <row r="69" spans="1:23" ht="54">
      <c r="A69" s="290" t="s">
        <v>399</v>
      </c>
      <c r="B69" s="309" t="s">
        <v>363</v>
      </c>
      <c r="C69" s="284" t="s">
        <v>400</v>
      </c>
      <c r="D69" s="285">
        <f>AVERAGE(H69,L69,P69,T69)</f>
        <v>0.75</v>
      </c>
      <c r="E69" s="120">
        <f t="shared" si="10"/>
        <v>195117896</v>
      </c>
      <c r="F69" s="120">
        <f>AVERAGE(J69,N69,R69,V69)</f>
        <v>1</v>
      </c>
      <c r="G69" s="120">
        <f t="shared" si="9"/>
        <v>194438130</v>
      </c>
      <c r="H69" s="291">
        <v>0</v>
      </c>
      <c r="I69" s="120">
        <v>0</v>
      </c>
      <c r="J69" s="120"/>
      <c r="K69" s="120"/>
      <c r="L69" s="120">
        <v>1</v>
      </c>
      <c r="M69" s="120">
        <v>100000000</v>
      </c>
      <c r="N69" s="120">
        <v>1</v>
      </c>
      <c r="O69" s="120">
        <v>99386964</v>
      </c>
      <c r="P69" s="120">
        <v>1</v>
      </c>
      <c r="Q69" s="120">
        <v>37983110</v>
      </c>
      <c r="R69" s="120">
        <v>1</v>
      </c>
      <c r="S69" s="120">
        <v>37983110</v>
      </c>
      <c r="T69" s="120">
        <v>1</v>
      </c>
      <c r="U69" s="120">
        <v>57134786</v>
      </c>
      <c r="V69" s="119">
        <v>1</v>
      </c>
      <c r="W69" s="370">
        <v>57068056</v>
      </c>
    </row>
    <row r="70" spans="1:23" ht="36">
      <c r="A70" s="290" t="s">
        <v>264</v>
      </c>
      <c r="B70" s="309" t="s">
        <v>361</v>
      </c>
      <c r="C70" s="284" t="s">
        <v>401</v>
      </c>
      <c r="D70" s="285">
        <f>+H70+L70+P70+T70</f>
        <v>4</v>
      </c>
      <c r="E70" s="120">
        <f t="shared" si="10"/>
        <v>384269381</v>
      </c>
      <c r="F70" s="120">
        <f>+J70+N70+R70+V71</f>
        <v>5</v>
      </c>
      <c r="G70" s="120">
        <f t="shared" si="9"/>
        <v>384224581</v>
      </c>
      <c r="H70" s="341">
        <v>1</v>
      </c>
      <c r="I70" s="120">
        <v>17148320</v>
      </c>
      <c r="J70" s="120">
        <v>2</v>
      </c>
      <c r="K70" s="120">
        <v>17148320</v>
      </c>
      <c r="L70" s="120">
        <v>1</v>
      </c>
      <c r="M70" s="120">
        <v>39000000</v>
      </c>
      <c r="N70" s="120">
        <v>1</v>
      </c>
      <c r="O70" s="120">
        <v>38955200</v>
      </c>
      <c r="P70" s="120">
        <v>1</v>
      </c>
      <c r="Q70" s="120">
        <v>158128174</v>
      </c>
      <c r="R70" s="120">
        <v>2</v>
      </c>
      <c r="S70" s="120">
        <v>158128174</v>
      </c>
      <c r="T70" s="120">
        <v>1</v>
      </c>
      <c r="U70" s="120">
        <v>169992887</v>
      </c>
      <c r="V70" s="119">
        <v>2</v>
      </c>
      <c r="W70" s="370">
        <v>169992887</v>
      </c>
    </row>
    <row r="71" spans="1:23" ht="36">
      <c r="A71" s="290" t="s">
        <v>402</v>
      </c>
      <c r="B71" s="309" t="s">
        <v>361</v>
      </c>
      <c r="C71" s="284" t="s">
        <v>403</v>
      </c>
      <c r="D71" s="285">
        <f>AVERAGE(H71,L71,P71,T71)</f>
        <v>1</v>
      </c>
      <c r="E71" s="120">
        <f t="shared" si="10"/>
        <v>68077092</v>
      </c>
      <c r="F71" s="120">
        <f>AVERAGE(J71,N71,R71,V71)</f>
        <v>0.5</v>
      </c>
      <c r="G71" s="120">
        <f t="shared" si="9"/>
        <v>18230868</v>
      </c>
      <c r="H71" s="341">
        <v>1</v>
      </c>
      <c r="I71" s="120">
        <v>68077092</v>
      </c>
      <c r="J71" s="120">
        <v>1</v>
      </c>
      <c r="K71" s="120">
        <v>18230868</v>
      </c>
      <c r="L71" s="120"/>
      <c r="M71" s="120">
        <v>0</v>
      </c>
      <c r="N71" s="120"/>
      <c r="O71" s="120"/>
      <c r="P71" s="120"/>
      <c r="Q71" s="120">
        <v>0</v>
      </c>
      <c r="R71" s="120"/>
      <c r="S71" s="120"/>
      <c r="T71" s="120"/>
      <c r="U71" s="120">
        <v>0</v>
      </c>
      <c r="V71" s="398">
        <f>+X70*100/W70</f>
        <v>0</v>
      </c>
      <c r="W71" s="370"/>
    </row>
    <row r="72" spans="1:23" ht="36">
      <c r="A72" s="290" t="s">
        <v>368</v>
      </c>
      <c r="B72" s="309" t="s">
        <v>363</v>
      </c>
      <c r="C72" s="284" t="s">
        <v>404</v>
      </c>
      <c r="D72" s="285">
        <f>AVERAGE(H72,L72,P72,T72)</f>
        <v>100</v>
      </c>
      <c r="E72" s="120">
        <f t="shared" si="10"/>
        <v>83393814</v>
      </c>
      <c r="F72" s="120">
        <f>AVERAGE(J72,N72,R72,V72)</f>
        <v>97.75</v>
      </c>
      <c r="G72" s="120">
        <f t="shared" si="9"/>
        <v>82423841</v>
      </c>
      <c r="H72" s="341">
        <v>100</v>
      </c>
      <c r="I72" s="120">
        <v>12546796</v>
      </c>
      <c r="J72" s="120">
        <v>100</v>
      </c>
      <c r="K72" s="120">
        <v>12546796</v>
      </c>
      <c r="L72" s="120">
        <v>100</v>
      </c>
      <c r="M72" s="120">
        <v>5000000</v>
      </c>
      <c r="N72" s="120">
        <v>93</v>
      </c>
      <c r="O72" s="120">
        <v>4633898</v>
      </c>
      <c r="P72" s="120">
        <v>100</v>
      </c>
      <c r="Q72" s="120">
        <v>36180163</v>
      </c>
      <c r="R72" s="120">
        <v>100</v>
      </c>
      <c r="S72" s="120">
        <v>36180163</v>
      </c>
      <c r="T72" s="120">
        <v>100</v>
      </c>
      <c r="U72" s="120">
        <v>29666855</v>
      </c>
      <c r="V72" s="398">
        <v>98</v>
      </c>
      <c r="W72" s="370">
        <v>29062984</v>
      </c>
    </row>
    <row r="73" spans="1:23" ht="36">
      <c r="A73" s="318" t="s">
        <v>405</v>
      </c>
      <c r="B73" s="307"/>
      <c r="C73" s="338"/>
      <c r="D73" s="340"/>
      <c r="E73" s="339">
        <f>SUM(E74:E79)</f>
        <v>14074383291</v>
      </c>
      <c r="F73" s="342"/>
      <c r="G73" s="339">
        <f>SUM(G74:G79)</f>
        <v>13629801103</v>
      </c>
      <c r="H73" s="340">
        <v>0</v>
      </c>
      <c r="I73" s="339">
        <f>SUM(I74:I79)</f>
        <v>1863500000</v>
      </c>
      <c r="J73" s="339"/>
      <c r="K73" s="339">
        <f>SUM(K74:K79)</f>
        <v>1517387505</v>
      </c>
      <c r="L73" s="338">
        <v>0</v>
      </c>
      <c r="M73" s="339">
        <f>SUM(M74:M79)</f>
        <v>6511311726</v>
      </c>
      <c r="N73" s="338">
        <v>0</v>
      </c>
      <c r="O73" s="339">
        <f>SUM(O74:O79)</f>
        <v>6495999030</v>
      </c>
      <c r="P73" s="339">
        <v>0</v>
      </c>
      <c r="Q73" s="339">
        <f>SUM(Q74:Q80)</f>
        <v>1457100914</v>
      </c>
      <c r="R73" s="339">
        <v>0</v>
      </c>
      <c r="S73" s="339">
        <f>SUM(S74:S79)</f>
        <v>1377268664</v>
      </c>
      <c r="T73" s="300">
        <v>0</v>
      </c>
      <c r="U73" s="339">
        <f>SUM(U74:U79)</f>
        <v>4242470651</v>
      </c>
      <c r="V73" s="391"/>
      <c r="W73" s="371">
        <f>SUM(W74:W79)</f>
        <v>4239145904</v>
      </c>
    </row>
    <row r="74" spans="1:23" ht="64.5" customHeight="1">
      <c r="A74" s="290" t="s">
        <v>266</v>
      </c>
      <c r="B74" s="343" t="s">
        <v>363</v>
      </c>
      <c r="C74" s="284" t="s">
        <v>406</v>
      </c>
      <c r="D74" s="285">
        <f>AVERAGE(H74,L74,P74,T74)</f>
        <v>37</v>
      </c>
      <c r="E74" s="120">
        <f aca="true" t="shared" si="11" ref="E74:E79">+I74+M74+Q74+U74</f>
        <v>0</v>
      </c>
      <c r="F74" s="120">
        <f>AVERAGE(J74,N74,R74,V74)</f>
        <v>37</v>
      </c>
      <c r="G74" s="120">
        <f aca="true" t="shared" si="12" ref="G74:G79">+K74+O74+S74+W74</f>
        <v>0</v>
      </c>
      <c r="H74" s="341">
        <v>37</v>
      </c>
      <c r="I74" s="120">
        <v>0</v>
      </c>
      <c r="J74" s="344">
        <v>37</v>
      </c>
      <c r="K74" s="344">
        <v>0</v>
      </c>
      <c r="L74" s="344">
        <v>37</v>
      </c>
      <c r="M74" s="344">
        <v>0</v>
      </c>
      <c r="N74" s="344">
        <v>37</v>
      </c>
      <c r="O74" s="344">
        <v>0</v>
      </c>
      <c r="P74" s="120">
        <v>37</v>
      </c>
      <c r="Q74" s="120">
        <v>0</v>
      </c>
      <c r="R74" s="120">
        <v>37</v>
      </c>
      <c r="S74" s="120">
        <v>0</v>
      </c>
      <c r="T74" s="120">
        <v>37</v>
      </c>
      <c r="U74" s="120">
        <v>0</v>
      </c>
      <c r="V74" s="398">
        <v>37</v>
      </c>
      <c r="W74" s="370">
        <f>'[5]EJECUCION FINANCIERA'!$I$7</f>
        <v>0</v>
      </c>
    </row>
    <row r="75" spans="1:23" ht="72">
      <c r="A75" s="290" t="s">
        <v>267</v>
      </c>
      <c r="B75" s="343" t="s">
        <v>363</v>
      </c>
      <c r="C75" s="284" t="s">
        <v>407</v>
      </c>
      <c r="D75" s="285">
        <f>AVERAGE(H75,L75,P75,T75)</f>
        <v>38</v>
      </c>
      <c r="E75" s="120">
        <f t="shared" si="11"/>
        <v>378606728</v>
      </c>
      <c r="F75" s="120">
        <f>AVERAGE(J75,N75,R75,V75)</f>
        <v>38</v>
      </c>
      <c r="G75" s="120">
        <f t="shared" si="12"/>
        <v>323312209</v>
      </c>
      <c r="H75" s="341">
        <v>38</v>
      </c>
      <c r="I75" s="120">
        <v>104317003</v>
      </c>
      <c r="J75" s="344">
        <v>38</v>
      </c>
      <c r="K75" s="120">
        <v>59604593</v>
      </c>
      <c r="L75" s="344">
        <v>38</v>
      </c>
      <c r="M75" s="120">
        <v>116276805</v>
      </c>
      <c r="N75" s="344">
        <v>38</v>
      </c>
      <c r="O75" s="120">
        <v>107839098</v>
      </c>
      <c r="P75" s="120">
        <v>38</v>
      </c>
      <c r="Q75" s="120">
        <v>58462920</v>
      </c>
      <c r="R75" s="120">
        <v>38</v>
      </c>
      <c r="S75" s="120">
        <v>57140757</v>
      </c>
      <c r="T75" s="120">
        <v>38</v>
      </c>
      <c r="U75" s="120">
        <v>99550000</v>
      </c>
      <c r="V75" s="398">
        <v>38</v>
      </c>
      <c r="W75" s="370">
        <v>98727761</v>
      </c>
    </row>
    <row r="76" spans="1:23" ht="61.5" customHeight="1">
      <c r="A76" s="290" t="s">
        <v>268</v>
      </c>
      <c r="B76" s="343" t="s">
        <v>361</v>
      </c>
      <c r="C76" s="284" t="s">
        <v>385</v>
      </c>
      <c r="D76" s="285">
        <f>+H76+L76+P76+T76</f>
        <v>13</v>
      </c>
      <c r="E76" s="120">
        <f t="shared" si="11"/>
        <v>4248300841</v>
      </c>
      <c r="F76" s="120">
        <f>+J76+N76+R76+V76</f>
        <v>12</v>
      </c>
      <c r="G76" s="120">
        <f t="shared" si="12"/>
        <v>3868513103</v>
      </c>
      <c r="H76" s="341">
        <v>5</v>
      </c>
      <c r="I76" s="120">
        <v>300000000</v>
      </c>
      <c r="J76" s="344">
        <v>4</v>
      </c>
      <c r="K76" s="344">
        <v>0</v>
      </c>
      <c r="L76" s="344">
        <v>4</v>
      </c>
      <c r="M76" s="120">
        <v>1319934647</v>
      </c>
      <c r="N76" s="344">
        <v>4</v>
      </c>
      <c r="O76" s="120">
        <v>1319072176</v>
      </c>
      <c r="P76" s="120">
        <v>2</v>
      </c>
      <c r="Q76" s="120">
        <v>1388095994</v>
      </c>
      <c r="R76" s="120">
        <v>2</v>
      </c>
      <c r="S76" s="120">
        <v>1309585907</v>
      </c>
      <c r="T76" s="120">
        <v>2</v>
      </c>
      <c r="U76" s="120">
        <v>1240270200</v>
      </c>
      <c r="V76" s="398">
        <v>2</v>
      </c>
      <c r="W76" s="370">
        <v>1239855020</v>
      </c>
    </row>
    <row r="77" spans="1:26" ht="174" customHeight="1">
      <c r="A77" s="290" t="s">
        <v>269</v>
      </c>
      <c r="B77" s="343" t="s">
        <v>361</v>
      </c>
      <c r="C77" s="284" t="s">
        <v>272</v>
      </c>
      <c r="D77" s="285">
        <f>+H77+L77+P77+T77</f>
        <v>32</v>
      </c>
      <c r="E77" s="120">
        <f t="shared" si="11"/>
        <v>9049505788</v>
      </c>
      <c r="F77" s="120">
        <f>+J77+N77+R77+V77</f>
        <v>32</v>
      </c>
      <c r="G77" s="120">
        <f t="shared" si="12"/>
        <v>9040005860</v>
      </c>
      <c r="H77" s="341">
        <v>4</v>
      </c>
      <c r="I77" s="120">
        <v>1437582997</v>
      </c>
      <c r="J77" s="344">
        <v>2</v>
      </c>
      <c r="K77" s="120">
        <v>1436182912</v>
      </c>
      <c r="L77" s="344">
        <v>4</v>
      </c>
      <c r="M77" s="120">
        <v>5052607778</v>
      </c>
      <c r="N77" s="344">
        <v>4</v>
      </c>
      <c r="O77" s="120">
        <v>5046595260</v>
      </c>
      <c r="P77" s="120">
        <v>18</v>
      </c>
      <c r="Q77" s="120">
        <v>0</v>
      </c>
      <c r="R77" s="120">
        <v>20</v>
      </c>
      <c r="S77" s="120">
        <v>0</v>
      </c>
      <c r="T77" s="120">
        <v>6</v>
      </c>
      <c r="U77" s="120">
        <v>2559315013</v>
      </c>
      <c r="V77" s="398">
        <v>6</v>
      </c>
      <c r="W77" s="370">
        <v>2557227688</v>
      </c>
      <c r="Z77" s="106">
        <f>+'[12]EJECUCION FINANCIERA'!$I$18-W76</f>
        <v>0</v>
      </c>
    </row>
    <row r="78" spans="1:23" ht="42.75" customHeight="1">
      <c r="A78" s="290" t="s">
        <v>270</v>
      </c>
      <c r="B78" s="343" t="s">
        <v>361</v>
      </c>
      <c r="C78" s="345" t="s">
        <v>408</v>
      </c>
      <c r="D78" s="285">
        <f>+H78+L78+P78+T78</f>
        <v>6</v>
      </c>
      <c r="E78" s="120">
        <f t="shared" si="11"/>
        <v>343335438</v>
      </c>
      <c r="F78" s="120">
        <f>+J78+N78+R78+V78</f>
        <v>8</v>
      </c>
      <c r="G78" s="120">
        <f t="shared" si="12"/>
        <v>343335435</v>
      </c>
      <c r="H78" s="341">
        <v>0</v>
      </c>
      <c r="I78" s="120">
        <v>0</v>
      </c>
      <c r="J78" s="344">
        <v>0</v>
      </c>
      <c r="K78" s="344">
        <v>0</v>
      </c>
      <c r="L78" s="344">
        <v>0</v>
      </c>
      <c r="M78" s="120">
        <v>0</v>
      </c>
      <c r="N78" s="344"/>
      <c r="O78" s="344"/>
      <c r="P78" s="120">
        <v>0</v>
      </c>
      <c r="Q78" s="120">
        <v>0</v>
      </c>
      <c r="R78" s="120">
        <v>0</v>
      </c>
      <c r="S78" s="120">
        <v>0</v>
      </c>
      <c r="T78" s="120">
        <v>6</v>
      </c>
      <c r="U78" s="120">
        <v>343335438</v>
      </c>
      <c r="V78" s="398">
        <v>8</v>
      </c>
      <c r="W78" s="370">
        <v>343335435</v>
      </c>
    </row>
    <row r="79" spans="1:23" ht="117" customHeight="1">
      <c r="A79" s="290" t="s">
        <v>271</v>
      </c>
      <c r="B79" s="343" t="s">
        <v>363</v>
      </c>
      <c r="C79" s="284" t="s">
        <v>409</v>
      </c>
      <c r="D79" s="285">
        <f>AVERAGE(H79,L79,P79,T79)</f>
        <v>37</v>
      </c>
      <c r="E79" s="120">
        <f t="shared" si="11"/>
        <v>54634496</v>
      </c>
      <c r="F79" s="120">
        <f>AVERAGE(J79,N79,R79,V79)</f>
        <v>37</v>
      </c>
      <c r="G79" s="120">
        <f t="shared" si="12"/>
        <v>54634496</v>
      </c>
      <c r="H79" s="341">
        <v>37</v>
      </c>
      <c r="I79" s="120">
        <v>21600000</v>
      </c>
      <c r="J79" s="344">
        <v>37</v>
      </c>
      <c r="K79" s="120">
        <v>21600000</v>
      </c>
      <c r="L79" s="344">
        <v>37</v>
      </c>
      <c r="M79" s="120">
        <v>22492496</v>
      </c>
      <c r="N79" s="344">
        <v>37</v>
      </c>
      <c r="O79" s="120">
        <v>22492496</v>
      </c>
      <c r="P79" s="120">
        <v>37</v>
      </c>
      <c r="Q79" s="120">
        <v>10542000</v>
      </c>
      <c r="R79" s="120">
        <v>37</v>
      </c>
      <c r="S79" s="120">
        <v>10542000</v>
      </c>
      <c r="T79" s="120">
        <v>37</v>
      </c>
      <c r="U79" s="120">
        <f>+'[11]CONSOLIDADO POAI '!$F$187</f>
        <v>0</v>
      </c>
      <c r="V79" s="398">
        <v>37</v>
      </c>
      <c r="W79" s="370">
        <v>0</v>
      </c>
    </row>
    <row r="80" spans="1:23" ht="36">
      <c r="A80" s="311" t="s">
        <v>410</v>
      </c>
      <c r="B80" s="312"/>
      <c r="C80" s="334"/>
      <c r="D80" s="334"/>
      <c r="E80" s="335">
        <f>+E81+E102</f>
        <v>10771243711.707998</v>
      </c>
      <c r="F80" s="334"/>
      <c r="G80" s="335">
        <f>+G81+G102</f>
        <v>10463736607.428</v>
      </c>
      <c r="H80" s="334"/>
      <c r="I80" s="335"/>
      <c r="J80" s="335"/>
      <c r="K80" s="335"/>
      <c r="L80" s="334">
        <v>0</v>
      </c>
      <c r="M80" s="334">
        <v>0</v>
      </c>
      <c r="N80" s="334">
        <v>0</v>
      </c>
      <c r="O80" s="334">
        <v>0</v>
      </c>
      <c r="P80" s="334">
        <v>0</v>
      </c>
      <c r="Q80" s="334"/>
      <c r="R80" s="334">
        <v>0</v>
      </c>
      <c r="S80" s="334">
        <v>0</v>
      </c>
      <c r="T80" s="334">
        <v>0</v>
      </c>
      <c r="U80" s="366">
        <v>0</v>
      </c>
      <c r="V80" s="387"/>
      <c r="W80" s="374"/>
    </row>
    <row r="81" spans="1:26" ht="54">
      <c r="A81" s="306" t="s">
        <v>411</v>
      </c>
      <c r="B81" s="307"/>
      <c r="C81" s="338"/>
      <c r="D81" s="340"/>
      <c r="E81" s="339">
        <f>SUM(E82:E101)</f>
        <v>8080600432.567999</v>
      </c>
      <c r="F81" s="340"/>
      <c r="G81" s="339">
        <f>SUM(G82:G101)</f>
        <v>7835175779.4</v>
      </c>
      <c r="H81" s="340">
        <v>0</v>
      </c>
      <c r="I81" s="339">
        <f>SUM(I82:I101)</f>
        <v>1752983400</v>
      </c>
      <c r="J81" s="339"/>
      <c r="K81" s="339">
        <f>SUM(K82:K101)</f>
        <v>1699661186</v>
      </c>
      <c r="L81" s="338">
        <v>0</v>
      </c>
      <c r="M81" s="339">
        <f>SUM(M82:M100)</f>
        <v>992419163</v>
      </c>
      <c r="N81" s="338">
        <v>0</v>
      </c>
      <c r="O81" s="339">
        <f>SUM(O82:O100)</f>
        <v>920941098</v>
      </c>
      <c r="P81" s="339">
        <v>0</v>
      </c>
      <c r="Q81" s="339">
        <f>SUM(Q82:Q100)</f>
        <v>1447377865</v>
      </c>
      <c r="R81" s="339">
        <v>0</v>
      </c>
      <c r="S81" s="339">
        <f>SUM(S82:S100)</f>
        <v>1421875175</v>
      </c>
      <c r="T81" s="338">
        <v>0</v>
      </c>
      <c r="U81" s="373">
        <f>SUM(U82:U101)</f>
        <v>3850353134.168</v>
      </c>
      <c r="V81" s="391"/>
      <c r="W81" s="371">
        <f>SUM(W82:W100)</f>
        <v>3792698320.4</v>
      </c>
      <c r="Z81" s="106">
        <f>+W81-3792698320</f>
        <v>0.40000009536743164</v>
      </c>
    </row>
    <row r="82" spans="1:23" ht="90">
      <c r="A82" s="282" t="s">
        <v>144</v>
      </c>
      <c r="B82" s="346" t="s">
        <v>363</v>
      </c>
      <c r="C82" s="284" t="s">
        <v>412</v>
      </c>
      <c r="D82" s="285">
        <f aca="true" t="shared" si="13" ref="D82:D87">AVERAGE(H82,L82,P82,T82)</f>
        <v>37</v>
      </c>
      <c r="E82" s="120">
        <f>+I82+M82+Q82+U82</f>
        <v>0</v>
      </c>
      <c r="F82" s="120">
        <f aca="true" t="shared" si="14" ref="F82:F87">AVERAGE(J82,N82,R82,V82)</f>
        <v>37</v>
      </c>
      <c r="G82" s="120">
        <f aca="true" t="shared" si="15" ref="G82:G101">+K82+O82+S82+W82</f>
        <v>0</v>
      </c>
      <c r="H82" s="341">
        <v>37</v>
      </c>
      <c r="I82" s="120">
        <v>0</v>
      </c>
      <c r="J82" s="120">
        <v>37</v>
      </c>
      <c r="K82" s="120"/>
      <c r="L82" s="120">
        <v>37</v>
      </c>
      <c r="M82" s="120">
        <v>0</v>
      </c>
      <c r="N82" s="120">
        <v>37</v>
      </c>
      <c r="O82" s="120">
        <v>0</v>
      </c>
      <c r="P82" s="120">
        <v>37</v>
      </c>
      <c r="Q82" s="120"/>
      <c r="R82" s="120">
        <v>37</v>
      </c>
      <c r="S82" s="294">
        <v>0</v>
      </c>
      <c r="T82" s="341">
        <v>37</v>
      </c>
      <c r="U82" s="341">
        <v>0</v>
      </c>
      <c r="V82" s="121">
        <v>37</v>
      </c>
      <c r="W82" s="370">
        <v>0</v>
      </c>
    </row>
    <row r="83" spans="1:23" ht="36">
      <c r="A83" s="282" t="s">
        <v>275</v>
      </c>
      <c r="B83" s="346" t="s">
        <v>363</v>
      </c>
      <c r="C83" s="284" t="s">
        <v>1</v>
      </c>
      <c r="D83" s="285">
        <f t="shared" si="13"/>
        <v>60</v>
      </c>
      <c r="E83" s="120">
        <f>+I83+M83+Q83+U83</f>
        <v>0</v>
      </c>
      <c r="F83" s="120">
        <f t="shared" si="14"/>
        <v>70</v>
      </c>
      <c r="G83" s="120">
        <f t="shared" si="15"/>
        <v>0</v>
      </c>
      <c r="H83" s="341">
        <v>50</v>
      </c>
      <c r="I83" s="120">
        <v>0</v>
      </c>
      <c r="J83" s="120">
        <v>64</v>
      </c>
      <c r="K83" s="120"/>
      <c r="L83" s="120">
        <v>60</v>
      </c>
      <c r="M83" s="120">
        <v>0</v>
      </c>
      <c r="N83" s="120">
        <v>72</v>
      </c>
      <c r="O83" s="120">
        <v>0</v>
      </c>
      <c r="P83" s="120">
        <v>60</v>
      </c>
      <c r="Q83" s="120"/>
      <c r="R83" s="120">
        <v>73</v>
      </c>
      <c r="S83" s="294">
        <v>0</v>
      </c>
      <c r="T83" s="58">
        <v>70</v>
      </c>
      <c r="U83" s="341">
        <v>0</v>
      </c>
      <c r="V83" s="121">
        <v>71</v>
      </c>
      <c r="W83" s="370">
        <v>0</v>
      </c>
    </row>
    <row r="84" spans="1:23" ht="36">
      <c r="A84" s="282" t="s">
        <v>276</v>
      </c>
      <c r="B84" s="346" t="s">
        <v>363</v>
      </c>
      <c r="C84" s="284" t="s">
        <v>1</v>
      </c>
      <c r="D84" s="285">
        <f t="shared" si="13"/>
        <v>67.5</v>
      </c>
      <c r="E84" s="120">
        <f>+I84+M84+Q84+U84</f>
        <v>123271409.4</v>
      </c>
      <c r="F84" s="120">
        <f t="shared" si="14"/>
        <v>94.5</v>
      </c>
      <c r="G84" s="120">
        <f>+K84+O84+S84+W84</f>
        <v>123271409.4</v>
      </c>
      <c r="H84" s="341">
        <v>50</v>
      </c>
      <c r="I84" s="120">
        <v>28542766</v>
      </c>
      <c r="J84" s="120">
        <v>94</v>
      </c>
      <c r="K84" s="120">
        <v>28542766</v>
      </c>
      <c r="L84" s="120">
        <v>60</v>
      </c>
      <c r="M84" s="120">
        <v>28346573</v>
      </c>
      <c r="N84" s="120">
        <v>120</v>
      </c>
      <c r="O84" s="120">
        <v>28346573</v>
      </c>
      <c r="P84" s="120">
        <v>70</v>
      </c>
      <c r="Q84" s="120">
        <v>28915200</v>
      </c>
      <c r="R84" s="120">
        <v>70</v>
      </c>
      <c r="S84" s="120">
        <v>28915200</v>
      </c>
      <c r="T84" s="58">
        <v>90</v>
      </c>
      <c r="U84" s="120">
        <v>37466870.4</v>
      </c>
      <c r="V84" s="121">
        <v>94</v>
      </c>
      <c r="W84" s="370">
        <v>37466870.4</v>
      </c>
    </row>
    <row r="85" spans="1:26" ht="72">
      <c r="A85" s="290" t="s">
        <v>277</v>
      </c>
      <c r="B85" s="346" t="s">
        <v>363</v>
      </c>
      <c r="C85" s="284" t="s">
        <v>412</v>
      </c>
      <c r="D85" s="285">
        <f t="shared" si="13"/>
        <v>37</v>
      </c>
      <c r="E85" s="120">
        <f>+I85+M85+Q85+U84</f>
        <v>53865536.4</v>
      </c>
      <c r="F85" s="120">
        <f t="shared" si="14"/>
        <v>37</v>
      </c>
      <c r="G85" s="120">
        <f>+K85+O85+S85+W85</f>
        <v>46621935</v>
      </c>
      <c r="H85" s="341">
        <v>37</v>
      </c>
      <c r="I85" s="120">
        <v>0</v>
      </c>
      <c r="J85" s="120">
        <v>37</v>
      </c>
      <c r="K85" s="120"/>
      <c r="L85" s="120">
        <v>37</v>
      </c>
      <c r="M85" s="120">
        <v>0</v>
      </c>
      <c r="N85" s="120">
        <v>37</v>
      </c>
      <c r="O85" s="120">
        <v>0</v>
      </c>
      <c r="P85" s="120">
        <v>37</v>
      </c>
      <c r="Q85" s="120">
        <v>16398666</v>
      </c>
      <c r="R85" s="120">
        <v>37</v>
      </c>
      <c r="S85" s="120">
        <v>16398666</v>
      </c>
      <c r="T85" s="58">
        <v>37</v>
      </c>
      <c r="U85" s="120">
        <v>30223269.432</v>
      </c>
      <c r="V85" s="121">
        <v>37</v>
      </c>
      <c r="W85" s="370">
        <v>30223269</v>
      </c>
      <c r="Z85" s="106">
        <f>+W81-3792698320</f>
        <v>0.40000009536743164</v>
      </c>
    </row>
    <row r="86" spans="1:23" ht="72">
      <c r="A86" s="282" t="s">
        <v>278</v>
      </c>
      <c r="B86" s="346" t="s">
        <v>363</v>
      </c>
      <c r="C86" s="284" t="s">
        <v>413</v>
      </c>
      <c r="D86" s="285">
        <f t="shared" si="13"/>
        <v>1</v>
      </c>
      <c r="E86" s="120">
        <f>+I86+M86+Q86+U85</f>
        <v>398056074.432</v>
      </c>
      <c r="F86" s="120">
        <f t="shared" si="14"/>
        <v>1</v>
      </c>
      <c r="G86" s="120">
        <f>+K86+O86+S86+W86</f>
        <v>385582841</v>
      </c>
      <c r="H86" s="341">
        <v>1</v>
      </c>
      <c r="I86" s="120">
        <v>161159483</v>
      </c>
      <c r="J86" s="120">
        <v>1</v>
      </c>
      <c r="K86" s="120">
        <v>161159483</v>
      </c>
      <c r="L86" s="120">
        <v>1</v>
      </c>
      <c r="M86" s="120">
        <v>26651827</v>
      </c>
      <c r="N86" s="120">
        <v>1</v>
      </c>
      <c r="O86" s="120">
        <v>26651827</v>
      </c>
      <c r="P86" s="120">
        <v>1</v>
      </c>
      <c r="Q86" s="120">
        <v>180021495</v>
      </c>
      <c r="R86" s="120">
        <v>1</v>
      </c>
      <c r="S86" s="120">
        <v>179699531</v>
      </c>
      <c r="T86" s="120">
        <v>1</v>
      </c>
      <c r="U86" s="120">
        <v>18331094</v>
      </c>
      <c r="V86" s="121">
        <v>1</v>
      </c>
      <c r="W86" s="370">
        <v>18072000</v>
      </c>
    </row>
    <row r="87" spans="1:23" ht="54">
      <c r="A87" s="290" t="s">
        <v>279</v>
      </c>
      <c r="B87" s="346" t="s">
        <v>363</v>
      </c>
      <c r="C87" s="284" t="s">
        <v>414</v>
      </c>
      <c r="D87" s="285">
        <f t="shared" si="13"/>
        <v>0.75</v>
      </c>
      <c r="E87" s="120">
        <f>+I87+M87+Q87+U86</f>
        <v>135384960</v>
      </c>
      <c r="F87" s="120">
        <f t="shared" si="14"/>
        <v>0.75</v>
      </c>
      <c r="G87" s="120">
        <f>+K87+O87+S87+W87</f>
        <v>116984396</v>
      </c>
      <c r="H87" s="341">
        <v>1</v>
      </c>
      <c r="I87" s="120">
        <v>0</v>
      </c>
      <c r="J87" s="120">
        <v>1</v>
      </c>
      <c r="K87" s="120"/>
      <c r="L87" s="120">
        <v>1</v>
      </c>
      <c r="M87" s="120">
        <v>100000000</v>
      </c>
      <c r="N87" s="120">
        <v>1</v>
      </c>
      <c r="O87" s="120">
        <v>99930530</v>
      </c>
      <c r="P87" s="120">
        <v>1</v>
      </c>
      <c r="Q87" s="120">
        <v>17053866</v>
      </c>
      <c r="R87" s="120">
        <v>1</v>
      </c>
      <c r="S87" s="120">
        <v>17053866</v>
      </c>
      <c r="T87" s="120">
        <v>0</v>
      </c>
      <c r="U87" s="402">
        <v>0</v>
      </c>
      <c r="V87" s="121">
        <v>0</v>
      </c>
      <c r="W87" s="370">
        <v>0</v>
      </c>
    </row>
    <row r="88" spans="1:23" ht="36">
      <c r="A88" s="290" t="s">
        <v>280</v>
      </c>
      <c r="B88" s="346" t="s">
        <v>361</v>
      </c>
      <c r="C88" s="284" t="s">
        <v>415</v>
      </c>
      <c r="D88" s="285">
        <f>+H88+L88+P88+T88</f>
        <v>2171</v>
      </c>
      <c r="E88" s="120">
        <f>+I88+M88+Q88+U88</f>
        <v>81423980</v>
      </c>
      <c r="F88" s="120">
        <f>+J88+N88+R88+V88</f>
        <v>2182</v>
      </c>
      <c r="G88" s="120">
        <f t="shared" si="15"/>
        <v>81309944</v>
      </c>
      <c r="H88" s="341">
        <v>351</v>
      </c>
      <c r="I88" s="120">
        <v>0</v>
      </c>
      <c r="J88" s="120">
        <v>167</v>
      </c>
      <c r="K88" s="120"/>
      <c r="L88" s="120">
        <v>456</v>
      </c>
      <c r="M88" s="120">
        <v>51303980</v>
      </c>
      <c r="N88" s="120">
        <v>456</v>
      </c>
      <c r="O88" s="120">
        <v>51204000</v>
      </c>
      <c r="P88" s="120">
        <v>593</v>
      </c>
      <c r="Q88" s="120">
        <v>0</v>
      </c>
      <c r="R88" s="120">
        <v>778</v>
      </c>
      <c r="S88" s="294">
        <v>0</v>
      </c>
      <c r="T88" s="120">
        <v>771</v>
      </c>
      <c r="U88" s="120">
        <v>30120000</v>
      </c>
      <c r="V88" s="121">
        <v>781</v>
      </c>
      <c r="W88" s="370">
        <v>30105944</v>
      </c>
    </row>
    <row r="89" spans="1:23" ht="126">
      <c r="A89" s="282" t="s">
        <v>156</v>
      </c>
      <c r="B89" s="346" t="s">
        <v>363</v>
      </c>
      <c r="C89" s="284" t="s">
        <v>1</v>
      </c>
      <c r="D89" s="285">
        <f aca="true" t="shared" si="16" ref="D89:D101">AVERAGE(H89,L89,P89,T89)</f>
        <v>35</v>
      </c>
      <c r="E89" s="120">
        <f aca="true" t="shared" si="17" ref="E89:E101">+I89+M89+Q89+U89</f>
        <v>209526482</v>
      </c>
      <c r="F89" s="120">
        <f aca="true" t="shared" si="18" ref="F89:F101">AVERAGE(J89,N89,R89,V89)</f>
        <v>43.75</v>
      </c>
      <c r="G89" s="120">
        <f t="shared" si="15"/>
        <v>202675073</v>
      </c>
      <c r="H89" s="341">
        <v>20</v>
      </c>
      <c r="I89" s="120">
        <v>138794167</v>
      </c>
      <c r="J89" s="120">
        <v>20</v>
      </c>
      <c r="K89" s="120">
        <v>138794167</v>
      </c>
      <c r="L89" s="120">
        <v>30</v>
      </c>
      <c r="M89" s="120">
        <v>0</v>
      </c>
      <c r="N89" s="120">
        <v>30</v>
      </c>
      <c r="O89" s="120">
        <v>0</v>
      </c>
      <c r="P89" s="120">
        <v>40</v>
      </c>
      <c r="Q89" s="120">
        <v>0</v>
      </c>
      <c r="R89" s="120">
        <v>75</v>
      </c>
      <c r="S89" s="294">
        <v>0</v>
      </c>
      <c r="T89" s="120">
        <v>50</v>
      </c>
      <c r="U89" s="120">
        <v>70732315</v>
      </c>
      <c r="V89" s="121">
        <v>50</v>
      </c>
      <c r="W89" s="370">
        <v>63880906</v>
      </c>
    </row>
    <row r="90" spans="1:23" ht="54">
      <c r="A90" s="282" t="s">
        <v>281</v>
      </c>
      <c r="B90" s="346" t="s">
        <v>363</v>
      </c>
      <c r="C90" s="284" t="s">
        <v>416</v>
      </c>
      <c r="D90" s="285">
        <f t="shared" si="16"/>
        <v>90</v>
      </c>
      <c r="E90" s="120">
        <f t="shared" si="17"/>
        <v>0</v>
      </c>
      <c r="F90" s="120">
        <f t="shared" si="18"/>
        <v>82.5</v>
      </c>
      <c r="G90" s="120">
        <f t="shared" si="15"/>
        <v>0</v>
      </c>
      <c r="H90" s="341">
        <v>90</v>
      </c>
      <c r="I90" s="120">
        <v>0</v>
      </c>
      <c r="J90" s="120">
        <v>60</v>
      </c>
      <c r="K90" s="120"/>
      <c r="L90" s="120">
        <v>90</v>
      </c>
      <c r="M90" s="120">
        <v>0</v>
      </c>
      <c r="N90" s="120">
        <v>90</v>
      </c>
      <c r="O90" s="120">
        <v>0</v>
      </c>
      <c r="P90" s="120">
        <v>90</v>
      </c>
      <c r="Q90" s="120">
        <v>0</v>
      </c>
      <c r="R90" s="120">
        <v>90</v>
      </c>
      <c r="S90" s="294">
        <v>0</v>
      </c>
      <c r="T90" s="120">
        <v>90</v>
      </c>
      <c r="U90" s="120">
        <v>0</v>
      </c>
      <c r="V90" s="121">
        <v>90</v>
      </c>
      <c r="W90" s="370">
        <f>'[6]EJECUCION FINANCIERA'!$I$48</f>
        <v>0</v>
      </c>
    </row>
    <row r="91" spans="1:23" ht="54">
      <c r="A91" s="282" t="s">
        <v>282</v>
      </c>
      <c r="B91" s="346" t="s">
        <v>363</v>
      </c>
      <c r="C91" s="284" t="s">
        <v>417</v>
      </c>
      <c r="D91" s="285">
        <f t="shared" si="16"/>
        <v>60</v>
      </c>
      <c r="E91" s="120">
        <f t="shared" si="17"/>
        <v>0</v>
      </c>
      <c r="F91" s="120">
        <f t="shared" si="18"/>
        <v>53.75</v>
      </c>
      <c r="G91" s="120">
        <f t="shared" si="15"/>
        <v>0</v>
      </c>
      <c r="H91" s="341">
        <v>60</v>
      </c>
      <c r="I91" s="120">
        <v>0</v>
      </c>
      <c r="J91" s="120">
        <v>35</v>
      </c>
      <c r="K91" s="120"/>
      <c r="L91" s="120">
        <v>60</v>
      </c>
      <c r="M91" s="120">
        <v>0</v>
      </c>
      <c r="N91" s="120">
        <v>60</v>
      </c>
      <c r="O91" s="120">
        <v>0</v>
      </c>
      <c r="P91" s="120">
        <v>60</v>
      </c>
      <c r="Q91" s="120">
        <v>0</v>
      </c>
      <c r="R91" s="120">
        <v>60</v>
      </c>
      <c r="S91" s="294">
        <v>0</v>
      </c>
      <c r="T91" s="120">
        <v>60</v>
      </c>
      <c r="U91" s="120">
        <v>0</v>
      </c>
      <c r="V91" s="121">
        <v>60</v>
      </c>
      <c r="W91" s="370">
        <v>0</v>
      </c>
    </row>
    <row r="92" spans="1:26" ht="72">
      <c r="A92" s="290" t="s">
        <v>283</v>
      </c>
      <c r="B92" s="346" t="s">
        <v>363</v>
      </c>
      <c r="C92" s="284" t="s">
        <v>381</v>
      </c>
      <c r="D92" s="285">
        <f t="shared" si="16"/>
        <v>1</v>
      </c>
      <c r="E92" s="120">
        <f t="shared" si="17"/>
        <v>852018728.44</v>
      </c>
      <c r="F92" s="120">
        <f t="shared" si="18"/>
        <v>1</v>
      </c>
      <c r="G92" s="120">
        <f t="shared" si="15"/>
        <v>843904402</v>
      </c>
      <c r="H92" s="341">
        <v>1</v>
      </c>
      <c r="I92" s="120">
        <v>0</v>
      </c>
      <c r="J92" s="120">
        <v>1</v>
      </c>
      <c r="K92" s="120"/>
      <c r="L92" s="120">
        <v>1</v>
      </c>
      <c r="M92" s="120">
        <v>93968722</v>
      </c>
      <c r="N92" s="120">
        <v>1</v>
      </c>
      <c r="O92" s="120">
        <v>93004882</v>
      </c>
      <c r="P92" s="120">
        <v>1</v>
      </c>
      <c r="Q92" s="120">
        <v>99976248</v>
      </c>
      <c r="R92" s="120">
        <v>1</v>
      </c>
      <c r="S92" s="120">
        <v>99976248</v>
      </c>
      <c r="T92" s="120">
        <v>1</v>
      </c>
      <c r="U92" s="120">
        <v>658073758.44</v>
      </c>
      <c r="V92" s="121">
        <v>1</v>
      </c>
      <c r="W92" s="370">
        <v>650923272</v>
      </c>
      <c r="Z92" s="381"/>
    </row>
    <row r="93" spans="1:23" ht="72">
      <c r="A93" s="290" t="s">
        <v>284</v>
      </c>
      <c r="B93" s="346" t="s">
        <v>363</v>
      </c>
      <c r="C93" s="284" t="s">
        <v>383</v>
      </c>
      <c r="D93" s="285">
        <f t="shared" si="16"/>
        <v>100</v>
      </c>
      <c r="E93" s="120">
        <f t="shared" si="17"/>
        <v>5933203</v>
      </c>
      <c r="F93" s="120">
        <f t="shared" si="18"/>
        <v>100</v>
      </c>
      <c r="G93" s="120">
        <f t="shared" si="15"/>
        <v>5421600</v>
      </c>
      <c r="H93" s="341">
        <v>100</v>
      </c>
      <c r="I93" s="120">
        <v>0</v>
      </c>
      <c r="J93" s="120">
        <v>100</v>
      </c>
      <c r="K93" s="120"/>
      <c r="L93" s="120">
        <v>100</v>
      </c>
      <c r="M93" s="120">
        <v>5933203</v>
      </c>
      <c r="N93" s="120">
        <v>100</v>
      </c>
      <c r="O93" s="120">
        <v>5421600</v>
      </c>
      <c r="P93" s="120">
        <v>100</v>
      </c>
      <c r="Q93" s="120">
        <v>0</v>
      </c>
      <c r="R93" s="120">
        <v>100</v>
      </c>
      <c r="S93" s="120">
        <v>0</v>
      </c>
      <c r="T93" s="120">
        <v>100</v>
      </c>
      <c r="U93" s="120">
        <v>0</v>
      </c>
      <c r="V93" s="121">
        <v>100</v>
      </c>
      <c r="W93" s="370">
        <v>0</v>
      </c>
    </row>
    <row r="94" spans="1:23" ht="54">
      <c r="A94" s="290" t="s">
        <v>285</v>
      </c>
      <c r="B94" s="346" t="s">
        <v>363</v>
      </c>
      <c r="C94" s="284" t="s">
        <v>1</v>
      </c>
      <c r="D94" s="285">
        <f t="shared" si="16"/>
        <v>65</v>
      </c>
      <c r="E94" s="120">
        <f t="shared" si="17"/>
        <v>113777378</v>
      </c>
      <c r="F94" s="120">
        <f t="shared" si="18"/>
        <v>85</v>
      </c>
      <c r="G94" s="120">
        <f t="shared" si="15"/>
        <v>113777378</v>
      </c>
      <c r="H94" s="341">
        <v>50</v>
      </c>
      <c r="I94" s="120">
        <v>113777378</v>
      </c>
      <c r="J94" s="120">
        <v>90</v>
      </c>
      <c r="K94" s="120">
        <v>113777378</v>
      </c>
      <c r="L94" s="120">
        <v>60</v>
      </c>
      <c r="M94" s="120">
        <v>0</v>
      </c>
      <c r="N94" s="120">
        <v>100</v>
      </c>
      <c r="O94" s="120">
        <v>0</v>
      </c>
      <c r="P94" s="120">
        <v>70</v>
      </c>
      <c r="Q94" s="120">
        <v>0</v>
      </c>
      <c r="R94" s="120">
        <v>70</v>
      </c>
      <c r="S94" s="120">
        <v>0</v>
      </c>
      <c r="T94" s="120">
        <v>80</v>
      </c>
      <c r="U94" s="120">
        <v>0</v>
      </c>
      <c r="V94" s="121">
        <v>80</v>
      </c>
      <c r="W94" s="370">
        <v>0</v>
      </c>
    </row>
    <row r="95" spans="1:23" ht="36">
      <c r="A95" s="290" t="s">
        <v>286</v>
      </c>
      <c r="B95" s="346" t="s">
        <v>363</v>
      </c>
      <c r="C95" s="284" t="s">
        <v>1</v>
      </c>
      <c r="D95" s="285">
        <f t="shared" si="16"/>
        <v>65</v>
      </c>
      <c r="E95" s="120">
        <f t="shared" si="17"/>
        <v>23690163</v>
      </c>
      <c r="F95" s="120">
        <f t="shared" si="18"/>
        <v>65</v>
      </c>
      <c r="G95" s="120">
        <f t="shared" si="15"/>
        <v>22479542</v>
      </c>
      <c r="H95" s="341">
        <v>50</v>
      </c>
      <c r="I95" s="120">
        <v>0</v>
      </c>
      <c r="J95" s="120">
        <v>50</v>
      </c>
      <c r="K95" s="120"/>
      <c r="L95" s="120">
        <v>60</v>
      </c>
      <c r="M95" s="120">
        <v>14684075</v>
      </c>
      <c r="N95" s="120">
        <v>60</v>
      </c>
      <c r="O95" s="120">
        <v>14665732</v>
      </c>
      <c r="P95" s="120">
        <v>70</v>
      </c>
      <c r="Q95" s="120">
        <v>4990088</v>
      </c>
      <c r="R95" s="120">
        <v>70</v>
      </c>
      <c r="S95" s="120">
        <v>4016000</v>
      </c>
      <c r="T95" s="120">
        <v>80</v>
      </c>
      <c r="U95" s="120">
        <v>4016000</v>
      </c>
      <c r="V95" s="121">
        <v>80</v>
      </c>
      <c r="W95" s="370">
        <v>3797810</v>
      </c>
    </row>
    <row r="96" spans="1:23" ht="73.5" customHeight="1">
      <c r="A96" s="378" t="s">
        <v>546</v>
      </c>
      <c r="B96" s="346" t="s">
        <v>361</v>
      </c>
      <c r="C96" s="284" t="s">
        <v>418</v>
      </c>
      <c r="D96" s="285">
        <f t="shared" si="16"/>
        <v>11.25</v>
      </c>
      <c r="E96" s="120">
        <f t="shared" si="17"/>
        <v>1964425655.768</v>
      </c>
      <c r="F96" s="120">
        <f t="shared" si="18"/>
        <v>11.25</v>
      </c>
      <c r="G96" s="120">
        <f t="shared" si="15"/>
        <v>1949547397</v>
      </c>
      <c r="H96" s="341">
        <v>0</v>
      </c>
      <c r="I96" s="120">
        <v>0</v>
      </c>
      <c r="J96" s="120">
        <v>0</v>
      </c>
      <c r="K96" s="120"/>
      <c r="L96" s="120">
        <v>0</v>
      </c>
      <c r="M96" s="120">
        <v>0</v>
      </c>
      <c r="N96" s="120">
        <v>0</v>
      </c>
      <c r="O96" s="120">
        <v>0</v>
      </c>
      <c r="P96" s="120">
        <v>20</v>
      </c>
      <c r="Q96" s="120">
        <v>150908612</v>
      </c>
      <c r="R96" s="120">
        <v>20</v>
      </c>
      <c r="S96" s="120">
        <v>150600000</v>
      </c>
      <c r="T96" s="58">
        <v>25</v>
      </c>
      <c r="U96" s="120">
        <v>1813517043.768</v>
      </c>
      <c r="V96" s="345">
        <v>25</v>
      </c>
      <c r="W96" s="370">
        <v>1798947397</v>
      </c>
    </row>
    <row r="97" spans="1:23" ht="54">
      <c r="A97" s="290" t="s">
        <v>287</v>
      </c>
      <c r="B97" s="346" t="s">
        <v>361</v>
      </c>
      <c r="C97" s="284" t="s">
        <v>419</v>
      </c>
      <c r="D97" s="285">
        <f t="shared" si="16"/>
        <v>1</v>
      </c>
      <c r="E97" s="120">
        <f t="shared" si="17"/>
        <v>71202439</v>
      </c>
      <c r="F97" s="120">
        <f t="shared" si="18"/>
        <v>1</v>
      </c>
      <c r="G97" s="120">
        <f t="shared" si="15"/>
        <v>62852810</v>
      </c>
      <c r="H97" s="341">
        <v>1</v>
      </c>
      <c r="I97" s="120">
        <v>0</v>
      </c>
      <c r="J97" s="120">
        <v>1</v>
      </c>
      <c r="K97" s="120"/>
      <c r="L97" s="120">
        <v>1</v>
      </c>
      <c r="M97" s="120">
        <v>45664699</v>
      </c>
      <c r="N97" s="120">
        <v>1</v>
      </c>
      <c r="O97" s="120">
        <v>45510662</v>
      </c>
      <c r="P97" s="120">
        <v>1</v>
      </c>
      <c r="Q97" s="120">
        <v>6977740</v>
      </c>
      <c r="R97" s="120">
        <v>1</v>
      </c>
      <c r="S97" s="120">
        <v>0</v>
      </c>
      <c r="T97" s="120">
        <v>1</v>
      </c>
      <c r="U97" s="120">
        <v>18560000</v>
      </c>
      <c r="V97" s="121">
        <v>1</v>
      </c>
      <c r="W97" s="370">
        <v>17342148</v>
      </c>
    </row>
    <row r="98" spans="1:23" ht="72">
      <c r="A98" s="290" t="s">
        <v>288</v>
      </c>
      <c r="B98" s="346" t="s">
        <v>363</v>
      </c>
      <c r="C98" s="284" t="s">
        <v>395</v>
      </c>
      <c r="D98" s="285">
        <f t="shared" si="16"/>
        <v>32.5</v>
      </c>
      <c r="E98" s="120">
        <f t="shared" si="17"/>
        <v>306184912.568</v>
      </c>
      <c r="F98" s="120">
        <f t="shared" si="18"/>
        <v>32.5</v>
      </c>
      <c r="G98" s="120">
        <f t="shared" si="15"/>
        <v>252100546</v>
      </c>
      <c r="H98" s="341">
        <v>19</v>
      </c>
      <c r="I98" s="120">
        <v>79530384</v>
      </c>
      <c r="J98" s="120">
        <v>19</v>
      </c>
      <c r="K98" s="120">
        <v>79530384</v>
      </c>
      <c r="L98" s="120">
        <v>37</v>
      </c>
      <c r="M98" s="120">
        <v>105933203</v>
      </c>
      <c r="N98" s="120">
        <v>37</v>
      </c>
      <c r="O98" s="120">
        <v>66635040</v>
      </c>
      <c r="P98" s="120">
        <v>37</v>
      </c>
      <c r="Q98" s="120">
        <v>19223616</v>
      </c>
      <c r="R98" s="120">
        <v>37</v>
      </c>
      <c r="S98" s="120">
        <v>5095099</v>
      </c>
      <c r="T98" s="120">
        <v>37</v>
      </c>
      <c r="U98" s="120">
        <v>101497709.568</v>
      </c>
      <c r="V98" s="121">
        <v>37</v>
      </c>
      <c r="W98" s="370">
        <v>100840023</v>
      </c>
    </row>
    <row r="99" spans="1:23" ht="54">
      <c r="A99" s="290" t="s">
        <v>0</v>
      </c>
      <c r="B99" s="346" t="s">
        <v>363</v>
      </c>
      <c r="C99" s="284" t="s">
        <v>2</v>
      </c>
      <c r="D99" s="285">
        <f t="shared" si="16"/>
        <v>70</v>
      </c>
      <c r="E99" s="120">
        <f t="shared" si="17"/>
        <v>242289896.28</v>
      </c>
      <c r="F99" s="120">
        <f t="shared" si="18"/>
        <v>80</v>
      </c>
      <c r="G99" s="120">
        <f t="shared" si="15"/>
        <v>236534507</v>
      </c>
      <c r="H99" s="341">
        <v>40</v>
      </c>
      <c r="I99" s="120">
        <v>6024000</v>
      </c>
      <c r="J99" s="120">
        <v>70</v>
      </c>
      <c r="K99" s="120">
        <v>6024000</v>
      </c>
      <c r="L99" s="120">
        <v>60</v>
      </c>
      <c r="M99" s="120">
        <v>73333454</v>
      </c>
      <c r="N99" s="120">
        <v>60</v>
      </c>
      <c r="O99" s="120">
        <v>69860328</v>
      </c>
      <c r="P99" s="120">
        <v>80</v>
      </c>
      <c r="Q99" s="120">
        <v>49660406</v>
      </c>
      <c r="R99" s="120">
        <v>90</v>
      </c>
      <c r="S99" s="120">
        <v>49660405</v>
      </c>
      <c r="T99" s="120">
        <v>100</v>
      </c>
      <c r="U99" s="120">
        <v>113272036.28</v>
      </c>
      <c r="V99" s="121">
        <v>100</v>
      </c>
      <c r="W99" s="370">
        <v>110989774</v>
      </c>
    </row>
    <row r="100" spans="1:25" ht="108">
      <c r="A100" s="290" t="s">
        <v>420</v>
      </c>
      <c r="B100" s="346" t="s">
        <v>363</v>
      </c>
      <c r="C100" s="284" t="s">
        <v>413</v>
      </c>
      <c r="D100" s="285">
        <f t="shared" si="16"/>
        <v>1</v>
      </c>
      <c r="E100" s="120">
        <f t="shared" si="17"/>
        <v>3376522258.28</v>
      </c>
      <c r="F100" s="120">
        <f t="shared" si="18"/>
        <v>1</v>
      </c>
      <c r="G100" s="120">
        <f t="shared" si="15"/>
        <v>3271573661</v>
      </c>
      <c r="H100" s="341">
        <v>1</v>
      </c>
      <c r="I100" s="120">
        <v>1102127866</v>
      </c>
      <c r="J100" s="120">
        <v>1</v>
      </c>
      <c r="K100" s="120">
        <f>1052455687-581667-579350</f>
        <v>1051294670</v>
      </c>
      <c r="L100" s="120">
        <v>1</v>
      </c>
      <c r="M100" s="120">
        <v>446599427</v>
      </c>
      <c r="N100" s="120">
        <v>1</v>
      </c>
      <c r="O100" s="120">
        <v>419709924</v>
      </c>
      <c r="P100" s="120">
        <v>1</v>
      </c>
      <c r="Q100" s="120">
        <v>873251928</v>
      </c>
      <c r="R100" s="120">
        <v>1</v>
      </c>
      <c r="S100" s="120">
        <v>870460160</v>
      </c>
      <c r="T100" s="120">
        <v>1</v>
      </c>
      <c r="U100" s="120">
        <v>954543037.2800001</v>
      </c>
      <c r="V100" s="121">
        <v>1</v>
      </c>
      <c r="W100" s="370">
        <f>930472832-363925</f>
        <v>930108907</v>
      </c>
      <c r="Y100" s="372">
        <f>+W100-U100</f>
        <v>-24434130.28000009</v>
      </c>
    </row>
    <row r="101" spans="1:26" ht="36">
      <c r="A101" s="290" t="s">
        <v>148</v>
      </c>
      <c r="B101" s="294" t="s">
        <v>363</v>
      </c>
      <c r="C101" s="284" t="s">
        <v>149</v>
      </c>
      <c r="D101" s="285">
        <f t="shared" si="16"/>
        <v>1</v>
      </c>
      <c r="E101" s="120">
        <f t="shared" si="17"/>
        <v>123027356</v>
      </c>
      <c r="F101" s="120">
        <f t="shared" si="18"/>
        <v>1</v>
      </c>
      <c r="G101" s="120">
        <f t="shared" si="15"/>
        <v>120538338</v>
      </c>
      <c r="H101" s="341">
        <v>1</v>
      </c>
      <c r="I101" s="120">
        <v>123027356</v>
      </c>
      <c r="J101" s="120">
        <v>1</v>
      </c>
      <c r="K101" s="120">
        <v>120538338</v>
      </c>
      <c r="L101" s="120"/>
      <c r="M101" s="120">
        <v>0</v>
      </c>
      <c r="N101" s="120"/>
      <c r="O101" s="120"/>
      <c r="P101" s="120"/>
      <c r="Q101" s="120"/>
      <c r="R101" s="120"/>
      <c r="S101" s="294"/>
      <c r="T101" s="120"/>
      <c r="U101" s="120"/>
      <c r="V101" s="389"/>
      <c r="W101" s="370"/>
      <c r="Z101" s="106"/>
    </row>
    <row r="102" spans="1:23" ht="54">
      <c r="A102" s="318" t="s">
        <v>421</v>
      </c>
      <c r="B102" s="307"/>
      <c r="C102" s="338"/>
      <c r="D102" s="340"/>
      <c r="E102" s="339">
        <f>SUM(E103:E110)</f>
        <v>2690643279.14</v>
      </c>
      <c r="F102" s="340"/>
      <c r="G102" s="339">
        <f>SUM(G103:G110)</f>
        <v>2628560828.028</v>
      </c>
      <c r="H102" s="340">
        <v>0</v>
      </c>
      <c r="I102" s="339">
        <f>SUM(I103:I110)</f>
        <v>195300000</v>
      </c>
      <c r="J102" s="347"/>
      <c r="K102" s="347">
        <f>SUM(K103:K110)</f>
        <v>192138370</v>
      </c>
      <c r="L102" s="348">
        <v>0</v>
      </c>
      <c r="M102" s="349">
        <f>SUM(M103:M110)</f>
        <v>350000000</v>
      </c>
      <c r="N102" s="348">
        <v>0</v>
      </c>
      <c r="O102" s="349">
        <f>SUM(O103:O109)</f>
        <v>347571280</v>
      </c>
      <c r="P102" s="349">
        <v>0</v>
      </c>
      <c r="Q102" s="349">
        <f>SUM(Q103:Q110)</f>
        <v>589580893</v>
      </c>
      <c r="R102" s="349">
        <v>0</v>
      </c>
      <c r="S102" s="349">
        <f>SUM(S103:S109)</f>
        <v>580195063</v>
      </c>
      <c r="T102" s="349">
        <v>0</v>
      </c>
      <c r="U102" s="328">
        <f>SUM(U103:U110)</f>
        <v>1555762386.1399999</v>
      </c>
      <c r="V102" s="391"/>
      <c r="W102" s="371">
        <f>SUM(W103:W109)</f>
        <v>1508656115.0279999</v>
      </c>
    </row>
    <row r="103" spans="1:24" ht="90">
      <c r="A103" s="290" t="s">
        <v>4</v>
      </c>
      <c r="B103" s="294" t="s">
        <v>363</v>
      </c>
      <c r="C103" s="284" t="s">
        <v>422</v>
      </c>
      <c r="D103" s="285">
        <f aca="true" t="shared" si="19" ref="D103:D108">AVERAGE(H103,L103,P103,T103)</f>
        <v>87.5</v>
      </c>
      <c r="E103" s="120">
        <f>+I103+M103+Q103+U103</f>
        <v>190037880</v>
      </c>
      <c r="F103" s="120">
        <f aca="true" t="shared" si="20" ref="F103:F108">AVERAGE(J103,N103,R103,V103)</f>
        <v>85</v>
      </c>
      <c r="G103" s="120">
        <f>+K103+O103+S103+W103</f>
        <v>185680226.028</v>
      </c>
      <c r="H103" s="341">
        <v>50</v>
      </c>
      <c r="I103" s="120">
        <v>33924481</v>
      </c>
      <c r="J103" s="120">
        <v>50</v>
      </c>
      <c r="K103" s="120">
        <v>30762851</v>
      </c>
      <c r="L103" s="120">
        <v>100</v>
      </c>
      <c r="M103" s="120">
        <v>51025423</v>
      </c>
      <c r="N103" s="120">
        <v>90</v>
      </c>
      <c r="O103" s="120">
        <v>50016918</v>
      </c>
      <c r="P103" s="120">
        <v>100</v>
      </c>
      <c r="Q103" s="120">
        <v>65853382</v>
      </c>
      <c r="R103" s="120">
        <v>100</v>
      </c>
      <c r="S103" s="120">
        <v>65834540</v>
      </c>
      <c r="T103" s="120">
        <v>100</v>
      </c>
      <c r="U103" s="120">
        <v>39234594</v>
      </c>
      <c r="V103" s="119">
        <v>100</v>
      </c>
      <c r="W103" s="370">
        <v>39065917.028</v>
      </c>
      <c r="X103" s="107"/>
    </row>
    <row r="104" spans="1:23" ht="36">
      <c r="A104" s="290" t="s">
        <v>5</v>
      </c>
      <c r="B104" s="294" t="s">
        <v>363</v>
      </c>
      <c r="C104" s="284" t="s">
        <v>166</v>
      </c>
      <c r="D104" s="285">
        <f t="shared" si="19"/>
        <v>32.5</v>
      </c>
      <c r="E104" s="120">
        <f>+I104+M104+Q104+U104</f>
        <v>30966259</v>
      </c>
      <c r="F104" s="120">
        <f t="shared" si="20"/>
        <v>28.75</v>
      </c>
      <c r="G104" s="120">
        <f>+K104+O104+S104+W104</f>
        <v>27498681</v>
      </c>
      <c r="H104" s="341">
        <v>0</v>
      </c>
      <c r="I104" s="120">
        <v>0</v>
      </c>
      <c r="J104" s="120">
        <v>0</v>
      </c>
      <c r="K104" s="120">
        <v>0</v>
      </c>
      <c r="L104" s="120">
        <v>30</v>
      </c>
      <c r="M104" s="120">
        <v>5933200</v>
      </c>
      <c r="N104" s="120">
        <v>30</v>
      </c>
      <c r="O104" s="120">
        <v>5933200</v>
      </c>
      <c r="P104" s="120">
        <v>50</v>
      </c>
      <c r="Q104" s="120">
        <v>17001059</v>
      </c>
      <c r="R104" s="120">
        <v>35</v>
      </c>
      <c r="S104" s="120">
        <v>13533481</v>
      </c>
      <c r="T104" s="120">
        <v>50</v>
      </c>
      <c r="U104" s="120">
        <v>8032000</v>
      </c>
      <c r="V104" s="119">
        <v>50</v>
      </c>
      <c r="W104" s="370">
        <v>8032000</v>
      </c>
    </row>
    <row r="105" spans="1:23" ht="54">
      <c r="A105" s="290" t="s">
        <v>6</v>
      </c>
      <c r="B105" s="294" t="s">
        <v>363</v>
      </c>
      <c r="C105" s="284" t="s">
        <v>423</v>
      </c>
      <c r="D105" s="285">
        <f t="shared" si="19"/>
        <v>87.5</v>
      </c>
      <c r="E105" s="120">
        <f aca="true" t="shared" si="21" ref="E105:E110">+I105+M105+Q105+U105</f>
        <v>1262235813.1399999</v>
      </c>
      <c r="F105" s="120">
        <f t="shared" si="20"/>
        <v>87.5</v>
      </c>
      <c r="G105" s="120">
        <f aca="true" t="shared" si="22" ref="G105:G110">+K105+O105+S105+W105</f>
        <v>1209997555</v>
      </c>
      <c r="H105" s="341">
        <v>100</v>
      </c>
      <c r="I105" s="120">
        <v>155094547</v>
      </c>
      <c r="J105" s="120">
        <v>100</v>
      </c>
      <c r="K105" s="120">
        <v>155094547</v>
      </c>
      <c r="L105" s="120">
        <v>50</v>
      </c>
      <c r="M105" s="120">
        <v>257122875</v>
      </c>
      <c r="N105" s="120">
        <v>50</v>
      </c>
      <c r="O105" s="120">
        <v>256360682</v>
      </c>
      <c r="P105" s="120">
        <v>100</v>
      </c>
      <c r="Q105" s="120">
        <v>393043216</v>
      </c>
      <c r="R105" s="120">
        <v>100</v>
      </c>
      <c r="S105" s="120">
        <v>388399926</v>
      </c>
      <c r="T105" s="120">
        <v>100</v>
      </c>
      <c r="U105" s="120">
        <v>456975175.14</v>
      </c>
      <c r="V105" s="119">
        <v>100</v>
      </c>
      <c r="W105" s="370">
        <v>410142400</v>
      </c>
    </row>
    <row r="106" spans="1:23" ht="54">
      <c r="A106" s="290" t="s">
        <v>7</v>
      </c>
      <c r="B106" s="294" t="s">
        <v>363</v>
      </c>
      <c r="C106" s="284" t="s">
        <v>166</v>
      </c>
      <c r="D106" s="285">
        <f t="shared" si="19"/>
        <v>70</v>
      </c>
      <c r="E106" s="120">
        <f t="shared" si="21"/>
        <v>29226240</v>
      </c>
      <c r="F106" s="120">
        <f t="shared" si="20"/>
        <v>70</v>
      </c>
      <c r="G106" s="120">
        <f t="shared" si="22"/>
        <v>27952565</v>
      </c>
      <c r="H106" s="341">
        <v>0</v>
      </c>
      <c r="I106" s="120">
        <v>0</v>
      </c>
      <c r="J106" s="120">
        <v>0</v>
      </c>
      <c r="K106" s="120">
        <v>0</v>
      </c>
      <c r="L106" s="120">
        <v>80</v>
      </c>
      <c r="M106" s="120">
        <v>25878502</v>
      </c>
      <c r="N106" s="120">
        <v>80</v>
      </c>
      <c r="O106" s="120">
        <v>25220480</v>
      </c>
      <c r="P106" s="120">
        <v>100</v>
      </c>
      <c r="Q106" s="120">
        <v>1204800</v>
      </c>
      <c r="R106" s="120">
        <v>100</v>
      </c>
      <c r="S106" s="120">
        <v>693964</v>
      </c>
      <c r="T106" s="120">
        <v>100</v>
      </c>
      <c r="U106" s="120">
        <v>2142938</v>
      </c>
      <c r="V106" s="119">
        <v>100</v>
      </c>
      <c r="W106" s="370">
        <v>2038121</v>
      </c>
    </row>
    <row r="107" spans="1:26" ht="36">
      <c r="A107" s="290" t="s">
        <v>8</v>
      </c>
      <c r="B107" s="294" t="s">
        <v>363</v>
      </c>
      <c r="C107" s="284" t="s">
        <v>166</v>
      </c>
      <c r="D107" s="285">
        <f t="shared" si="19"/>
        <v>67.5</v>
      </c>
      <c r="E107" s="120">
        <f t="shared" si="21"/>
        <v>193081435</v>
      </c>
      <c r="F107" s="120">
        <f t="shared" si="20"/>
        <v>67.5</v>
      </c>
      <c r="G107" s="120">
        <f t="shared" si="22"/>
        <v>192814587</v>
      </c>
      <c r="H107" s="341">
        <v>20</v>
      </c>
      <c r="I107" s="120">
        <v>0</v>
      </c>
      <c r="J107" s="120">
        <v>20</v>
      </c>
      <c r="K107" s="120">
        <v>0</v>
      </c>
      <c r="L107" s="120">
        <v>50</v>
      </c>
      <c r="M107" s="120">
        <v>10040000</v>
      </c>
      <c r="N107" s="120">
        <v>50</v>
      </c>
      <c r="O107" s="350">
        <v>10040000</v>
      </c>
      <c r="P107" s="344">
        <v>100</v>
      </c>
      <c r="Q107" s="120">
        <v>112000000</v>
      </c>
      <c r="R107" s="344">
        <v>100</v>
      </c>
      <c r="S107" s="120">
        <v>111733152</v>
      </c>
      <c r="T107" s="344">
        <v>100</v>
      </c>
      <c r="U107" s="120">
        <v>71041435</v>
      </c>
      <c r="V107" s="119">
        <v>100</v>
      </c>
      <c r="W107" s="370">
        <v>71041435</v>
      </c>
      <c r="Z107" s="107"/>
    </row>
    <row r="108" spans="1:23" ht="36">
      <c r="A108" s="290" t="s">
        <v>9</v>
      </c>
      <c r="B108" s="294" t="s">
        <v>363</v>
      </c>
      <c r="C108" s="284" t="s">
        <v>424</v>
      </c>
      <c r="D108" s="285">
        <f t="shared" si="19"/>
        <v>1</v>
      </c>
      <c r="E108" s="120">
        <f t="shared" si="21"/>
        <v>978814680</v>
      </c>
      <c r="F108" s="120">
        <f t="shared" si="20"/>
        <v>1</v>
      </c>
      <c r="G108" s="120">
        <f t="shared" si="22"/>
        <v>978336242</v>
      </c>
      <c r="H108" s="341">
        <v>1</v>
      </c>
      <c r="I108" s="120">
        <v>0</v>
      </c>
      <c r="J108" s="120">
        <v>1</v>
      </c>
      <c r="K108" s="120">
        <v>0</v>
      </c>
      <c r="L108" s="120">
        <v>1</v>
      </c>
      <c r="M108" s="120"/>
      <c r="N108" s="120">
        <v>1</v>
      </c>
      <c r="O108" s="120">
        <v>0</v>
      </c>
      <c r="P108" s="120">
        <v>1</v>
      </c>
      <c r="Q108" s="120">
        <v>478436</v>
      </c>
      <c r="R108" s="294">
        <v>1</v>
      </c>
      <c r="S108" s="294">
        <v>0</v>
      </c>
      <c r="T108" s="120">
        <v>1</v>
      </c>
      <c r="U108" s="120">
        <v>978336244</v>
      </c>
      <c r="V108" s="119">
        <v>1</v>
      </c>
      <c r="W108" s="403">
        <v>978336242</v>
      </c>
    </row>
    <row r="109" spans="1:23" ht="36">
      <c r="A109" s="290" t="s">
        <v>425</v>
      </c>
      <c r="B109" s="294" t="s">
        <v>361</v>
      </c>
      <c r="C109" s="284" t="s">
        <v>385</v>
      </c>
      <c r="D109" s="285">
        <f>+H109+L109+P109+T109</f>
        <v>1</v>
      </c>
      <c r="E109" s="120">
        <f t="shared" si="21"/>
        <v>0</v>
      </c>
      <c r="F109" s="120">
        <f>+J109+N109+R109+V109</f>
        <v>1</v>
      </c>
      <c r="G109" s="120">
        <f t="shared" si="22"/>
        <v>0</v>
      </c>
      <c r="H109" s="341">
        <v>1</v>
      </c>
      <c r="I109" s="120">
        <v>0</v>
      </c>
      <c r="J109" s="120">
        <v>1</v>
      </c>
      <c r="K109" s="120">
        <v>0</v>
      </c>
      <c r="L109" s="120">
        <v>0</v>
      </c>
      <c r="M109" s="120">
        <v>0</v>
      </c>
      <c r="N109" s="120"/>
      <c r="O109" s="120"/>
      <c r="P109" s="120">
        <v>0</v>
      </c>
      <c r="Q109" s="120">
        <v>0</v>
      </c>
      <c r="R109" s="294"/>
      <c r="S109" s="294"/>
      <c r="T109" s="120">
        <v>0</v>
      </c>
      <c r="U109" s="120">
        <v>0</v>
      </c>
      <c r="V109" s="389"/>
      <c r="W109" s="370"/>
    </row>
    <row r="110" spans="1:23" ht="36">
      <c r="A110" s="290" t="s">
        <v>368</v>
      </c>
      <c r="B110" s="294" t="s">
        <v>363</v>
      </c>
      <c r="C110" s="284" t="s">
        <v>404</v>
      </c>
      <c r="D110" s="285">
        <f>AVERAGE(H110,L110,P110,T110)</f>
        <v>100</v>
      </c>
      <c r="E110" s="120">
        <f t="shared" si="21"/>
        <v>6280972</v>
      </c>
      <c r="F110" s="120">
        <f>AVERAGE(J110,N110,R110,V110)</f>
        <v>100</v>
      </c>
      <c r="G110" s="120">
        <f t="shared" si="22"/>
        <v>6280972</v>
      </c>
      <c r="H110" s="341">
        <v>100</v>
      </c>
      <c r="I110" s="120">
        <v>6280972</v>
      </c>
      <c r="J110" s="120">
        <v>100</v>
      </c>
      <c r="K110" s="120">
        <v>6280972</v>
      </c>
      <c r="L110" s="120"/>
      <c r="M110" s="120"/>
      <c r="N110" s="120"/>
      <c r="O110" s="120"/>
      <c r="P110" s="120"/>
      <c r="Q110" s="120">
        <v>0</v>
      </c>
      <c r="R110" s="294"/>
      <c r="S110" s="294"/>
      <c r="T110" s="120"/>
      <c r="U110" s="120">
        <v>0</v>
      </c>
      <c r="V110" s="389"/>
      <c r="W110" s="370"/>
    </row>
    <row r="111" spans="1:23" ht="36">
      <c r="A111" s="311" t="s">
        <v>426</v>
      </c>
      <c r="B111" s="312"/>
      <c r="C111" s="334"/>
      <c r="D111" s="334"/>
      <c r="E111" s="335">
        <f>+E112</f>
        <v>1626937336.812</v>
      </c>
      <c r="F111" s="334"/>
      <c r="G111" s="335">
        <f>+G112</f>
        <v>1577345347</v>
      </c>
      <c r="H111" s="334">
        <v>0</v>
      </c>
      <c r="I111" s="334">
        <v>0</v>
      </c>
      <c r="J111" s="334"/>
      <c r="K111" s="334"/>
      <c r="L111" s="334">
        <v>0</v>
      </c>
      <c r="M111" s="334">
        <v>0</v>
      </c>
      <c r="N111" s="334">
        <v>0</v>
      </c>
      <c r="O111" s="334">
        <v>0</v>
      </c>
      <c r="P111" s="334">
        <v>0</v>
      </c>
      <c r="Q111" s="334">
        <v>0</v>
      </c>
      <c r="R111" s="334">
        <v>0</v>
      </c>
      <c r="S111" s="334">
        <v>0</v>
      </c>
      <c r="T111" s="334">
        <v>0</v>
      </c>
      <c r="U111" s="366">
        <v>0</v>
      </c>
      <c r="V111" s="366">
        <v>0</v>
      </c>
      <c r="W111" s="416">
        <v>0</v>
      </c>
    </row>
    <row r="112" spans="1:23" ht="54">
      <c r="A112" s="318" t="s">
        <v>427</v>
      </c>
      <c r="B112" s="307"/>
      <c r="C112" s="340"/>
      <c r="D112" s="340"/>
      <c r="E112" s="339">
        <f>SUM(E113:E122)</f>
        <v>1626937336.812</v>
      </c>
      <c r="F112" s="351"/>
      <c r="G112" s="339">
        <f>SUM(G113:G122)</f>
        <v>1577345347</v>
      </c>
      <c r="H112" s="351">
        <v>0</v>
      </c>
      <c r="I112" s="339">
        <f>SUM(I113:I122)</f>
        <v>276309600</v>
      </c>
      <c r="J112" s="347"/>
      <c r="K112" s="347">
        <f>SUM(K113:K122)</f>
        <v>269636689</v>
      </c>
      <c r="L112" s="348">
        <v>0</v>
      </c>
      <c r="M112" s="339">
        <f>SUM(M113:M122)</f>
        <v>759867400</v>
      </c>
      <c r="N112" s="348">
        <v>0</v>
      </c>
      <c r="O112" s="339">
        <f>SUM(O113:O123)</f>
        <v>739699516</v>
      </c>
      <c r="P112" s="339">
        <v>0</v>
      </c>
      <c r="Q112" s="339">
        <f>SUM(Q113:Q123)</f>
        <v>210680552</v>
      </c>
      <c r="R112" s="339">
        <v>0</v>
      </c>
      <c r="S112" s="339">
        <f>SUM(S113:S123)</f>
        <v>210482534</v>
      </c>
      <c r="T112" s="348">
        <v>0</v>
      </c>
      <c r="U112" s="339">
        <f>SUM(U113:U123)</f>
        <v>380079784.81200004</v>
      </c>
      <c r="V112" s="391"/>
      <c r="W112" s="371">
        <f>SUM(W113:W122)</f>
        <v>357526608</v>
      </c>
    </row>
    <row r="113" spans="1:23" ht="39" customHeight="1">
      <c r="A113" s="290" t="s">
        <v>12</v>
      </c>
      <c r="B113" s="294" t="s">
        <v>361</v>
      </c>
      <c r="C113" s="284" t="s">
        <v>428</v>
      </c>
      <c r="D113" s="285">
        <f aca="true" t="shared" si="23" ref="D113:D119">+H113+L113+P113+T113</f>
        <v>110</v>
      </c>
      <c r="E113" s="120">
        <f aca="true" t="shared" si="24" ref="E113:G122">+I113+M113+Q113+U113</f>
        <v>161952331</v>
      </c>
      <c r="F113" s="120">
        <f aca="true" t="shared" si="25" ref="F113:F119">+J113+N113+R113+V113</f>
        <v>116</v>
      </c>
      <c r="G113" s="120">
        <f t="shared" si="24"/>
        <v>160576042</v>
      </c>
      <c r="H113" s="341">
        <v>80</v>
      </c>
      <c r="I113" s="120">
        <v>42340236</v>
      </c>
      <c r="J113" s="120">
        <v>84</v>
      </c>
      <c r="K113" s="120">
        <v>42167325</v>
      </c>
      <c r="L113" s="120">
        <v>10</v>
      </c>
      <c r="M113" s="120">
        <v>64062000</v>
      </c>
      <c r="N113" s="120">
        <v>12</v>
      </c>
      <c r="O113" s="120">
        <v>63041321</v>
      </c>
      <c r="P113" s="120">
        <v>10</v>
      </c>
      <c r="Q113" s="120">
        <v>23431352</v>
      </c>
      <c r="R113" s="120">
        <v>10</v>
      </c>
      <c r="S113" s="120">
        <v>23429586</v>
      </c>
      <c r="T113" s="120">
        <v>10</v>
      </c>
      <c r="U113" s="120">
        <v>32118743</v>
      </c>
      <c r="V113" s="119">
        <v>10</v>
      </c>
      <c r="W113" s="370">
        <v>31937810</v>
      </c>
    </row>
    <row r="114" spans="1:23" ht="54">
      <c r="A114" s="290" t="s">
        <v>13</v>
      </c>
      <c r="B114" s="294" t="s">
        <v>361</v>
      </c>
      <c r="C114" s="284" t="s">
        <v>180</v>
      </c>
      <c r="D114" s="285">
        <f t="shared" si="23"/>
        <v>700</v>
      </c>
      <c r="E114" s="120">
        <f t="shared" si="24"/>
        <v>20383208</v>
      </c>
      <c r="F114" s="120">
        <f t="shared" si="25"/>
        <v>1120</v>
      </c>
      <c r="G114" s="120">
        <f t="shared" si="24"/>
        <v>20210520</v>
      </c>
      <c r="H114" s="341">
        <v>100</v>
      </c>
      <c r="I114" s="120"/>
      <c r="J114" s="120">
        <v>700</v>
      </c>
      <c r="K114" s="120">
        <v>0</v>
      </c>
      <c r="L114" s="120">
        <v>200</v>
      </c>
      <c r="M114" s="120">
        <v>10240800</v>
      </c>
      <c r="N114" s="120">
        <v>20</v>
      </c>
      <c r="O114" s="120">
        <v>10240800</v>
      </c>
      <c r="P114" s="120">
        <v>200</v>
      </c>
      <c r="Q114" s="120">
        <v>5122408</v>
      </c>
      <c r="R114" s="120">
        <v>200</v>
      </c>
      <c r="S114" s="120">
        <v>4949720</v>
      </c>
      <c r="T114" s="120">
        <v>200</v>
      </c>
      <c r="U114" s="120">
        <v>5020000</v>
      </c>
      <c r="V114" s="119">
        <v>200</v>
      </c>
      <c r="W114" s="370">
        <v>5020000</v>
      </c>
    </row>
    <row r="115" spans="1:23" ht="36">
      <c r="A115" s="290" t="s">
        <v>14</v>
      </c>
      <c r="B115" s="294" t="s">
        <v>361</v>
      </c>
      <c r="C115" s="284" t="s">
        <v>24</v>
      </c>
      <c r="D115" s="285">
        <f t="shared" si="23"/>
        <v>200</v>
      </c>
      <c r="E115" s="120">
        <f t="shared" si="24"/>
        <v>638696383</v>
      </c>
      <c r="F115" s="120">
        <f t="shared" si="25"/>
        <v>190</v>
      </c>
      <c r="G115" s="120">
        <f t="shared" si="24"/>
        <v>638383943</v>
      </c>
      <c r="H115" s="341">
        <v>50</v>
      </c>
      <c r="I115" s="120">
        <v>161806933</v>
      </c>
      <c r="J115" s="120">
        <v>50</v>
      </c>
      <c r="K115" s="120">
        <v>161806933</v>
      </c>
      <c r="L115" s="120">
        <v>50</v>
      </c>
      <c r="M115" s="120">
        <v>446979421</v>
      </c>
      <c r="N115" s="120">
        <v>40</v>
      </c>
      <c r="O115" s="120">
        <v>446685222</v>
      </c>
      <c r="P115" s="120">
        <v>50</v>
      </c>
      <c r="Q115" s="120">
        <v>0</v>
      </c>
      <c r="R115" s="120">
        <v>50</v>
      </c>
      <c r="S115" s="120">
        <v>0</v>
      </c>
      <c r="T115" s="120">
        <v>50</v>
      </c>
      <c r="U115" s="120">
        <v>29910029</v>
      </c>
      <c r="V115" s="119">
        <v>50</v>
      </c>
      <c r="W115" s="370">
        <v>29891788</v>
      </c>
    </row>
    <row r="116" spans="1:23" ht="54">
      <c r="A116" s="290" t="s">
        <v>15</v>
      </c>
      <c r="B116" s="294" t="s">
        <v>361</v>
      </c>
      <c r="C116" s="284" t="s">
        <v>429</v>
      </c>
      <c r="D116" s="285">
        <f t="shared" si="23"/>
        <v>3</v>
      </c>
      <c r="E116" s="120">
        <f t="shared" si="24"/>
        <v>23292800</v>
      </c>
      <c r="F116" s="120">
        <f t="shared" si="25"/>
        <v>3</v>
      </c>
      <c r="G116" s="120">
        <f t="shared" si="24"/>
        <v>23292800</v>
      </c>
      <c r="H116" s="341">
        <v>0</v>
      </c>
      <c r="I116" s="120"/>
      <c r="J116" s="120"/>
      <c r="K116" s="120"/>
      <c r="L116" s="120">
        <v>1</v>
      </c>
      <c r="M116" s="120">
        <v>8232800</v>
      </c>
      <c r="N116" s="120">
        <v>1</v>
      </c>
      <c r="O116" s="120">
        <v>8232800</v>
      </c>
      <c r="P116" s="120">
        <v>1</v>
      </c>
      <c r="Q116" s="120">
        <v>10040000</v>
      </c>
      <c r="R116" s="120">
        <v>1</v>
      </c>
      <c r="S116" s="120">
        <v>10040000</v>
      </c>
      <c r="T116" s="120">
        <v>1</v>
      </c>
      <c r="U116" s="120">
        <v>5020000</v>
      </c>
      <c r="V116" s="119">
        <v>1</v>
      </c>
      <c r="W116" s="370">
        <v>5020000</v>
      </c>
    </row>
    <row r="117" spans="1:23" ht="36">
      <c r="A117" s="290" t="s">
        <v>430</v>
      </c>
      <c r="B117" s="294" t="s">
        <v>361</v>
      </c>
      <c r="C117" s="284" t="s">
        <v>431</v>
      </c>
      <c r="D117" s="285">
        <f t="shared" si="23"/>
        <v>13</v>
      </c>
      <c r="E117" s="120">
        <f t="shared" si="24"/>
        <v>74617059.62</v>
      </c>
      <c r="F117" s="120">
        <f t="shared" si="25"/>
        <v>13</v>
      </c>
      <c r="G117" s="120">
        <f t="shared" si="24"/>
        <v>72412562</v>
      </c>
      <c r="H117" s="341">
        <v>5</v>
      </c>
      <c r="I117" s="120">
        <v>2000000</v>
      </c>
      <c r="J117" s="120">
        <v>5</v>
      </c>
      <c r="K117" s="120"/>
      <c r="L117" s="120">
        <v>3</v>
      </c>
      <c r="M117" s="120">
        <v>40008209</v>
      </c>
      <c r="N117" s="120">
        <v>3</v>
      </c>
      <c r="O117" s="120">
        <v>40008209</v>
      </c>
      <c r="P117" s="120">
        <v>3</v>
      </c>
      <c r="Q117" s="120">
        <v>3825240</v>
      </c>
      <c r="R117" s="120">
        <v>3</v>
      </c>
      <c r="S117" s="120">
        <v>3801676</v>
      </c>
      <c r="T117" s="120">
        <v>2</v>
      </c>
      <c r="U117" s="120">
        <v>28783610.619999997</v>
      </c>
      <c r="V117" s="119">
        <v>2</v>
      </c>
      <c r="W117" s="370">
        <v>28602677</v>
      </c>
    </row>
    <row r="118" spans="1:23" ht="45" customHeight="1">
      <c r="A118" s="290" t="s">
        <v>20</v>
      </c>
      <c r="B118" s="294" t="s">
        <v>361</v>
      </c>
      <c r="C118" s="284" t="s">
        <v>432</v>
      </c>
      <c r="D118" s="285">
        <f t="shared" si="23"/>
        <v>6</v>
      </c>
      <c r="E118" s="120">
        <f t="shared" si="24"/>
        <v>36165683</v>
      </c>
      <c r="F118" s="120">
        <f t="shared" si="25"/>
        <v>6</v>
      </c>
      <c r="G118" s="120">
        <f t="shared" si="24"/>
        <v>31665683</v>
      </c>
      <c r="H118" s="341">
        <v>3</v>
      </c>
      <c r="I118" s="120">
        <v>4500000</v>
      </c>
      <c r="J118" s="344">
        <v>3</v>
      </c>
      <c r="K118" s="344"/>
      <c r="L118" s="344">
        <v>1</v>
      </c>
      <c r="M118" s="120">
        <v>10843200</v>
      </c>
      <c r="N118" s="344">
        <v>1</v>
      </c>
      <c r="O118" s="120">
        <v>10843200</v>
      </c>
      <c r="P118" s="120">
        <v>1</v>
      </c>
      <c r="Q118" s="120">
        <v>5421600</v>
      </c>
      <c r="R118" s="120">
        <v>1</v>
      </c>
      <c r="S118" s="120">
        <v>5421600</v>
      </c>
      <c r="T118" s="120">
        <v>1</v>
      </c>
      <c r="U118" s="120">
        <v>15400883</v>
      </c>
      <c r="V118" s="119">
        <v>1</v>
      </c>
      <c r="W118" s="370">
        <v>15400883</v>
      </c>
    </row>
    <row r="119" spans="1:26" ht="36">
      <c r="A119" s="290" t="s">
        <v>21</v>
      </c>
      <c r="B119" s="294" t="s">
        <v>361</v>
      </c>
      <c r="C119" s="284" t="s">
        <v>25</v>
      </c>
      <c r="D119" s="285">
        <f t="shared" si="23"/>
        <v>4</v>
      </c>
      <c r="E119" s="120">
        <f t="shared" si="24"/>
        <v>308304602.06</v>
      </c>
      <c r="F119" s="120">
        <f t="shared" si="25"/>
        <v>4</v>
      </c>
      <c r="G119" s="120">
        <f t="shared" si="24"/>
        <v>273362023</v>
      </c>
      <c r="H119" s="341">
        <v>1</v>
      </c>
      <c r="I119" s="120"/>
      <c r="J119" s="120">
        <v>1</v>
      </c>
      <c r="K119" s="120"/>
      <c r="L119" s="120">
        <v>1</v>
      </c>
      <c r="M119" s="120">
        <v>48967088</v>
      </c>
      <c r="N119" s="120">
        <v>1</v>
      </c>
      <c r="O119" s="120">
        <v>34107888</v>
      </c>
      <c r="P119" s="120">
        <v>1</v>
      </c>
      <c r="Q119" s="120">
        <v>85340000</v>
      </c>
      <c r="R119" s="120">
        <v>1</v>
      </c>
      <c r="S119" s="120">
        <v>85340000</v>
      </c>
      <c r="T119" s="120">
        <v>1</v>
      </c>
      <c r="U119" s="120">
        <v>173997514.06</v>
      </c>
      <c r="V119" s="119">
        <v>1</v>
      </c>
      <c r="W119" s="370">
        <v>153914135</v>
      </c>
      <c r="Z119" s="106">
        <f>+W112-357526608</f>
        <v>0</v>
      </c>
    </row>
    <row r="120" spans="1:23" ht="36">
      <c r="A120" s="290" t="s">
        <v>22</v>
      </c>
      <c r="B120" s="294" t="s">
        <v>363</v>
      </c>
      <c r="C120" s="284" t="s">
        <v>26</v>
      </c>
      <c r="D120" s="285">
        <f>AVERAGE(H120,L120,P120,T120)</f>
        <v>0.75</v>
      </c>
      <c r="E120" s="120">
        <f>+I120+M120+Q120+U120</f>
        <v>123228041</v>
      </c>
      <c r="F120" s="120">
        <f>AVERAGE(J120,N120,R120,V120)</f>
        <v>0.75</v>
      </c>
      <c r="G120" s="120">
        <f t="shared" si="24"/>
        <v>121567229</v>
      </c>
      <c r="H120" s="341">
        <v>0</v>
      </c>
      <c r="I120" s="120"/>
      <c r="J120" s="344">
        <v>0</v>
      </c>
      <c r="K120" s="344"/>
      <c r="L120" s="344">
        <v>1</v>
      </c>
      <c r="M120" s="120">
        <v>70792040</v>
      </c>
      <c r="N120" s="344">
        <v>1</v>
      </c>
      <c r="O120" s="120">
        <v>70792040</v>
      </c>
      <c r="P120" s="120">
        <v>1</v>
      </c>
      <c r="Q120" s="120">
        <v>6947680</v>
      </c>
      <c r="R120" s="120">
        <v>1</v>
      </c>
      <c r="S120" s="120">
        <v>6947680</v>
      </c>
      <c r="T120" s="120">
        <v>1</v>
      </c>
      <c r="U120" s="120">
        <v>45488321</v>
      </c>
      <c r="V120" s="119">
        <v>1</v>
      </c>
      <c r="W120" s="370">
        <v>43827509</v>
      </c>
    </row>
    <row r="121" spans="1:23" ht="36">
      <c r="A121" s="290" t="s">
        <v>23</v>
      </c>
      <c r="B121" s="294" t="s">
        <v>363</v>
      </c>
      <c r="C121" s="284" t="s">
        <v>433</v>
      </c>
      <c r="D121" s="285">
        <f>AVERAGE(H121,L121,P121,T121)</f>
        <v>1</v>
      </c>
      <c r="E121" s="120">
        <f>+I121+M121+Q121+U121</f>
        <v>222454810.132</v>
      </c>
      <c r="F121" s="120">
        <f>AVERAGE(J121,N121,R121,V121)</f>
        <v>1</v>
      </c>
      <c r="G121" s="120">
        <f t="shared" si="24"/>
        <v>218183365</v>
      </c>
      <c r="H121" s="341">
        <v>1</v>
      </c>
      <c r="I121" s="120">
        <v>59628804</v>
      </c>
      <c r="J121" s="344">
        <v>1</v>
      </c>
      <c r="K121" s="120">
        <v>59628804</v>
      </c>
      <c r="L121" s="344">
        <v>1</v>
      </c>
      <c r="M121" s="120">
        <v>59741842</v>
      </c>
      <c r="N121" s="344">
        <v>1</v>
      </c>
      <c r="O121" s="120">
        <v>55748036</v>
      </c>
      <c r="P121" s="120">
        <v>1</v>
      </c>
      <c r="Q121" s="120">
        <v>67642680</v>
      </c>
      <c r="R121" s="120">
        <v>1</v>
      </c>
      <c r="S121" s="120">
        <v>67642680</v>
      </c>
      <c r="T121" s="120">
        <v>1</v>
      </c>
      <c r="U121" s="120">
        <v>35441484.132</v>
      </c>
      <c r="V121" s="119">
        <v>1</v>
      </c>
      <c r="W121" s="370">
        <v>35163845</v>
      </c>
    </row>
    <row r="122" spans="1:23" ht="36">
      <c r="A122" s="290" t="s">
        <v>368</v>
      </c>
      <c r="B122" s="294" t="s">
        <v>363</v>
      </c>
      <c r="C122" s="284" t="s">
        <v>404</v>
      </c>
      <c r="D122" s="285">
        <f>AVERAGE(H122,L122,P122,T122)</f>
        <v>100</v>
      </c>
      <c r="E122" s="120">
        <f>+I122+M122+Q122+U122</f>
        <v>17842419</v>
      </c>
      <c r="F122" s="120">
        <f>AVERAGE(J122,N122,R122,V122)</f>
        <v>99.33333333333333</v>
      </c>
      <c r="G122" s="120">
        <f t="shared" si="24"/>
        <v>17691180</v>
      </c>
      <c r="H122" s="341">
        <v>100</v>
      </c>
      <c r="I122" s="120">
        <v>6033627</v>
      </c>
      <c r="J122" s="344">
        <v>100</v>
      </c>
      <c r="K122" s="120">
        <v>6033627</v>
      </c>
      <c r="L122" s="344"/>
      <c r="M122" s="120">
        <v>0</v>
      </c>
      <c r="N122" s="344"/>
      <c r="O122" s="344"/>
      <c r="P122" s="120">
        <v>100</v>
      </c>
      <c r="Q122" s="120">
        <v>2909592</v>
      </c>
      <c r="R122" s="120">
        <v>100</v>
      </c>
      <c r="S122" s="120">
        <v>2909592</v>
      </c>
      <c r="T122" s="120">
        <v>100</v>
      </c>
      <c r="U122" s="120">
        <v>8899200</v>
      </c>
      <c r="V122" s="398">
        <v>98</v>
      </c>
      <c r="W122" s="370">
        <v>8747961</v>
      </c>
    </row>
    <row r="123" spans="1:23" ht="36">
      <c r="A123" s="311" t="s">
        <v>434</v>
      </c>
      <c r="B123" s="352"/>
      <c r="C123" s="334"/>
      <c r="D123" s="334"/>
      <c r="E123" s="335">
        <f>+E124+E132</f>
        <v>7025946689.0592</v>
      </c>
      <c r="F123" s="334"/>
      <c r="G123" s="335">
        <f>+G124+G132</f>
        <v>6240235850</v>
      </c>
      <c r="H123" s="334"/>
      <c r="I123" s="335"/>
      <c r="J123" s="335"/>
      <c r="K123" s="335"/>
      <c r="L123" s="334">
        <v>0</v>
      </c>
      <c r="M123" s="334">
        <v>0</v>
      </c>
      <c r="N123" s="334">
        <v>0</v>
      </c>
      <c r="O123" s="334">
        <v>0</v>
      </c>
      <c r="P123" s="334">
        <v>0</v>
      </c>
      <c r="Q123" s="334">
        <v>0</v>
      </c>
      <c r="R123" s="334">
        <v>0</v>
      </c>
      <c r="S123" s="334">
        <v>0</v>
      </c>
      <c r="T123" s="334">
        <v>0</v>
      </c>
      <c r="U123" s="366">
        <v>0</v>
      </c>
      <c r="V123" s="390"/>
      <c r="W123" s="379"/>
    </row>
    <row r="124" spans="1:23" ht="72">
      <c r="A124" s="318" t="s">
        <v>435</v>
      </c>
      <c r="B124" s="353"/>
      <c r="C124" s="340"/>
      <c r="D124" s="340"/>
      <c r="E124" s="339">
        <f>SUM(E125:E131)</f>
        <v>1881012524.8552</v>
      </c>
      <c r="F124" s="351"/>
      <c r="G124" s="339">
        <f>SUM(G125:G131)</f>
        <v>1826706231</v>
      </c>
      <c r="H124" s="351">
        <v>0</v>
      </c>
      <c r="I124" s="339">
        <f>SUM(I125:I131)</f>
        <v>226700522</v>
      </c>
      <c r="J124" s="339"/>
      <c r="K124" s="339">
        <f>SUM(K125:K131)</f>
        <v>226083988</v>
      </c>
      <c r="L124" s="338">
        <v>0</v>
      </c>
      <c r="M124" s="339">
        <f>SUM(M125:M131)</f>
        <v>561617855</v>
      </c>
      <c r="N124" s="348">
        <v>0</v>
      </c>
      <c r="O124" s="339">
        <f>SUM(O125:O131)</f>
        <v>560766328</v>
      </c>
      <c r="P124" s="339">
        <v>0</v>
      </c>
      <c r="Q124" s="339">
        <f>SUM(Q125:Q131)</f>
        <v>470000000</v>
      </c>
      <c r="R124" s="339">
        <v>0</v>
      </c>
      <c r="S124" s="339">
        <f>SUM(S125:S131)</f>
        <v>470000000</v>
      </c>
      <c r="T124" s="348">
        <v>0</v>
      </c>
      <c r="U124" s="373">
        <f>SUM(U125:U131)</f>
        <v>622694146.8552</v>
      </c>
      <c r="V124" s="391"/>
      <c r="W124" s="371">
        <f>SUM(W125:W131)</f>
        <v>569855915</v>
      </c>
    </row>
    <row r="125" spans="1:23" ht="36">
      <c r="A125" s="290" t="s">
        <v>29</v>
      </c>
      <c r="B125" s="294" t="s">
        <v>363</v>
      </c>
      <c r="C125" s="284" t="s">
        <v>436</v>
      </c>
      <c r="D125" s="285">
        <f>AVERAGE(H125,L125,P125,T125)</f>
        <v>1</v>
      </c>
      <c r="E125" s="120">
        <f aca="true" t="shared" si="26" ref="E125:E130">+I125+M125+Q125+U125</f>
        <v>0</v>
      </c>
      <c r="F125" s="120">
        <f>AVERAGE(J125,N125,R125,V125)</f>
        <v>1</v>
      </c>
      <c r="G125" s="120">
        <f aca="true" t="shared" si="27" ref="G125:G131">+K125+O125+S125+W125</f>
        <v>0</v>
      </c>
      <c r="H125" s="341">
        <v>1</v>
      </c>
      <c r="I125" s="120">
        <v>0</v>
      </c>
      <c r="J125" s="120">
        <v>1</v>
      </c>
      <c r="K125" s="120">
        <v>0</v>
      </c>
      <c r="L125" s="120">
        <v>1</v>
      </c>
      <c r="M125" s="120">
        <v>0</v>
      </c>
      <c r="N125" s="120">
        <v>1</v>
      </c>
      <c r="O125" s="120">
        <v>0</v>
      </c>
      <c r="P125" s="120">
        <v>1</v>
      </c>
      <c r="Q125" s="120"/>
      <c r="R125" s="120">
        <v>1</v>
      </c>
      <c r="S125" s="120">
        <v>0</v>
      </c>
      <c r="T125" s="120">
        <v>1</v>
      </c>
      <c r="U125" s="120">
        <v>0</v>
      </c>
      <c r="V125" s="119">
        <v>1</v>
      </c>
      <c r="W125" s="370">
        <f>'[7]EJECUCION FINANCIERA'!$I$8</f>
        <v>0</v>
      </c>
    </row>
    <row r="126" spans="1:23" ht="36">
      <c r="A126" s="290" t="s">
        <v>30</v>
      </c>
      <c r="B126" s="294" t="s">
        <v>361</v>
      </c>
      <c r="C126" s="284" t="s">
        <v>437</v>
      </c>
      <c r="D126" s="285">
        <f>+H126+L126+P126+T126</f>
        <v>4</v>
      </c>
      <c r="E126" s="120">
        <f t="shared" si="26"/>
        <v>14924460</v>
      </c>
      <c r="F126" s="120">
        <f>+J126+N126+R126+V126</f>
        <v>7</v>
      </c>
      <c r="G126" s="120">
        <f t="shared" si="27"/>
        <v>14924460</v>
      </c>
      <c r="H126" s="341">
        <v>1</v>
      </c>
      <c r="I126" s="120">
        <v>0</v>
      </c>
      <c r="J126" s="120">
        <v>2</v>
      </c>
      <c r="K126" s="120">
        <v>0</v>
      </c>
      <c r="L126" s="120">
        <v>1</v>
      </c>
      <c r="M126" s="120">
        <v>0</v>
      </c>
      <c r="N126" s="120">
        <v>1</v>
      </c>
      <c r="O126" s="120">
        <v>0</v>
      </c>
      <c r="P126" s="120">
        <v>1</v>
      </c>
      <c r="Q126" s="120">
        <v>14924460</v>
      </c>
      <c r="R126" s="120">
        <v>1</v>
      </c>
      <c r="S126" s="120">
        <v>14924460</v>
      </c>
      <c r="T126" s="120">
        <v>1</v>
      </c>
      <c r="U126" s="120">
        <v>0</v>
      </c>
      <c r="V126" s="119">
        <v>3</v>
      </c>
      <c r="W126" s="370">
        <v>0</v>
      </c>
    </row>
    <row r="127" spans="1:23" ht="36">
      <c r="A127" s="290" t="s">
        <v>31</v>
      </c>
      <c r="B127" s="294" t="s">
        <v>363</v>
      </c>
      <c r="C127" s="284" t="s">
        <v>35</v>
      </c>
      <c r="D127" s="285">
        <f>AVERAGE(H127,L127,P127,T127)</f>
        <v>1</v>
      </c>
      <c r="E127" s="120">
        <f>+I127+M127+Q127+U127</f>
        <v>3993808</v>
      </c>
      <c r="F127" s="120">
        <f>AVERAGE(J127,N127,R127,V127)</f>
        <v>1.25</v>
      </c>
      <c r="G127" s="120">
        <f t="shared" si="27"/>
        <v>3993808</v>
      </c>
      <c r="H127" s="341">
        <v>1</v>
      </c>
      <c r="I127" s="120">
        <v>3993808</v>
      </c>
      <c r="J127" s="120">
        <v>1</v>
      </c>
      <c r="K127" s="120">
        <v>3993808</v>
      </c>
      <c r="L127" s="120">
        <v>1</v>
      </c>
      <c r="M127" s="120">
        <v>0</v>
      </c>
      <c r="N127" s="120">
        <v>1</v>
      </c>
      <c r="O127" s="120">
        <v>0</v>
      </c>
      <c r="P127" s="120">
        <v>1</v>
      </c>
      <c r="Q127" s="120">
        <v>0</v>
      </c>
      <c r="R127" s="120">
        <v>1</v>
      </c>
      <c r="S127" s="120">
        <v>0</v>
      </c>
      <c r="T127" s="120">
        <v>1</v>
      </c>
      <c r="U127" s="120">
        <v>0</v>
      </c>
      <c r="V127" s="119">
        <v>2</v>
      </c>
      <c r="W127" s="370">
        <v>0</v>
      </c>
    </row>
    <row r="128" spans="1:23" ht="36">
      <c r="A128" s="290" t="s">
        <v>32</v>
      </c>
      <c r="B128" s="294" t="s">
        <v>363</v>
      </c>
      <c r="C128" s="284" t="s">
        <v>438</v>
      </c>
      <c r="D128" s="285">
        <f>AVERAGE(H128,L128,P128,T128)</f>
        <v>0.75</v>
      </c>
      <c r="E128" s="120">
        <f>+I128+M128+Q128+U128</f>
        <v>970022195.8552</v>
      </c>
      <c r="F128" s="120">
        <f>AVERAGE(J128,N128,R128,V128)</f>
        <v>0.5</v>
      </c>
      <c r="G128" s="120">
        <f t="shared" si="27"/>
        <v>925041961</v>
      </c>
      <c r="H128" s="341">
        <v>0</v>
      </c>
      <c r="I128" s="120">
        <v>0</v>
      </c>
      <c r="J128" s="120">
        <v>0</v>
      </c>
      <c r="K128" s="120">
        <v>0</v>
      </c>
      <c r="L128" s="120">
        <v>1</v>
      </c>
      <c r="M128" s="120">
        <v>60000000</v>
      </c>
      <c r="N128" s="120">
        <v>0</v>
      </c>
      <c r="O128" s="120">
        <v>59364925</v>
      </c>
      <c r="P128" s="120">
        <v>1</v>
      </c>
      <c r="Q128" s="120">
        <v>318606766</v>
      </c>
      <c r="R128" s="120">
        <v>1</v>
      </c>
      <c r="S128" s="120">
        <v>318606766</v>
      </c>
      <c r="T128" s="120">
        <v>1</v>
      </c>
      <c r="U128" s="120">
        <v>591415429.8552</v>
      </c>
      <c r="V128" s="119">
        <v>1</v>
      </c>
      <c r="W128" s="370">
        <v>547070270</v>
      </c>
    </row>
    <row r="129" spans="1:23" ht="54">
      <c r="A129" s="290" t="s">
        <v>33</v>
      </c>
      <c r="B129" s="294" t="s">
        <v>361</v>
      </c>
      <c r="C129" s="284" t="s">
        <v>439</v>
      </c>
      <c r="D129" s="285">
        <f>+H129+L129+P129+T129</f>
        <v>3</v>
      </c>
      <c r="E129" s="120">
        <f t="shared" si="26"/>
        <v>40160000</v>
      </c>
      <c r="F129" s="120">
        <f>+J129+N129+R129+V129</f>
        <v>3</v>
      </c>
      <c r="G129" s="120">
        <f t="shared" si="27"/>
        <v>40160000</v>
      </c>
      <c r="H129" s="341">
        <v>0</v>
      </c>
      <c r="I129" s="120">
        <v>0</v>
      </c>
      <c r="J129" s="120">
        <v>0</v>
      </c>
      <c r="K129" s="120">
        <v>0</v>
      </c>
      <c r="L129" s="120">
        <v>1</v>
      </c>
      <c r="M129" s="120">
        <v>0</v>
      </c>
      <c r="N129" s="120">
        <v>1</v>
      </c>
      <c r="O129" s="120">
        <v>0</v>
      </c>
      <c r="P129" s="120">
        <v>1</v>
      </c>
      <c r="Q129" s="120">
        <v>40160000</v>
      </c>
      <c r="R129" s="120">
        <v>1</v>
      </c>
      <c r="S129" s="120">
        <v>40160000</v>
      </c>
      <c r="T129" s="120">
        <v>1</v>
      </c>
      <c r="U129" s="120">
        <v>0</v>
      </c>
      <c r="V129" s="119">
        <v>1</v>
      </c>
      <c r="W129" s="370">
        <v>0</v>
      </c>
    </row>
    <row r="130" spans="1:23" ht="21" customHeight="1">
      <c r="A130" s="290" t="s">
        <v>34</v>
      </c>
      <c r="B130" s="294" t="s">
        <v>363</v>
      </c>
      <c r="C130" s="284" t="s">
        <v>440</v>
      </c>
      <c r="D130" s="285">
        <f>AVERAGE(H130,L130,P130,T130)</f>
        <v>1</v>
      </c>
      <c r="E130" s="120">
        <f t="shared" si="26"/>
        <v>805940337</v>
      </c>
      <c r="F130" s="120">
        <f>AVERAGE(J130,N130,R130,V130)</f>
        <v>1</v>
      </c>
      <c r="G130" s="120">
        <f t="shared" si="27"/>
        <v>796839189</v>
      </c>
      <c r="H130" s="341">
        <v>1</v>
      </c>
      <c r="I130" s="354">
        <v>216486965</v>
      </c>
      <c r="J130" s="354">
        <v>1</v>
      </c>
      <c r="K130" s="354">
        <v>215870431</v>
      </c>
      <c r="L130" s="354">
        <v>1</v>
      </c>
      <c r="M130" s="354">
        <v>468617855</v>
      </c>
      <c r="N130" s="354">
        <v>1</v>
      </c>
      <c r="O130" s="354">
        <v>468566842</v>
      </c>
      <c r="P130" s="354">
        <v>1</v>
      </c>
      <c r="Q130" s="354">
        <v>91564800</v>
      </c>
      <c r="R130" s="354">
        <v>1</v>
      </c>
      <c r="S130" s="354">
        <v>91564800</v>
      </c>
      <c r="T130" s="354">
        <v>1</v>
      </c>
      <c r="U130" s="354">
        <v>29270717</v>
      </c>
      <c r="V130" s="119">
        <v>1</v>
      </c>
      <c r="W130" s="370">
        <v>20837116</v>
      </c>
    </row>
    <row r="131" spans="1:23" ht="48.75" customHeight="1">
      <c r="A131" s="290" t="s">
        <v>368</v>
      </c>
      <c r="B131" s="294" t="s">
        <v>363</v>
      </c>
      <c r="C131" s="284" t="s">
        <v>404</v>
      </c>
      <c r="D131" s="285">
        <f>AVERAGE(H131,L131,P131,T131)</f>
        <v>100</v>
      </c>
      <c r="E131" s="120">
        <f>+I131+M131+Q131+U131+1</f>
        <v>45971724</v>
      </c>
      <c r="F131" s="120">
        <f>AVERAGE(J131,N131,R131,V131)</f>
        <v>99</v>
      </c>
      <c r="G131" s="120">
        <f t="shared" si="27"/>
        <v>45746813</v>
      </c>
      <c r="H131" s="355">
        <v>100</v>
      </c>
      <c r="I131" s="354">
        <v>6219749</v>
      </c>
      <c r="J131" s="354">
        <v>100</v>
      </c>
      <c r="K131" s="354">
        <v>6219749</v>
      </c>
      <c r="L131" s="354">
        <v>100</v>
      </c>
      <c r="M131" s="354">
        <v>33000000</v>
      </c>
      <c r="N131" s="354">
        <v>99</v>
      </c>
      <c r="O131" s="354">
        <v>32834561</v>
      </c>
      <c r="P131" s="354">
        <v>100</v>
      </c>
      <c r="Q131" s="354">
        <v>4743974</v>
      </c>
      <c r="R131" s="354">
        <v>100</v>
      </c>
      <c r="S131" s="354">
        <v>4743974</v>
      </c>
      <c r="T131" s="354">
        <v>100</v>
      </c>
      <c r="U131" s="354">
        <v>2008000</v>
      </c>
      <c r="V131" s="400">
        <v>97</v>
      </c>
      <c r="W131" s="370">
        <v>1948529</v>
      </c>
    </row>
    <row r="132" spans="1:23" ht="50.25" customHeight="1">
      <c r="A132" s="395" t="s">
        <v>441</v>
      </c>
      <c r="B132" s="396"/>
      <c r="C132" s="327"/>
      <c r="D132" s="397"/>
      <c r="E132" s="322">
        <f>SUM(E133:E137)</f>
        <v>5144934164.204</v>
      </c>
      <c r="F132" s="397"/>
      <c r="G132" s="322">
        <f>SUM(G133:G137)</f>
        <v>4413529619</v>
      </c>
      <c r="H132" s="317"/>
      <c r="I132" s="322">
        <f>SUM(I133:I136)</f>
        <v>21740003</v>
      </c>
      <c r="J132" s="322"/>
      <c r="K132" s="322">
        <f>SUM(K133:K137)</f>
        <v>20610705</v>
      </c>
      <c r="L132" s="317"/>
      <c r="M132" s="322">
        <f>SUM(M133:M137)</f>
        <v>320000000</v>
      </c>
      <c r="N132" s="317"/>
      <c r="O132" s="322">
        <f>SUM(O133:O137)</f>
        <v>278664191</v>
      </c>
      <c r="P132" s="322"/>
      <c r="Q132" s="322">
        <f>SUM(Q133:Q137)</f>
        <v>926625200</v>
      </c>
      <c r="R132" s="322"/>
      <c r="S132" s="322">
        <f>SUM(S133:S137)</f>
        <v>926495847</v>
      </c>
      <c r="T132" s="300"/>
      <c r="U132" s="299">
        <f>SUM(U133:U137)</f>
        <v>3876568961.204</v>
      </c>
      <c r="V132" s="391"/>
      <c r="W132" s="371">
        <f>SUM(W133:W137)</f>
        <v>3187758876</v>
      </c>
    </row>
    <row r="133" spans="1:23" ht="48.75" customHeight="1">
      <c r="A133" s="290" t="s">
        <v>37</v>
      </c>
      <c r="B133" s="294" t="s">
        <v>361</v>
      </c>
      <c r="C133" s="284" t="s">
        <v>442</v>
      </c>
      <c r="D133" s="285">
        <f>+H133+L133+P133+T133</f>
        <v>4</v>
      </c>
      <c r="E133" s="120">
        <f>+I133+M133+Q133+U133</f>
        <v>10028000</v>
      </c>
      <c r="F133" s="120">
        <f>+J133+N133+R133+V133</f>
        <v>5</v>
      </c>
      <c r="G133" s="120">
        <f>+K133+O133+S133+W133</f>
        <v>10027952</v>
      </c>
      <c r="H133" s="341">
        <v>1</v>
      </c>
      <c r="I133" s="354"/>
      <c r="J133" s="355">
        <v>1</v>
      </c>
      <c r="K133" s="354">
        <v>0</v>
      </c>
      <c r="L133" s="354">
        <v>1</v>
      </c>
      <c r="M133" s="354">
        <v>3000000</v>
      </c>
      <c r="N133" s="355">
        <v>1</v>
      </c>
      <c r="O133" s="354">
        <v>2999952</v>
      </c>
      <c r="P133" s="354">
        <v>1</v>
      </c>
      <c r="Q133" s="354">
        <v>3012000</v>
      </c>
      <c r="R133" s="354">
        <v>1</v>
      </c>
      <c r="S133" s="354">
        <v>3012000</v>
      </c>
      <c r="T133" s="354">
        <v>1</v>
      </c>
      <c r="U133" s="100">
        <v>4016000</v>
      </c>
      <c r="V133" s="119">
        <v>2</v>
      </c>
      <c r="W133" s="404">
        <v>4016000</v>
      </c>
    </row>
    <row r="134" spans="1:23" ht="80.25" customHeight="1">
      <c r="A134" s="282" t="s">
        <v>153</v>
      </c>
      <c r="B134" s="294" t="s">
        <v>363</v>
      </c>
      <c r="C134" s="284" t="s">
        <v>1</v>
      </c>
      <c r="D134" s="285">
        <f>AVERAGE(H134,L134,P134,T134)</f>
        <v>50</v>
      </c>
      <c r="E134" s="120">
        <f>+I134+M134+Q134+U134</f>
        <v>998356</v>
      </c>
      <c r="F134" s="120">
        <f>AVERAGE(J134,N134,R134,V134)</f>
        <v>50</v>
      </c>
      <c r="G134" s="120">
        <f>+K134+O134+S134+W134</f>
        <v>998356</v>
      </c>
      <c r="H134" s="341">
        <v>20</v>
      </c>
      <c r="I134" s="354">
        <v>998356</v>
      </c>
      <c r="J134" s="355">
        <v>20</v>
      </c>
      <c r="K134" s="354">
        <v>998356</v>
      </c>
      <c r="L134" s="354">
        <v>40</v>
      </c>
      <c r="M134" s="354">
        <v>0</v>
      </c>
      <c r="N134" s="355">
        <v>40</v>
      </c>
      <c r="O134" s="354">
        <v>0</v>
      </c>
      <c r="P134" s="120">
        <v>60</v>
      </c>
      <c r="Q134" s="354">
        <v>0</v>
      </c>
      <c r="R134" s="120">
        <v>60</v>
      </c>
      <c r="S134" s="354"/>
      <c r="T134" s="120">
        <v>80</v>
      </c>
      <c r="U134" s="100"/>
      <c r="V134" s="119">
        <v>80</v>
      </c>
      <c r="W134" s="405">
        <v>0</v>
      </c>
    </row>
    <row r="135" spans="1:23" ht="63.75" customHeight="1">
      <c r="A135" s="290" t="s">
        <v>38</v>
      </c>
      <c r="B135" s="294" t="s">
        <v>363</v>
      </c>
      <c r="C135" s="284" t="s">
        <v>440</v>
      </c>
      <c r="D135" s="285">
        <f>AVERAGE(H135,L135,P135,T135)</f>
        <v>0.75</v>
      </c>
      <c r="E135" s="120">
        <f>+I135+M135+Q135+U135</f>
        <v>3310465221.204</v>
      </c>
      <c r="F135" s="120">
        <f>AVERAGE(J135,N135,R135,V135)</f>
        <v>0.75</v>
      </c>
      <c r="G135" s="120">
        <f>+K135+O135+S135+W135</f>
        <v>3271268487</v>
      </c>
      <c r="H135" s="341">
        <v>0</v>
      </c>
      <c r="I135" s="120">
        <v>0</v>
      </c>
      <c r="J135" s="355">
        <v>0</v>
      </c>
      <c r="K135" s="354">
        <v>0</v>
      </c>
      <c r="L135" s="120">
        <v>1</v>
      </c>
      <c r="M135" s="354">
        <v>37249406</v>
      </c>
      <c r="N135" s="355">
        <v>1</v>
      </c>
      <c r="O135" s="354">
        <v>0</v>
      </c>
      <c r="P135" s="354">
        <v>1</v>
      </c>
      <c r="Q135" s="354">
        <v>121053229</v>
      </c>
      <c r="R135" s="354">
        <v>1</v>
      </c>
      <c r="S135" s="354">
        <v>121053229</v>
      </c>
      <c r="T135" s="354">
        <v>1</v>
      </c>
      <c r="U135" s="100">
        <v>3152162586.204</v>
      </c>
      <c r="V135" s="119">
        <v>1</v>
      </c>
      <c r="W135" s="405">
        <v>3150215258</v>
      </c>
    </row>
    <row r="136" spans="1:23" ht="54">
      <c r="A136" s="282" t="s">
        <v>39</v>
      </c>
      <c r="B136" s="294" t="s">
        <v>363</v>
      </c>
      <c r="C136" s="284" t="s">
        <v>440</v>
      </c>
      <c r="D136" s="285">
        <f>AVERAGE(H136,L136,P136,T136)</f>
        <v>1.75</v>
      </c>
      <c r="E136" s="120">
        <f>+I136+M136+Q136+U136</f>
        <v>1809206037</v>
      </c>
      <c r="F136" s="120">
        <f>AVERAGE(J136,N136,R136,V136)</f>
        <v>1.75</v>
      </c>
      <c r="G136" s="120">
        <f>+K136+O136+S136+W136</f>
        <v>1117176687</v>
      </c>
      <c r="H136" s="341">
        <v>1</v>
      </c>
      <c r="I136" s="120">
        <v>20741647</v>
      </c>
      <c r="J136" s="341">
        <v>1</v>
      </c>
      <c r="K136" s="120">
        <v>19612349</v>
      </c>
      <c r="L136" s="120">
        <v>2</v>
      </c>
      <c r="M136" s="120">
        <v>279750594</v>
      </c>
      <c r="N136" s="355">
        <v>2</v>
      </c>
      <c r="O136" s="354">
        <v>275664239</v>
      </c>
      <c r="P136" s="354">
        <v>2</v>
      </c>
      <c r="Q136" s="354">
        <v>799367421</v>
      </c>
      <c r="R136" s="354">
        <v>2</v>
      </c>
      <c r="S136" s="354">
        <v>799238068</v>
      </c>
      <c r="T136" s="354">
        <v>2</v>
      </c>
      <c r="U136" s="100">
        <v>709346375</v>
      </c>
      <c r="V136" s="119">
        <v>2</v>
      </c>
      <c r="W136" s="404">
        <v>22662031</v>
      </c>
    </row>
    <row r="137" spans="1:23" ht="43.5" customHeight="1" thickBot="1">
      <c r="A137" s="356" t="s">
        <v>368</v>
      </c>
      <c r="B137" s="357" t="s">
        <v>363</v>
      </c>
      <c r="C137" s="358" t="s">
        <v>207</v>
      </c>
      <c r="D137" s="285">
        <f>AVERAGE(H137,L137,P137,T137)</f>
        <v>100</v>
      </c>
      <c r="E137" s="354">
        <f>+I137+M137+Q137+U137</f>
        <v>14236550</v>
      </c>
      <c r="F137" s="120">
        <f>AVERAGE(J137,N137,R137,V137)</f>
        <v>66</v>
      </c>
      <c r="G137" s="354">
        <f>+K137+O137+S137+W137</f>
        <v>14058137</v>
      </c>
      <c r="H137" s="359"/>
      <c r="I137" s="354"/>
      <c r="J137" s="355">
        <v>0</v>
      </c>
      <c r="K137" s="354">
        <v>0</v>
      </c>
      <c r="L137" s="354"/>
      <c r="M137" s="354"/>
      <c r="N137" s="355"/>
      <c r="O137" s="354"/>
      <c r="P137" s="354">
        <v>100</v>
      </c>
      <c r="Q137" s="354">
        <v>3192550</v>
      </c>
      <c r="R137" s="354">
        <v>100</v>
      </c>
      <c r="S137" s="354">
        <v>3192550</v>
      </c>
      <c r="T137" s="354">
        <v>100</v>
      </c>
      <c r="U137" s="406">
        <v>11044000</v>
      </c>
      <c r="V137" s="119">
        <v>98</v>
      </c>
      <c r="W137" s="407">
        <v>10865587</v>
      </c>
    </row>
    <row r="138" spans="1:23" ht="38.25" customHeight="1" thickBot="1">
      <c r="A138" s="543" t="s">
        <v>443</v>
      </c>
      <c r="B138" s="544"/>
      <c r="C138" s="544"/>
      <c r="D138" s="544"/>
      <c r="E138" s="382">
        <f>+E6+E19+E24+E33+E37+E46+E57+E65+E73+E81+E102+E112+E124+E132</f>
        <v>82040134688.36719</v>
      </c>
      <c r="F138" s="382"/>
      <c r="G138" s="382">
        <f aca="true" t="shared" si="28" ref="G138:S138">+G6+G19+G24+G33+G37+G46+G57+G65+G73+G81+G102+G112+G124+G132</f>
        <v>78599852944.42801</v>
      </c>
      <c r="H138" s="382"/>
      <c r="I138" s="382">
        <f t="shared" si="28"/>
        <v>14729802616</v>
      </c>
      <c r="J138" s="382"/>
      <c r="K138" s="382">
        <f t="shared" si="28"/>
        <v>13937703935</v>
      </c>
      <c r="L138" s="382"/>
      <c r="M138" s="382">
        <f t="shared" si="28"/>
        <v>22204939471</v>
      </c>
      <c r="N138" s="382"/>
      <c r="O138" s="382">
        <f t="shared" si="28"/>
        <v>21742841706</v>
      </c>
      <c r="P138" s="382"/>
      <c r="Q138" s="382">
        <f t="shared" si="28"/>
        <v>18222515713</v>
      </c>
      <c r="R138" s="382"/>
      <c r="S138" s="382">
        <f t="shared" si="28"/>
        <v>17453013896</v>
      </c>
      <c r="T138" s="382"/>
      <c r="U138" s="382">
        <f>+U132+U124+U112+U102+U81+U73+U65+U57+U46+U37+U33+U24+U19+U6</f>
        <v>26845410016.9672</v>
      </c>
      <c r="V138" s="392"/>
      <c r="W138" s="383">
        <f>+W6+W19+W24+W33+W37+W46+W57+W65+W73+W81+W102+W112+W124+W132</f>
        <v>25466293407.428</v>
      </c>
    </row>
    <row r="139" spans="1:23" ht="3.75" customHeight="1" thickBot="1">
      <c r="A139" s="408"/>
      <c r="B139" s="409"/>
      <c r="C139" s="409"/>
      <c r="D139" s="409"/>
      <c r="E139" s="410"/>
      <c r="F139" s="409"/>
      <c r="G139" s="410"/>
      <c r="H139" s="409"/>
      <c r="I139" s="409"/>
      <c r="J139" s="409"/>
      <c r="K139" s="409"/>
      <c r="L139" s="409"/>
      <c r="M139" s="409"/>
      <c r="N139" s="409"/>
      <c r="O139" s="409"/>
      <c r="P139" s="409"/>
      <c r="Q139" s="409"/>
      <c r="R139" s="411"/>
      <c r="S139" s="411"/>
      <c r="T139" s="409"/>
      <c r="U139" s="412"/>
      <c r="V139" s="413"/>
      <c r="W139" s="414"/>
    </row>
    <row r="140" spans="5:19" ht="44.25" customHeight="1">
      <c r="E140" s="104"/>
      <c r="G140" s="104"/>
      <c r="Q140" s="384"/>
      <c r="R140" s="363"/>
      <c r="S140" s="363"/>
    </row>
    <row r="141" spans="5:19" ht="33" customHeight="1">
      <c r="E141" s="104"/>
      <c r="G141" s="104"/>
      <c r="Q141" s="362"/>
      <c r="R141" s="363"/>
      <c r="S141" s="363"/>
    </row>
    <row r="142" spans="5:7" ht="37.5" customHeight="1">
      <c r="E142" s="104"/>
      <c r="G142" s="104"/>
    </row>
    <row r="143" spans="3:7" ht="12.75">
      <c r="C143" s="107"/>
      <c r="E143" s="104"/>
      <c r="G143" s="104"/>
    </row>
    <row r="144" spans="5:7" ht="12.75">
      <c r="E144" s="104"/>
      <c r="G144" s="104"/>
    </row>
    <row r="145" spans="5:7" ht="12.75">
      <c r="E145" s="104"/>
      <c r="G145" s="104"/>
    </row>
    <row r="146" spans="5:7" ht="12.75">
      <c r="E146" s="104"/>
      <c r="G146" s="104"/>
    </row>
    <row r="147" spans="5:7" ht="12.75">
      <c r="E147" s="104"/>
      <c r="G147" s="104"/>
    </row>
    <row r="148" spans="5:7" ht="12.75">
      <c r="E148" s="104"/>
      <c r="G148" s="104"/>
    </row>
    <row r="149" spans="5:7" ht="12.75">
      <c r="E149" s="104"/>
      <c r="G149" s="104"/>
    </row>
    <row r="150" spans="5:7" ht="12.75">
      <c r="E150" s="104"/>
      <c r="G150" s="104"/>
    </row>
    <row r="151" spans="5:7" ht="12.75">
      <c r="E151" s="104"/>
      <c r="G151" s="104"/>
    </row>
    <row r="152" spans="5:7" ht="12.75">
      <c r="E152" s="104"/>
      <c r="G152" s="104"/>
    </row>
    <row r="153" spans="5:7" ht="12.75">
      <c r="E153" s="104"/>
      <c r="G153" s="104"/>
    </row>
    <row r="154" spans="5:7" ht="12.75">
      <c r="E154" s="104"/>
      <c r="G154" s="104"/>
    </row>
    <row r="155" spans="5:7" ht="12.75">
      <c r="E155" s="104"/>
      <c r="G155" s="104"/>
    </row>
    <row r="156" spans="5:7" ht="12.75">
      <c r="E156" s="104"/>
      <c r="G156" s="104"/>
    </row>
    <row r="157" spans="5:7" ht="12.75">
      <c r="E157" s="104"/>
      <c r="G157" s="104"/>
    </row>
    <row r="158" spans="5:7" ht="12.75">
      <c r="E158" s="104"/>
      <c r="G158" s="104"/>
    </row>
    <row r="159" spans="5:7" ht="12.75">
      <c r="E159" s="104"/>
      <c r="G159" s="104"/>
    </row>
    <row r="160" spans="5:7" ht="12.75">
      <c r="E160" s="104"/>
      <c r="G160" s="104"/>
    </row>
    <row r="161" spans="5:7" ht="12.75">
      <c r="E161" s="104"/>
      <c r="G161" s="104"/>
    </row>
    <row r="162" spans="5:7" ht="12.75">
      <c r="E162" s="104"/>
      <c r="G162" s="104"/>
    </row>
    <row r="163" spans="5:7" ht="12.75">
      <c r="E163" s="104"/>
      <c r="G163" s="104"/>
    </row>
    <row r="164" spans="5:7" ht="12.75">
      <c r="E164" s="104"/>
      <c r="G164" s="104"/>
    </row>
    <row r="165" spans="5:7" ht="12.75">
      <c r="E165" s="104"/>
      <c r="G165" s="104"/>
    </row>
    <row r="166" spans="5:7" ht="12.75">
      <c r="E166" s="104"/>
      <c r="G166" s="104"/>
    </row>
    <row r="167" spans="5:7" ht="12.75">
      <c r="E167" s="104"/>
      <c r="G167" s="104"/>
    </row>
    <row r="168" spans="5:7" ht="12.75">
      <c r="E168" s="104"/>
      <c r="G168" s="104"/>
    </row>
    <row r="169" spans="5:7" ht="12.75">
      <c r="E169" s="104"/>
      <c r="G169" s="104"/>
    </row>
    <row r="170" spans="5:7" ht="12.75">
      <c r="E170" s="104"/>
      <c r="G170" s="104"/>
    </row>
    <row r="171" spans="5:7" ht="12.75">
      <c r="E171" s="104"/>
      <c r="G171" s="104"/>
    </row>
    <row r="172" spans="5:7" ht="12.75">
      <c r="E172" s="104"/>
      <c r="G172" s="104"/>
    </row>
    <row r="173" spans="5:7" ht="12.75">
      <c r="E173" s="104"/>
      <c r="G173" s="104"/>
    </row>
    <row r="174" spans="5:7" ht="12.75">
      <c r="E174" s="104"/>
      <c r="G174" s="104"/>
    </row>
    <row r="175" spans="5:7" ht="12.75">
      <c r="E175" s="104"/>
      <c r="G175" s="104"/>
    </row>
    <row r="176" spans="5:7" ht="12.75">
      <c r="E176" s="104"/>
      <c r="G176" s="104"/>
    </row>
    <row r="177" spans="5:7" ht="12.75">
      <c r="E177" s="104"/>
      <c r="G177" s="104"/>
    </row>
    <row r="178" spans="5:7" ht="12.75">
      <c r="E178" s="104"/>
      <c r="G178" s="104"/>
    </row>
    <row r="179" spans="5:7" ht="12.75">
      <c r="E179" s="104"/>
      <c r="G179" s="104"/>
    </row>
    <row r="180" spans="5:7" ht="12.75">
      <c r="E180" s="104"/>
      <c r="G180" s="104"/>
    </row>
    <row r="181" spans="5:7" ht="12.75">
      <c r="E181" s="104"/>
      <c r="G181" s="104"/>
    </row>
    <row r="182" spans="5:7" ht="12.75">
      <c r="E182" s="104"/>
      <c r="G182" s="104"/>
    </row>
    <row r="183" spans="5:7" ht="12.75">
      <c r="E183" s="104"/>
      <c r="G183" s="104"/>
    </row>
    <row r="184" spans="5:7" ht="12.75">
      <c r="E184" s="104"/>
      <c r="G184" s="104"/>
    </row>
    <row r="185" spans="5:7" ht="12.75">
      <c r="E185" s="104"/>
      <c r="G185" s="104"/>
    </row>
    <row r="186" spans="5:7" ht="12.75">
      <c r="E186" s="104"/>
      <c r="G186" s="104"/>
    </row>
    <row r="187" spans="5:7" ht="12.75">
      <c r="E187" s="104"/>
      <c r="G187" s="104"/>
    </row>
    <row r="188" spans="5:7" ht="12.75">
      <c r="E188" s="104"/>
      <c r="G188" s="104"/>
    </row>
    <row r="189" spans="5:7" ht="12.75">
      <c r="E189" s="104"/>
      <c r="G189" s="104"/>
    </row>
    <row r="190" spans="5:7" ht="12.75">
      <c r="E190" s="104"/>
      <c r="G190" s="104"/>
    </row>
    <row r="191" spans="5:7" ht="12.75">
      <c r="E191" s="104"/>
      <c r="G191" s="104"/>
    </row>
    <row r="192" spans="5:7" ht="12.75">
      <c r="E192" s="104"/>
      <c r="G192" s="104"/>
    </row>
    <row r="193" spans="5:7" ht="12.75">
      <c r="E193" s="104"/>
      <c r="G193" s="104"/>
    </row>
    <row r="194" spans="5:7" ht="12.75">
      <c r="E194" s="104"/>
      <c r="G194" s="104"/>
    </row>
    <row r="195" spans="5:7" ht="12.75">
      <c r="E195" s="104"/>
      <c r="G195" s="104"/>
    </row>
    <row r="196" spans="5:7" ht="12.75">
      <c r="E196" s="104"/>
      <c r="G196" s="104"/>
    </row>
    <row r="197" spans="5:7" ht="12.75">
      <c r="E197" s="104"/>
      <c r="G197" s="104"/>
    </row>
    <row r="198" spans="5:7" ht="12.75">
      <c r="E198" s="104"/>
      <c r="G198" s="104"/>
    </row>
    <row r="199" spans="5:7" ht="12.75">
      <c r="E199" s="104"/>
      <c r="G199" s="104"/>
    </row>
    <row r="200" spans="5:7" ht="12.75">
      <c r="E200" s="104"/>
      <c r="G200" s="104"/>
    </row>
    <row r="201" spans="5:7" ht="12.75">
      <c r="E201" s="104"/>
      <c r="G201" s="104"/>
    </row>
    <row r="202" spans="5:7" ht="12.75">
      <c r="E202" s="104"/>
      <c r="G202" s="104"/>
    </row>
    <row r="203" spans="5:7" ht="12.75">
      <c r="E203" s="104"/>
      <c r="G203" s="104"/>
    </row>
    <row r="204" spans="5:7" ht="12.75">
      <c r="E204" s="104"/>
      <c r="G204" s="104"/>
    </row>
    <row r="205" spans="5:7" ht="12.75">
      <c r="E205" s="104"/>
      <c r="G205" s="104"/>
    </row>
    <row r="206" spans="5:7" ht="12.75">
      <c r="E206" s="104"/>
      <c r="G206" s="104"/>
    </row>
    <row r="207" spans="5:7" ht="12.75">
      <c r="E207" s="104"/>
      <c r="G207" s="104"/>
    </row>
    <row r="208" spans="5:7" ht="12.75">
      <c r="E208" s="104"/>
      <c r="G208" s="104"/>
    </row>
    <row r="209" spans="5:7" ht="12.75">
      <c r="E209" s="104"/>
      <c r="G209" s="104"/>
    </row>
    <row r="210" spans="5:7" ht="12.75">
      <c r="E210" s="104"/>
      <c r="G210" s="104"/>
    </row>
    <row r="211" spans="5:7" ht="12.75">
      <c r="E211" s="104"/>
      <c r="G211" s="104"/>
    </row>
    <row r="212" spans="5:7" ht="12.75">
      <c r="E212" s="104"/>
      <c r="G212" s="104"/>
    </row>
    <row r="213" spans="5:7" ht="12.75">
      <c r="E213" s="104"/>
      <c r="G213" s="104"/>
    </row>
    <row r="214" spans="5:7" ht="12.75">
      <c r="E214" s="104"/>
      <c r="G214" s="104"/>
    </row>
    <row r="215" spans="5:7" ht="12.75">
      <c r="E215" s="104"/>
      <c r="G215" s="104"/>
    </row>
    <row r="216" spans="5:7" ht="12.75">
      <c r="E216" s="104"/>
      <c r="G216" s="104"/>
    </row>
    <row r="217" spans="5:7" ht="12.75">
      <c r="E217" s="104"/>
      <c r="G217" s="104"/>
    </row>
    <row r="218" spans="5:7" ht="12.75">
      <c r="E218" s="104"/>
      <c r="G218" s="104"/>
    </row>
    <row r="219" spans="5:7" ht="12.75">
      <c r="E219" s="104"/>
      <c r="G219" s="104"/>
    </row>
    <row r="220" spans="5:7" ht="12.75">
      <c r="E220" s="104"/>
      <c r="G220" s="104"/>
    </row>
    <row r="221" spans="5:7" ht="12.75">
      <c r="E221" s="104"/>
      <c r="G221" s="104"/>
    </row>
    <row r="222" spans="5:7" ht="12.75">
      <c r="E222" s="104"/>
      <c r="G222" s="104"/>
    </row>
    <row r="223" spans="5:7" ht="12.75">
      <c r="E223" s="104"/>
      <c r="G223" s="104"/>
    </row>
    <row r="224" spans="5:7" ht="12.75">
      <c r="E224" s="104"/>
      <c r="G224" s="104"/>
    </row>
    <row r="225" spans="5:7" ht="12.75">
      <c r="E225" s="104"/>
      <c r="G225" s="104"/>
    </row>
    <row r="226" spans="5:7" ht="12.75">
      <c r="E226" s="104"/>
      <c r="G226" s="104"/>
    </row>
    <row r="227" spans="5:7" ht="12.75">
      <c r="E227" s="104"/>
      <c r="G227" s="104"/>
    </row>
    <row r="228" spans="5:7" ht="12.75">
      <c r="E228" s="104"/>
      <c r="G228" s="104"/>
    </row>
    <row r="229" spans="5:7" ht="12.75">
      <c r="E229" s="104"/>
      <c r="G229" s="104"/>
    </row>
    <row r="230" spans="5:7" ht="12.75">
      <c r="E230" s="104"/>
      <c r="G230" s="104"/>
    </row>
    <row r="231" spans="5:7" ht="12.75">
      <c r="E231" s="104"/>
      <c r="G231" s="104"/>
    </row>
    <row r="232" spans="5:7" ht="12.75">
      <c r="E232" s="104"/>
      <c r="G232" s="104"/>
    </row>
    <row r="233" spans="5:7" ht="12.75">
      <c r="E233" s="104"/>
      <c r="G233" s="104"/>
    </row>
    <row r="234" spans="5:7" ht="12.75">
      <c r="E234" s="104"/>
      <c r="G234" s="104"/>
    </row>
    <row r="235" spans="5:7" ht="12.75">
      <c r="E235" s="104"/>
      <c r="G235" s="104"/>
    </row>
    <row r="236" spans="5:7" ht="12.75">
      <c r="E236" s="104"/>
      <c r="G236" s="104"/>
    </row>
    <row r="237" spans="5:7" ht="12.75">
      <c r="E237" s="104"/>
      <c r="G237" s="104"/>
    </row>
    <row r="238" spans="5:7" ht="12.75">
      <c r="E238" s="104"/>
      <c r="G238" s="104"/>
    </row>
    <row r="239" spans="5:7" ht="12.75">
      <c r="E239" s="104"/>
      <c r="G239" s="104"/>
    </row>
    <row r="240" spans="5:7" ht="12.75">
      <c r="E240" s="104"/>
      <c r="G240" s="104"/>
    </row>
    <row r="241" spans="5:7" ht="12.75">
      <c r="E241" s="104"/>
      <c r="G241" s="104"/>
    </row>
    <row r="242" spans="5:7" ht="12.75">
      <c r="E242" s="104"/>
      <c r="G242" s="104"/>
    </row>
  </sheetData>
  <sheetProtection/>
  <mergeCells count="15">
    <mergeCell ref="H3:I3"/>
    <mergeCell ref="J3:K3"/>
    <mergeCell ref="L3:M3"/>
    <mergeCell ref="N3:O3"/>
    <mergeCell ref="P3:Q3"/>
    <mergeCell ref="R3:S3"/>
    <mergeCell ref="T3:U3"/>
    <mergeCell ref="V3:W3"/>
    <mergeCell ref="A138:D138"/>
    <mergeCell ref="A1:W1"/>
    <mergeCell ref="A2:U2"/>
    <mergeCell ref="A3:A4"/>
    <mergeCell ref="B3:B4"/>
    <mergeCell ref="C3:E3"/>
    <mergeCell ref="F3:G3"/>
  </mergeCells>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660" t="s">
        <v>80</v>
      </c>
      <c r="B1" s="660"/>
    </row>
    <row r="2" spans="1:2" ht="13.5" customHeight="1">
      <c r="A2" s="656" t="s">
        <v>63</v>
      </c>
      <c r="B2" s="657"/>
    </row>
    <row r="3" spans="1:2" ht="14.25" thickBot="1">
      <c r="A3" s="658" t="s">
        <v>81</v>
      </c>
      <c r="B3" s="659"/>
    </row>
    <row r="4" spans="1:2" ht="13.5" thickBot="1">
      <c r="A4" s="6" t="s">
        <v>65</v>
      </c>
      <c r="B4" s="7" t="s">
        <v>66</v>
      </c>
    </row>
    <row r="5" spans="1:2" ht="26.25" thickBot="1">
      <c r="A5" s="14" t="s">
        <v>48</v>
      </c>
      <c r="B5" s="15" t="s">
        <v>49</v>
      </c>
    </row>
    <row r="6" spans="1:2" ht="30" customHeight="1" thickBot="1">
      <c r="A6" s="14" t="s">
        <v>160</v>
      </c>
      <c r="B6" s="15" t="s">
        <v>162</v>
      </c>
    </row>
    <row r="7" spans="1:2" ht="64.5" thickBot="1">
      <c r="A7" s="13" t="s">
        <v>161</v>
      </c>
      <c r="B7" s="16" t="s">
        <v>101</v>
      </c>
    </row>
    <row r="8" spans="1:2" ht="39" thickBot="1">
      <c r="A8" s="13" t="s">
        <v>47</v>
      </c>
      <c r="B8" s="16" t="s">
        <v>41</v>
      </c>
    </row>
    <row r="9" spans="1:2" ht="64.5" thickBot="1">
      <c r="A9" s="13" t="s">
        <v>82</v>
      </c>
      <c r="B9" s="16" t="s">
        <v>42</v>
      </c>
    </row>
    <row r="10" spans="1:2" ht="64.5" thickBot="1">
      <c r="A10" s="13" t="s">
        <v>83</v>
      </c>
      <c r="B10" s="16" t="s">
        <v>43</v>
      </c>
    </row>
    <row r="11" spans="1:2" ht="68.25" customHeight="1" thickBot="1">
      <c r="A11" s="13" t="s">
        <v>84</v>
      </c>
      <c r="B11" s="16" t="s">
        <v>44</v>
      </c>
    </row>
    <row r="12" spans="1:2" ht="26.25" thickBot="1">
      <c r="A12" s="13" t="s">
        <v>59</v>
      </c>
      <c r="B12" s="16" t="s">
        <v>45</v>
      </c>
    </row>
    <row r="13" spans="1:2" ht="32.25" customHeight="1" thickBot="1">
      <c r="A13" s="13" t="s">
        <v>60</v>
      </c>
      <c r="B13" s="16" t="s">
        <v>159</v>
      </c>
    </row>
    <row r="14" spans="1:2" ht="47.25" customHeight="1" thickBot="1">
      <c r="A14" s="13" t="s">
        <v>85</v>
      </c>
      <c r="B14" s="16" t="s">
        <v>86</v>
      </c>
    </row>
    <row r="15" spans="1:2" ht="26.25" thickBot="1">
      <c r="A15" s="13" t="s">
        <v>61</v>
      </c>
      <c r="B15" s="16" t="s">
        <v>50</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181</v>
      </c>
      <c r="E4">
        <v>57</v>
      </c>
    </row>
    <row r="5" spans="4:5" ht="12.75">
      <c r="D5" t="s">
        <v>291</v>
      </c>
      <c r="E5">
        <v>70</v>
      </c>
    </row>
    <row r="6" spans="4:5" ht="12.75">
      <c r="D6" t="s">
        <v>175</v>
      </c>
      <c r="E6">
        <v>47</v>
      </c>
    </row>
    <row r="7" spans="4:5" ht="12.75">
      <c r="D7" t="s">
        <v>196</v>
      </c>
      <c r="E7">
        <v>67</v>
      </c>
    </row>
    <row r="8" spans="4:5" ht="12.75">
      <c r="D8" t="s">
        <v>187</v>
      </c>
      <c r="E8">
        <v>14</v>
      </c>
    </row>
    <row r="9" spans="4:5" ht="12.75">
      <c r="D9" t="s">
        <v>183</v>
      </c>
      <c r="E9">
        <v>48</v>
      </c>
    </row>
    <row r="10" spans="4:5" ht="12.75">
      <c r="D10" t="s">
        <v>189</v>
      </c>
      <c r="E10">
        <v>18</v>
      </c>
    </row>
    <row r="11" spans="4:5" ht="12.75">
      <c r="D11" t="s">
        <v>190</v>
      </c>
      <c r="E11">
        <v>32</v>
      </c>
    </row>
    <row r="12" spans="4:5" ht="12.75">
      <c r="D12" t="s">
        <v>177</v>
      </c>
      <c r="E12">
        <v>32</v>
      </c>
    </row>
    <row r="13" spans="4:5" ht="12.75">
      <c r="D13" t="s">
        <v>191</v>
      </c>
      <c r="E13">
        <v>78</v>
      </c>
    </row>
    <row r="14" spans="4:5" ht="12.75">
      <c r="D14" t="s">
        <v>292</v>
      </c>
      <c r="E14">
        <v>47</v>
      </c>
    </row>
    <row r="15" spans="4:5" ht="12.75">
      <c r="D15" t="s">
        <v>293</v>
      </c>
      <c r="E15">
        <v>45</v>
      </c>
    </row>
    <row r="16" spans="4:5" ht="12.75">
      <c r="D16" t="s">
        <v>294</v>
      </c>
      <c r="E16">
        <v>99</v>
      </c>
    </row>
    <row r="17" spans="4:5" ht="12.75">
      <c r="D17" t="s">
        <v>176</v>
      </c>
      <c r="E17">
        <v>60</v>
      </c>
    </row>
    <row r="18" ht="12.75">
      <c r="E18">
        <f>AVERAGE(E4:E17,E4:E17)</f>
        <v>51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182"/>
  <sheetViews>
    <sheetView tabSelected="1" zoomScale="70" zoomScaleNormal="70" zoomScaleSheetLayoutView="75"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G7" sqref="G7"/>
    </sheetView>
  </sheetViews>
  <sheetFormatPr defaultColWidth="11.421875" defaultRowHeight="12.75"/>
  <cols>
    <col min="1" max="1" width="5.7109375" style="30" hidden="1" customWidth="1"/>
    <col min="2" max="2" width="52.28125" style="30" customWidth="1"/>
    <col min="3" max="3" width="17.00390625" style="30" customWidth="1"/>
    <col min="4" max="4" width="15.421875" style="30" customWidth="1"/>
    <col min="5" max="5" width="13.00390625" style="30" customWidth="1"/>
    <col min="6" max="6" width="15.8515625" style="181" customWidth="1"/>
    <col min="7" max="7" width="30.00390625" style="258" customWidth="1"/>
    <col min="8" max="8" width="31.8515625" style="30" customWidth="1"/>
    <col min="9" max="9" width="23.421875" style="34" customWidth="1"/>
    <col min="10" max="10" width="23.421875" style="97" customWidth="1"/>
    <col min="11" max="11" width="20.57421875" style="34" customWidth="1"/>
    <col min="12" max="12" width="20.421875" style="34" hidden="1" customWidth="1"/>
    <col min="13" max="13" width="22.28125" style="33" customWidth="1"/>
    <col min="14" max="14" width="18.421875" style="30" customWidth="1"/>
    <col min="15" max="15" width="23.8515625" style="30" customWidth="1"/>
    <col min="16" max="16" width="21.00390625" style="32" customWidth="1"/>
    <col min="17" max="17" width="19.57421875" style="32" customWidth="1"/>
    <col min="18" max="18" width="17.57421875" style="245" customWidth="1"/>
    <col min="19" max="19" width="37.421875" style="30" customWidth="1"/>
    <col min="20" max="20" width="36.7109375" style="30" customWidth="1"/>
    <col min="21" max="21" width="11.421875" style="30" customWidth="1"/>
    <col min="22" max="22" width="71.57421875" style="30" customWidth="1"/>
    <col min="23" max="16384" width="11.421875" style="30" customWidth="1"/>
  </cols>
  <sheetData>
    <row r="1" spans="1:19" s="29" customFormat="1" ht="49.5" customHeight="1" thickBot="1">
      <c r="A1" s="28"/>
      <c r="B1" s="555" t="s">
        <v>204</v>
      </c>
      <c r="C1" s="556"/>
      <c r="D1" s="556"/>
      <c r="E1" s="556"/>
      <c r="F1" s="556"/>
      <c r="G1" s="556"/>
      <c r="H1" s="556"/>
      <c r="I1" s="556"/>
      <c r="J1" s="556"/>
      <c r="K1" s="556"/>
      <c r="L1" s="556"/>
      <c r="M1" s="556"/>
      <c r="N1" s="556"/>
      <c r="O1" s="556"/>
      <c r="P1" s="556"/>
      <c r="Q1" s="556"/>
      <c r="R1" s="556"/>
      <c r="S1" s="557"/>
    </row>
    <row r="2" spans="1:19" s="29" customFormat="1" ht="21.75" customHeight="1">
      <c r="A2" s="126"/>
      <c r="B2" s="562" t="s">
        <v>550</v>
      </c>
      <c r="C2" s="563"/>
      <c r="D2" s="563"/>
      <c r="E2" s="563"/>
      <c r="F2" s="563"/>
      <c r="G2" s="563"/>
      <c r="H2" s="563"/>
      <c r="I2" s="563"/>
      <c r="J2" s="563"/>
      <c r="K2" s="563"/>
      <c r="L2" s="563"/>
      <c r="M2" s="563"/>
      <c r="N2" s="563"/>
      <c r="O2" s="563"/>
      <c r="P2" s="563"/>
      <c r="Q2" s="563"/>
      <c r="R2" s="563"/>
      <c r="S2" s="564"/>
    </row>
    <row r="3" spans="1:19" ht="33" customHeight="1">
      <c r="A3" s="99"/>
      <c r="B3" s="558" t="s">
        <v>289</v>
      </c>
      <c r="C3" s="560" t="s">
        <v>201</v>
      </c>
      <c r="D3" s="561"/>
      <c r="E3" s="561"/>
      <c r="F3" s="561"/>
      <c r="G3" s="561"/>
      <c r="H3" s="561"/>
      <c r="I3" s="561"/>
      <c r="J3" s="561"/>
      <c r="K3" s="561"/>
      <c r="L3" s="246"/>
      <c r="M3" s="560" t="s">
        <v>202</v>
      </c>
      <c r="N3" s="561"/>
      <c r="O3" s="561"/>
      <c r="P3" s="561"/>
      <c r="Q3" s="561"/>
      <c r="R3" s="565"/>
      <c r="S3" s="566" t="s">
        <v>590</v>
      </c>
    </row>
    <row r="4" spans="1:19" ht="107.25" customHeight="1" thickBot="1">
      <c r="A4" s="99"/>
      <c r="B4" s="559"/>
      <c r="C4" s="131" t="s">
        <v>58</v>
      </c>
      <c r="D4" s="131" t="s">
        <v>105</v>
      </c>
      <c r="E4" s="131" t="s">
        <v>107</v>
      </c>
      <c r="F4" s="430" t="s">
        <v>87</v>
      </c>
      <c r="G4" s="131" t="s">
        <v>538</v>
      </c>
      <c r="H4" s="131" t="s">
        <v>539</v>
      </c>
      <c r="I4" s="131" t="s">
        <v>102</v>
      </c>
      <c r="J4" s="131" t="s">
        <v>89</v>
      </c>
      <c r="K4" s="131" t="s">
        <v>88</v>
      </c>
      <c r="L4" s="268" t="s">
        <v>104</v>
      </c>
      <c r="M4" s="131" t="s">
        <v>210</v>
      </c>
      <c r="N4" s="131" t="s">
        <v>106</v>
      </c>
      <c r="O4" s="131" t="s">
        <v>91</v>
      </c>
      <c r="P4" s="131" t="s">
        <v>103</v>
      </c>
      <c r="Q4" s="131" t="s">
        <v>92</v>
      </c>
      <c r="R4" s="436" t="s">
        <v>93</v>
      </c>
      <c r="S4" s="567"/>
    </row>
    <row r="5" spans="1:19" ht="71.25" customHeight="1">
      <c r="A5" s="99"/>
      <c r="B5" s="132" t="s">
        <v>213</v>
      </c>
      <c r="C5" s="127"/>
      <c r="D5" s="127"/>
      <c r="E5" s="127"/>
      <c r="F5" s="431">
        <f>AVERAGE(F6,F19,F24)</f>
        <v>99.999774029952</v>
      </c>
      <c r="G5" s="128"/>
      <c r="H5" s="128"/>
      <c r="I5" s="129"/>
      <c r="J5" s="127"/>
      <c r="K5" s="128">
        <f>AVERAGE(K6,K19,K24)</f>
        <v>99.56588246757002</v>
      </c>
      <c r="L5" s="127"/>
      <c r="M5" s="130">
        <f>+M6+M19+M24</f>
        <v>2207306889.528</v>
      </c>
      <c r="N5" s="130">
        <f>+N6+N19+N24</f>
        <v>2116679774</v>
      </c>
      <c r="O5" s="128">
        <f>+(N5/M5)*100</f>
        <v>95.89422223262397</v>
      </c>
      <c r="P5" s="130">
        <f>+P6+P19+P24</f>
        <v>10404037688.528</v>
      </c>
      <c r="Q5" s="130">
        <f>+Q6+Q19+Q24</f>
        <v>10113179375</v>
      </c>
      <c r="R5" s="128">
        <f>+(Q5/P5)*100</f>
        <v>97.20437081991048</v>
      </c>
      <c r="S5" s="133"/>
    </row>
    <row r="6" spans="1:19" ht="111.75" customHeight="1">
      <c r="A6" s="99"/>
      <c r="B6" s="134" t="s">
        <v>214</v>
      </c>
      <c r="C6" s="39"/>
      <c r="D6" s="39"/>
      <c r="E6" s="66"/>
      <c r="F6" s="432">
        <f>AVERAGE(F7:F18)</f>
        <v>99.999322089856</v>
      </c>
      <c r="G6" s="66"/>
      <c r="H6" s="66"/>
      <c r="I6" s="67"/>
      <c r="J6" s="39"/>
      <c r="K6" s="66">
        <f>AVERAGE(K7:K18)</f>
        <v>99.07264740271006</v>
      </c>
      <c r="L6" s="102"/>
      <c r="M6" s="95">
        <f>SUM(M7:M18)</f>
        <v>1661768089.8</v>
      </c>
      <c r="N6" s="68">
        <f>SUM(N7:N18)</f>
        <v>1587979039</v>
      </c>
      <c r="O6" s="66">
        <f>+(N6/M6)*100</f>
        <v>95.55960598516002</v>
      </c>
      <c r="P6" s="67">
        <f>SUM(P7:P18)</f>
        <v>9020807693.8</v>
      </c>
      <c r="Q6" s="67">
        <f>SUM(Q7:Q18)</f>
        <v>8758845582</v>
      </c>
      <c r="R6" s="66">
        <f>+(Q6/P6)*100</f>
        <v>97.09602376314878</v>
      </c>
      <c r="S6" s="135"/>
    </row>
    <row r="7" spans="1:19" ht="177" customHeight="1">
      <c r="A7" s="99"/>
      <c r="B7" s="136" t="s">
        <v>215</v>
      </c>
      <c r="C7" s="45" t="s">
        <v>304</v>
      </c>
      <c r="D7" s="58">
        <f>+'ACUMULADO A DICIEMBRE 2015'!T7</f>
        <v>3000</v>
      </c>
      <c r="E7" s="111">
        <f>+'ACUMULADO A DICIEMBRE 2015'!V7</f>
        <v>3000</v>
      </c>
      <c r="F7" s="58">
        <f>+(E7/D7)*100</f>
        <v>100</v>
      </c>
      <c r="G7" s="254"/>
      <c r="H7" s="63"/>
      <c r="I7" s="63">
        <f>+'ACUMULADO A DICIEMBRE 2015'!D7</f>
        <v>106414</v>
      </c>
      <c r="J7" s="63">
        <f>+'ACUMULADO A DICIEMBRE 2015'!F7</f>
        <v>110813</v>
      </c>
      <c r="K7" s="63">
        <v>100</v>
      </c>
      <c r="L7" s="360">
        <v>0.014807960647100793</v>
      </c>
      <c r="M7" s="63">
        <f>+'ACUMULADO A DICIEMBRE 2015'!U7</f>
        <v>25507624</v>
      </c>
      <c r="N7" s="218">
        <f>+'ACUMULADO A DICIEMBRE 2015'!W7</f>
        <v>25507624</v>
      </c>
      <c r="O7" s="63">
        <f>+(N7/M7)*100</f>
        <v>100</v>
      </c>
      <c r="P7" s="63">
        <f>+'ACUMULADO A DICIEMBRE 2015'!E7</f>
        <v>140871739</v>
      </c>
      <c r="Q7" s="63">
        <f>+'ACUMULADO A DICIEMBRE 2015'!G7</f>
        <v>140834757</v>
      </c>
      <c r="R7" s="437">
        <f>+Q7/P7</f>
        <v>0.99973747750782</v>
      </c>
      <c r="S7" s="137"/>
    </row>
    <row r="8" spans="1:19" ht="120" customHeight="1">
      <c r="A8" s="99"/>
      <c r="B8" s="136" t="s">
        <v>216</v>
      </c>
      <c r="C8" s="45" t="s">
        <v>305</v>
      </c>
      <c r="D8" s="58">
        <f>+'ACUMULADO A DICIEMBRE 2015'!T8</f>
        <v>330314</v>
      </c>
      <c r="E8" s="111">
        <f>+'ACUMULADO A DICIEMBRE 2015'!V8</f>
        <v>330314</v>
      </c>
      <c r="F8" s="58">
        <f>+(E8/D8)*100</f>
        <v>100</v>
      </c>
      <c r="G8" s="254"/>
      <c r="H8" s="63"/>
      <c r="I8" s="63">
        <f>+'ACUMULADO A DICIEMBRE 2015'!D8</f>
        <v>330314</v>
      </c>
      <c r="J8" s="63">
        <f>+'ACUMULADO A DICIEMBRE 2015'!F8</f>
        <v>330314</v>
      </c>
      <c r="K8" s="63">
        <f aca="true" t="shared" si="0" ref="K8:K30">+(J8/I8)*100</f>
        <v>100</v>
      </c>
      <c r="L8" s="360">
        <v>0.40996201102997554</v>
      </c>
      <c r="M8" s="63">
        <f>+'ACUMULADO A DICIEMBRE 2015'!U8</f>
        <v>645807618.8</v>
      </c>
      <c r="N8" s="218">
        <f>+'ACUMULADO A DICIEMBRE 2015'!W8</f>
        <v>622785456</v>
      </c>
      <c r="O8" s="63">
        <f aca="true" t="shared" si="1" ref="O8:O18">+(N8/M8)*100</f>
        <v>96.43513607925867</v>
      </c>
      <c r="P8" s="63">
        <f>+'ACUMULADO A DICIEMBRE 2015'!E8</f>
        <v>3391604139.8</v>
      </c>
      <c r="Q8" s="63">
        <f>+'ACUMULADO A DICIEMBRE 2015'!G8</f>
        <v>3253061533</v>
      </c>
      <c r="R8" s="437">
        <f>+Q8/P8</f>
        <v>0.9591513038994669</v>
      </c>
      <c r="S8" s="138"/>
    </row>
    <row r="9" spans="1:19" ht="130.5" customHeight="1">
      <c r="A9" s="99"/>
      <c r="B9" s="136" t="s">
        <v>217</v>
      </c>
      <c r="C9" s="45" t="s">
        <v>304</v>
      </c>
      <c r="D9" s="58">
        <f>+'ACUMULADO A DICIEMBRE 2015'!T9</f>
        <v>30000</v>
      </c>
      <c r="E9" s="111">
        <f>+'ACUMULADO A DICIEMBRE 2015'!V9</f>
        <v>41228</v>
      </c>
      <c r="F9" s="58">
        <v>100</v>
      </c>
      <c r="G9" s="254"/>
      <c r="H9" s="63"/>
      <c r="I9" s="63">
        <f>+'ACUMULADO A DICIEMBRE 2015'!D9</f>
        <v>120000</v>
      </c>
      <c r="J9" s="63">
        <f>+'ACUMULADO A DICIEMBRE 2015'!F9</f>
        <v>131228</v>
      </c>
      <c r="K9" s="63">
        <v>100</v>
      </c>
      <c r="L9" s="360">
        <v>0.022313815413137737</v>
      </c>
      <c r="M9" s="40">
        <f>+'ACUMULADO A DICIEMBRE 2015'!U9</f>
        <v>38436921</v>
      </c>
      <c r="N9" s="101">
        <f>+'ACUMULADO A DICIEMBRE 2015'!W9</f>
        <v>38436921</v>
      </c>
      <c r="O9" s="63">
        <f t="shared" si="1"/>
        <v>100</v>
      </c>
      <c r="P9" s="63">
        <f>+'ACUMULADO A DICIEMBRE 2015'!E9</f>
        <v>106617186</v>
      </c>
      <c r="Q9" s="63">
        <f>+'ACUMULADO A DICIEMBRE 2015'!G9</f>
        <v>106617185</v>
      </c>
      <c r="R9" s="437">
        <f>+Q9/P9</f>
        <v>0.9999999906206491</v>
      </c>
      <c r="S9" s="138"/>
    </row>
    <row r="10" spans="1:19" ht="133.5" customHeight="1">
      <c r="A10" s="99"/>
      <c r="B10" s="136" t="s">
        <v>218</v>
      </c>
      <c r="C10" s="45" t="s">
        <v>305</v>
      </c>
      <c r="D10" s="58">
        <f>+'ACUMULADO A DICIEMBRE 2015'!T10</f>
        <v>4145</v>
      </c>
      <c r="E10" s="111">
        <f>+'ACUMULADO A DICIEMBRE 2015'!V10</f>
        <v>4145</v>
      </c>
      <c r="F10" s="58">
        <f aca="true" t="shared" si="2" ref="F10:F15">+(E10/D10)*100</f>
        <v>100</v>
      </c>
      <c r="G10" s="254"/>
      <c r="H10" s="63"/>
      <c r="I10" s="63">
        <f>+'ACUMULADO A DICIEMBRE 2015'!D10</f>
        <v>4145</v>
      </c>
      <c r="J10" s="63">
        <f>+'ACUMULADO A DICIEMBRE 2015'!F10</f>
        <v>4144.666666666667</v>
      </c>
      <c r="K10" s="63">
        <f t="shared" si="0"/>
        <v>99.99195818254927</v>
      </c>
      <c r="L10" s="360">
        <v>0.02209527692622267</v>
      </c>
      <c r="M10" s="40">
        <f>+'ACUMULADO A DICIEMBRE 2015'!U10</f>
        <v>38060475</v>
      </c>
      <c r="N10" s="101">
        <f>+'ACUMULADO A DICIEMBRE 2015'!W10</f>
        <v>38060475</v>
      </c>
      <c r="O10" s="63">
        <f t="shared" si="1"/>
        <v>100</v>
      </c>
      <c r="P10" s="63">
        <f>+'ACUMULADO A DICIEMBRE 2015'!E10</f>
        <v>102187777</v>
      </c>
      <c r="Q10" s="63">
        <f>+'ACUMULADO A DICIEMBRE 2015'!G10</f>
        <v>101461576</v>
      </c>
      <c r="R10" s="437">
        <f aca="true" t="shared" si="3" ref="R10:R31">+Q10/P10</f>
        <v>0.9928934651352676</v>
      </c>
      <c r="S10" s="138"/>
    </row>
    <row r="11" spans="1:19" ht="126" customHeight="1">
      <c r="A11" s="99"/>
      <c r="B11" s="136" t="s">
        <v>219</v>
      </c>
      <c r="C11" s="45" t="s">
        <v>306</v>
      </c>
      <c r="D11" s="58">
        <f>+'ACUMULADO A DICIEMBRE 2015'!T11</f>
        <v>3</v>
      </c>
      <c r="E11" s="111">
        <f>+'ACUMULADO A DICIEMBRE 2015'!V11</f>
        <v>4</v>
      </c>
      <c r="F11" s="58">
        <v>100</v>
      </c>
      <c r="G11" s="254"/>
      <c r="H11" s="63"/>
      <c r="I11" s="63">
        <f>+'ACUMULADO A DICIEMBRE 2015'!D11</f>
        <v>3</v>
      </c>
      <c r="J11" s="63">
        <f>+'ACUMULADO A DICIEMBRE 2015'!F11</f>
        <v>3.25</v>
      </c>
      <c r="K11" s="63">
        <v>100</v>
      </c>
      <c r="L11" s="360">
        <v>0.031941178086444415</v>
      </c>
      <c r="M11" s="40">
        <f>+'ACUMULADO A DICIEMBRE 2015'!U11</f>
        <v>55020646</v>
      </c>
      <c r="N11" s="101">
        <f>+'ACUMULADO A DICIEMBRE 2015'!W11</f>
        <v>55020646</v>
      </c>
      <c r="O11" s="63">
        <f t="shared" si="1"/>
        <v>100</v>
      </c>
      <c r="P11" s="63">
        <f>+'ACUMULADO A DICIEMBRE 2015'!E11</f>
        <v>180182464</v>
      </c>
      <c r="Q11" s="63">
        <f>+'ACUMULADO A DICIEMBRE 2015'!G11</f>
        <v>180182464</v>
      </c>
      <c r="R11" s="437">
        <f>+Q11/P11</f>
        <v>1</v>
      </c>
      <c r="S11" s="137"/>
    </row>
    <row r="12" spans="1:19" ht="173.25" customHeight="1">
      <c r="A12" s="99"/>
      <c r="B12" s="139" t="s">
        <v>220</v>
      </c>
      <c r="C12" s="45" t="s">
        <v>304</v>
      </c>
      <c r="D12" s="58">
        <f>+'ACUMULADO A DICIEMBRE 2015'!T12</f>
        <v>2000</v>
      </c>
      <c r="E12" s="111">
        <f>+'ACUMULADO A DICIEMBRE 2015'!V12</f>
        <v>2000</v>
      </c>
      <c r="F12" s="58">
        <v>100</v>
      </c>
      <c r="G12" s="254"/>
      <c r="H12" s="63"/>
      <c r="I12" s="63">
        <f>+'ACUMULADO A DICIEMBRE 2015'!D12</f>
        <v>8500</v>
      </c>
      <c r="J12" s="63">
        <f>+'ACUMULADO A DICIEMBRE 2015'!F12</f>
        <v>9547</v>
      </c>
      <c r="K12" s="63">
        <v>100</v>
      </c>
      <c r="L12" s="360">
        <v>0.019268467090512262</v>
      </c>
      <c r="M12" s="40">
        <f>+'ACUMULADO A DICIEMBRE 2015'!U12</f>
        <v>33191121</v>
      </c>
      <c r="N12" s="101">
        <f>+'ACUMULADO A DICIEMBRE 2015'!W12</f>
        <v>33190181</v>
      </c>
      <c r="O12" s="63">
        <f t="shared" si="1"/>
        <v>99.99716791728727</v>
      </c>
      <c r="P12" s="63">
        <f>+'ACUMULADO A DICIEMBRE 2015'!E12</f>
        <v>2114085723</v>
      </c>
      <c r="Q12" s="63">
        <f>+'ACUMULADO A DICIEMBRE 2015'!G12</f>
        <v>2082507661</v>
      </c>
      <c r="R12" s="437">
        <f t="shared" si="3"/>
        <v>0.985063017238871</v>
      </c>
      <c r="S12" s="137"/>
    </row>
    <row r="13" spans="1:19" ht="123" customHeight="1">
      <c r="A13" s="99"/>
      <c r="B13" s="139" t="s">
        <v>221</v>
      </c>
      <c r="C13" s="45" t="s">
        <v>163</v>
      </c>
      <c r="D13" s="58">
        <f>+'ACUMULADO A DICIEMBRE 2015'!T13</f>
        <v>350</v>
      </c>
      <c r="E13" s="111">
        <f>+'ACUMULADO A DICIEMBRE 2015'!V13</f>
        <v>747</v>
      </c>
      <c r="F13" s="58">
        <v>100</v>
      </c>
      <c r="G13" s="254"/>
      <c r="H13" s="63"/>
      <c r="I13" s="63">
        <f>+'ACUMULADO A DICIEMBRE 2015'!D13</f>
        <v>2776</v>
      </c>
      <c r="J13" s="63">
        <f>+'ACUMULADO A DICIEMBRE 2015'!F13</f>
        <v>2509</v>
      </c>
      <c r="K13" s="63">
        <f t="shared" si="0"/>
        <v>90.38184438040345</v>
      </c>
      <c r="L13" s="360">
        <v>0.3254223294313426</v>
      </c>
      <c r="M13" s="40">
        <f>+'ACUMULADO A DICIEMBRE 2015'!U13</f>
        <v>560560000</v>
      </c>
      <c r="N13" s="101">
        <f>+'ACUMULADO A DICIEMBRE 2015'!W13</f>
        <v>509797466</v>
      </c>
      <c r="O13" s="63">
        <f t="shared" si="1"/>
        <v>90.94431746824604</v>
      </c>
      <c r="P13" s="63">
        <f>+'ACUMULADO A DICIEMBRE 2015'!E13</f>
        <v>2095538937</v>
      </c>
      <c r="Q13" s="63">
        <f>+'ACUMULADO A DICIEMBRE 2015'!G13</f>
        <v>2005646967</v>
      </c>
      <c r="R13" s="437">
        <f t="shared" si="3"/>
        <v>0.9571031735975803</v>
      </c>
      <c r="S13" s="137"/>
    </row>
    <row r="14" spans="1:19" ht="144.75" customHeight="1">
      <c r="A14" s="99"/>
      <c r="B14" s="139" t="s">
        <v>290</v>
      </c>
      <c r="C14" s="45" t="s">
        <v>307</v>
      </c>
      <c r="D14" s="58">
        <f>+'ACUMULADO A DICIEMBRE 2015'!T14</f>
        <v>3</v>
      </c>
      <c r="E14" s="111">
        <f>+'ACUMULADO A DICIEMBRE 2015'!V14</f>
        <v>3</v>
      </c>
      <c r="F14" s="58">
        <f t="shared" si="2"/>
        <v>100</v>
      </c>
      <c r="G14" s="254"/>
      <c r="H14" s="63"/>
      <c r="I14" s="63">
        <f>+'ACUMULADO A DICIEMBRE 2015'!D14</f>
        <v>3</v>
      </c>
      <c r="J14" s="63">
        <f>+'ACUMULADO A DICIEMBRE 2015'!F14</f>
        <v>3</v>
      </c>
      <c r="K14" s="63">
        <f t="shared" si="0"/>
        <v>100</v>
      </c>
      <c r="L14" s="360">
        <v>0.04535106389178051</v>
      </c>
      <c r="M14" s="40">
        <f>+'ACUMULADO A DICIEMBRE 2015'!U14</f>
        <v>78120000</v>
      </c>
      <c r="N14" s="101">
        <f>+'ACUMULADO A DICIEMBRE 2015'!W14</f>
        <v>78118594</v>
      </c>
      <c r="O14" s="63">
        <f t="shared" si="1"/>
        <v>99.9982002048131</v>
      </c>
      <c r="P14" s="63">
        <f>+'ACUMULADO A DICIEMBRE 2015'!E14</f>
        <v>237434958</v>
      </c>
      <c r="Q14" s="63">
        <f>+'ACUMULADO A DICIEMBRE 2015'!G14</f>
        <v>237432912</v>
      </c>
      <c r="R14" s="437">
        <f t="shared" si="3"/>
        <v>0.9999913829032707</v>
      </c>
      <c r="S14" s="137"/>
    </row>
    <row r="15" spans="1:19" ht="140.25" customHeight="1">
      <c r="A15" s="99"/>
      <c r="B15" s="139" t="s">
        <v>222</v>
      </c>
      <c r="C15" s="45" t="s">
        <v>170</v>
      </c>
      <c r="D15" s="58">
        <f>+'ACUMULADO A DICIEMBRE 2015'!T15</f>
        <v>2</v>
      </c>
      <c r="E15" s="111">
        <f>+'ACUMULADO A DICIEMBRE 2015'!V15</f>
        <v>2</v>
      </c>
      <c r="F15" s="58">
        <f t="shared" si="2"/>
        <v>100</v>
      </c>
      <c r="G15" s="254"/>
      <c r="H15" s="63"/>
      <c r="I15" s="63">
        <f>+'ACUMULADO A DICIEMBRE 2015'!D15</f>
        <v>6</v>
      </c>
      <c r="J15" s="63">
        <f>+'ACUMULADO A DICIEMBRE 2015'!F15</f>
        <v>6</v>
      </c>
      <c r="K15" s="63">
        <f t="shared" si="0"/>
        <v>100</v>
      </c>
      <c r="L15" s="360">
        <v>0.007285661185891518</v>
      </c>
      <c r="M15" s="40">
        <f>+'ACUMULADO A DICIEMBRE 2015'!U15</f>
        <v>12550000</v>
      </c>
      <c r="N15" s="101">
        <f>+'ACUMULADO A DICIEMBRE 2015'!W15</f>
        <v>12550000</v>
      </c>
      <c r="O15" s="63">
        <f t="shared" si="1"/>
        <v>100</v>
      </c>
      <c r="P15" s="63">
        <f>+'ACUMULADO A DICIEMBRE 2015'!E15</f>
        <v>99492276</v>
      </c>
      <c r="Q15" s="63">
        <f>+'ACUMULADO A DICIEMBRE 2015'!G15</f>
        <v>99491380</v>
      </c>
      <c r="R15" s="437">
        <f t="shared" si="3"/>
        <v>0.9999909942757768</v>
      </c>
      <c r="S15" s="137"/>
    </row>
    <row r="16" spans="1:19" s="260" customFormat="1" ht="153.75" customHeight="1">
      <c r="A16" s="259"/>
      <c r="B16" s="139" t="s">
        <v>223</v>
      </c>
      <c r="C16" s="45" t="s">
        <v>304</v>
      </c>
      <c r="D16" s="58">
        <f>+'ACUMULADO A DICIEMBRE 2015'!T16</f>
        <v>5774</v>
      </c>
      <c r="E16" s="111">
        <f>+'ACUMULADO A DICIEMBRE 2015'!V16</f>
        <v>29092</v>
      </c>
      <c r="F16" s="58">
        <v>100</v>
      </c>
      <c r="G16" s="254"/>
      <c r="H16" s="213"/>
      <c r="I16" s="63">
        <f>+'ACUMULADO A DICIEMBRE 2015'!D16</f>
        <v>47531</v>
      </c>
      <c r="J16" s="63">
        <f>+'ACUMULADO A DICIEMBRE 2015'!F16</f>
        <v>104090</v>
      </c>
      <c r="K16" s="63">
        <v>100</v>
      </c>
      <c r="L16" s="360">
        <v>0</v>
      </c>
      <c r="M16" s="40">
        <f>+'ACUMULADO A DICIEMBRE 2015'!U16</f>
        <v>0</v>
      </c>
      <c r="N16" s="101">
        <f>+'ACUMULADO A DICIEMBRE 2015'!W16</f>
        <v>0</v>
      </c>
      <c r="O16" s="63">
        <v>0</v>
      </c>
      <c r="P16" s="63">
        <f>+'ACUMULADO A DICIEMBRE 2015'!E16</f>
        <v>120102337</v>
      </c>
      <c r="Q16" s="63">
        <f>+'ACUMULADO A DICIEMBRE 2015'!G16</f>
        <v>120098493</v>
      </c>
      <c r="R16" s="437">
        <f t="shared" si="3"/>
        <v>0.9999679939616829</v>
      </c>
      <c r="S16" s="137"/>
    </row>
    <row r="17" spans="1:19" ht="208.5" customHeight="1">
      <c r="A17" s="99"/>
      <c r="B17" s="139" t="s">
        <v>224</v>
      </c>
      <c r="C17" s="45" t="s">
        <v>225</v>
      </c>
      <c r="D17" s="58">
        <f>+'ACUMULADO A DICIEMBRE 2015'!T17</f>
        <v>6</v>
      </c>
      <c r="E17" s="111">
        <f>+'ACUMULADO A DICIEMBRE 2015'!V17</f>
        <v>6</v>
      </c>
      <c r="F17" s="58">
        <f>+(E17/D17)*100</f>
        <v>100</v>
      </c>
      <c r="G17" s="254"/>
      <c r="H17" s="63"/>
      <c r="I17" s="63">
        <f>+'ACUMULADO A DICIEMBRE 2015'!D17</f>
        <v>6</v>
      </c>
      <c r="J17" s="63">
        <f>+'ACUMULADO A DICIEMBRE 2015'!F17</f>
        <v>6</v>
      </c>
      <c r="K17" s="63">
        <f t="shared" si="0"/>
        <v>100</v>
      </c>
      <c r="L17" s="360">
        <v>0.08698091392580896</v>
      </c>
      <c r="M17" s="40">
        <f>+'ACUMULADO A DICIEMBRE 2015'!U17</f>
        <v>149829980</v>
      </c>
      <c r="N17" s="101">
        <f>+'ACUMULADO A DICIEMBRE 2015'!W17</f>
        <v>149829980</v>
      </c>
      <c r="O17" s="63">
        <f t="shared" si="1"/>
        <v>100</v>
      </c>
      <c r="P17" s="63">
        <f>+'ACUMULADO A DICIEMBRE 2015'!E17</f>
        <v>305130800</v>
      </c>
      <c r="Q17" s="63">
        <f>+'ACUMULADO A DICIEMBRE 2015'!G17</f>
        <v>305050588</v>
      </c>
      <c r="R17" s="437">
        <f t="shared" si="3"/>
        <v>0.9997371225716971</v>
      </c>
      <c r="S17" s="137"/>
    </row>
    <row r="18" spans="1:19" ht="51" customHeight="1">
      <c r="A18" s="99"/>
      <c r="B18" s="139" t="s">
        <v>206</v>
      </c>
      <c r="C18" s="45" t="s">
        <v>308</v>
      </c>
      <c r="D18" s="58">
        <f>+'ACUMULADO A DICIEMBRE 2015'!T18</f>
        <v>100</v>
      </c>
      <c r="E18" s="111">
        <f>+'ACUMULADO A DICIEMBRE 2015'!V18</f>
        <v>99.99186507827189</v>
      </c>
      <c r="F18" s="58">
        <f>+(E18/D18)*100</f>
        <v>99.99186507827189</v>
      </c>
      <c r="G18" s="254"/>
      <c r="H18" s="63"/>
      <c r="I18" s="63">
        <f>+'ACUMULADO A DICIEMBRE 2015'!D18</f>
        <v>100</v>
      </c>
      <c r="J18" s="63">
        <f>+'ACUMULADO A DICIEMBRE 2015'!F18</f>
        <v>98.49796626956797</v>
      </c>
      <c r="K18" s="63">
        <f t="shared" si="0"/>
        <v>98.49796626956797</v>
      </c>
      <c r="L18" s="360">
        <v>0.014571322371783036</v>
      </c>
      <c r="M18" s="40">
        <f>+'ACUMULADO A DICIEMBRE 2015'!U18</f>
        <v>24683704</v>
      </c>
      <c r="N18" s="101">
        <f>+'ACUMULADO A DICIEMBRE 2015'!W18</f>
        <v>24681696</v>
      </c>
      <c r="O18" s="63">
        <f t="shared" si="1"/>
        <v>99.99186507827189</v>
      </c>
      <c r="P18" s="63">
        <f>+'ACUMULADO A DICIEMBRE 2015'!E18</f>
        <v>127559357</v>
      </c>
      <c r="Q18" s="63">
        <f>+'ACUMULADO A DICIEMBRE 2015'!G18</f>
        <v>126460066</v>
      </c>
      <c r="R18" s="437">
        <f t="shared" si="3"/>
        <v>0.9913821218148662</v>
      </c>
      <c r="S18" s="137"/>
    </row>
    <row r="19" spans="1:19" ht="62.25" customHeight="1">
      <c r="A19" s="99"/>
      <c r="B19" s="140" t="s">
        <v>226</v>
      </c>
      <c r="C19" s="83"/>
      <c r="D19" s="69"/>
      <c r="E19" s="66"/>
      <c r="F19" s="432">
        <f>AVERAGE(F20:F23)</f>
        <v>100</v>
      </c>
      <c r="G19" s="253"/>
      <c r="H19" s="66"/>
      <c r="I19" s="69"/>
      <c r="J19" s="83"/>
      <c r="K19" s="66">
        <f>AVERAGE(K20:K23)</f>
        <v>99.625</v>
      </c>
      <c r="L19" s="66"/>
      <c r="M19" s="68">
        <f>SUM(M20:M23)</f>
        <v>320538800</v>
      </c>
      <c r="N19" s="68">
        <f>SUM(N20:N23)</f>
        <v>303700762</v>
      </c>
      <c r="O19" s="66">
        <f>+N19/M19*100</f>
        <v>94.74695793457767</v>
      </c>
      <c r="P19" s="70">
        <f>+SUM(P20:P23)</f>
        <v>879969998</v>
      </c>
      <c r="Q19" s="70">
        <f>+SUM(Q20:Q23)</f>
        <v>851460625</v>
      </c>
      <c r="R19" s="66">
        <f>+(Q19/P19)*100</f>
        <v>96.76018806722999</v>
      </c>
      <c r="S19" s="137"/>
    </row>
    <row r="20" spans="1:19" ht="150" customHeight="1">
      <c r="A20" s="99"/>
      <c r="B20" s="136" t="s">
        <v>227</v>
      </c>
      <c r="C20" s="115" t="s">
        <v>305</v>
      </c>
      <c r="D20" s="58">
        <f>+'ACUMULADO A DICIEMBRE 2015'!T20</f>
        <v>35356</v>
      </c>
      <c r="E20" s="111">
        <f>+'ACUMULADO A DICIEMBRE 2015'!V20</f>
        <v>35356</v>
      </c>
      <c r="F20" s="58">
        <f>+(E20/D20)*100</f>
        <v>100</v>
      </c>
      <c r="G20" s="254"/>
      <c r="H20" s="63"/>
      <c r="I20" s="63">
        <f>+'ACUMULADO A DICIEMBRE 2015'!D20</f>
        <v>35356</v>
      </c>
      <c r="J20" s="63">
        <f>+'ACUMULADO A DICIEMBRE 2015'!F20</f>
        <v>35356</v>
      </c>
      <c r="K20" s="63">
        <f t="shared" si="0"/>
        <v>100</v>
      </c>
      <c r="L20" s="360">
        <v>0.6938761065889254</v>
      </c>
      <c r="M20" s="100">
        <f>+'ACUMULADO A DICIEMBRE 2015'!U20</f>
        <v>213504984</v>
      </c>
      <c r="N20" s="100">
        <f>+'ACUMULADO A DICIEMBRE 2015'!W20</f>
        <v>196666947</v>
      </c>
      <c r="O20" s="63">
        <f>+(N20/M20)*100</f>
        <v>92.11351572008267</v>
      </c>
      <c r="P20" s="63">
        <f>+'ACUMULADO A DICIEMBRE 2015'!E20</f>
        <v>557452538</v>
      </c>
      <c r="Q20" s="63">
        <f>+'ACUMULADO A DICIEMBRE 2015'!G20</f>
        <v>530649923</v>
      </c>
      <c r="R20" s="437">
        <f t="shared" si="3"/>
        <v>0.9519194672677228</v>
      </c>
      <c r="S20" s="137"/>
    </row>
    <row r="21" spans="1:19" ht="134.25" customHeight="1">
      <c r="A21" s="99"/>
      <c r="B21" s="139" t="s">
        <v>228</v>
      </c>
      <c r="C21" s="115" t="s">
        <v>304</v>
      </c>
      <c r="D21" s="58">
        <f>+'ACUMULADO A DICIEMBRE 2015'!T21</f>
        <v>13000</v>
      </c>
      <c r="E21" s="111">
        <f>+'ACUMULADO A DICIEMBRE 2015'!V21</f>
        <v>26000</v>
      </c>
      <c r="F21" s="58">
        <v>100</v>
      </c>
      <c r="G21" s="254"/>
      <c r="H21" s="63"/>
      <c r="I21" s="63">
        <f>+'ACUMULADO A DICIEMBRE 2015'!D21</f>
        <v>25000</v>
      </c>
      <c r="J21" s="63">
        <f>+'ACUMULADO A DICIEMBRE 2015'!F21</f>
        <v>66356</v>
      </c>
      <c r="K21" s="63">
        <v>100</v>
      </c>
      <c r="L21" s="360">
        <v>0.2903467505990093</v>
      </c>
      <c r="M21" s="100">
        <f>+'ACUMULADO A DICIEMBRE 2015'!U21</f>
        <v>101621363</v>
      </c>
      <c r="N21" s="100">
        <f>+'ACUMULADO A DICIEMBRE 2015'!W21</f>
        <v>101621362</v>
      </c>
      <c r="O21" s="63">
        <f>+(N21/M21)*100</f>
        <v>99.99999901595494</v>
      </c>
      <c r="P21" s="63">
        <f>+'ACUMULADO A DICIEMBRE 2015'!E21</f>
        <v>281139653</v>
      </c>
      <c r="Q21" s="63">
        <f>+'ACUMULADO A DICIEMBRE 2015'!G21</f>
        <v>279980992</v>
      </c>
      <c r="R21" s="437">
        <f t="shared" si="3"/>
        <v>0.9958786994732473</v>
      </c>
      <c r="S21" s="137"/>
    </row>
    <row r="22" spans="1:19" ht="150.75" customHeight="1">
      <c r="A22" s="99"/>
      <c r="B22" s="139" t="s">
        <v>229</v>
      </c>
      <c r="C22" s="115" t="s">
        <v>305</v>
      </c>
      <c r="D22" s="58">
        <f>+'ACUMULADO A DICIEMBRE 2015'!T22</f>
        <v>49000</v>
      </c>
      <c r="E22" s="111">
        <f>+'ACUMULADO A DICIEMBRE 2015'!V22</f>
        <v>49000</v>
      </c>
      <c r="F22" s="433">
        <f>+(E22/D22)*100</f>
        <v>100</v>
      </c>
      <c r="G22" s="255"/>
      <c r="H22" s="71"/>
      <c r="I22" s="63">
        <f>+'ACUMULADO A DICIEMBRE 2015'!D22</f>
        <v>39250</v>
      </c>
      <c r="J22" s="63">
        <f>+'ACUMULADO A DICIEMBRE 2015'!F22</f>
        <v>39250</v>
      </c>
      <c r="K22" s="71">
        <f t="shared" si="0"/>
        <v>100</v>
      </c>
      <c r="L22" s="360">
        <v>0</v>
      </c>
      <c r="M22" s="100">
        <f>+'ACUMULADO A DICIEMBRE 2015'!U22</f>
        <v>0</v>
      </c>
      <c r="N22" s="100">
        <f>+'ACUMULADO A DICIEMBRE 2015'!W22</f>
        <v>0</v>
      </c>
      <c r="O22" s="63">
        <v>0</v>
      </c>
      <c r="P22" s="63">
        <f>+'ACUMULADO A DICIEMBRE 2015'!E22</f>
        <v>15600000</v>
      </c>
      <c r="Q22" s="63">
        <f>+'ACUMULADO A DICIEMBRE 2015'!G22</f>
        <v>15530873</v>
      </c>
      <c r="R22" s="437">
        <f>+Q22/P22</f>
        <v>0.9955687820512821</v>
      </c>
      <c r="S22" s="137"/>
    </row>
    <row r="23" spans="1:19" ht="31.5" customHeight="1">
      <c r="A23" s="99"/>
      <c r="B23" s="139" t="s">
        <v>206</v>
      </c>
      <c r="C23" s="45" t="s">
        <v>308</v>
      </c>
      <c r="D23" s="58">
        <f>+'ACUMULADO A DICIEMBRE 2015'!T23</f>
        <v>100</v>
      </c>
      <c r="E23" s="111">
        <f>+'ACUMULADO A DICIEMBRE 2015'!V23</f>
        <v>100</v>
      </c>
      <c r="F23" s="433">
        <f>+(E23/D23)*100</f>
        <v>100</v>
      </c>
      <c r="G23" s="255"/>
      <c r="H23" s="71"/>
      <c r="I23" s="63">
        <f>+'ACUMULADO A DICIEMBRE 2015'!D23</f>
        <v>100</v>
      </c>
      <c r="J23" s="63">
        <f>+'ACUMULADO A DICIEMBRE 2015'!F23</f>
        <v>98.5</v>
      </c>
      <c r="K23" s="71">
        <f t="shared" si="0"/>
        <v>98.5</v>
      </c>
      <c r="L23" s="360">
        <v>0.015777142812065305</v>
      </c>
      <c r="M23" s="100">
        <f>+'ACUMULADO A DICIEMBRE 2015'!U23</f>
        <v>5412453</v>
      </c>
      <c r="N23" s="100">
        <f>+'ACUMULADO A DICIEMBRE 2015'!W23</f>
        <v>5412453</v>
      </c>
      <c r="O23" s="63">
        <f>+(N23/M23)*100</f>
        <v>100</v>
      </c>
      <c r="P23" s="63">
        <f>+'ACUMULADO A DICIEMBRE 2015'!E23</f>
        <v>25777807</v>
      </c>
      <c r="Q23" s="63">
        <f>+'ACUMULADO A DICIEMBRE 2015'!G23</f>
        <v>25298837</v>
      </c>
      <c r="R23" s="437">
        <f>+Q23/P23</f>
        <v>0.9814192883048585</v>
      </c>
      <c r="S23" s="137"/>
    </row>
    <row r="24" spans="1:19" ht="30">
      <c r="A24" s="99"/>
      <c r="B24" s="134" t="s">
        <v>230</v>
      </c>
      <c r="C24" s="84"/>
      <c r="D24" s="85"/>
      <c r="E24" s="86"/>
      <c r="F24" s="432">
        <f>AVERAGE(F25:F31)</f>
        <v>100</v>
      </c>
      <c r="G24" s="253"/>
      <c r="H24" s="66"/>
      <c r="I24" s="83"/>
      <c r="J24" s="84"/>
      <c r="K24" s="66">
        <f>AVERAGE(K25:K31)</f>
        <v>100</v>
      </c>
      <c r="L24" s="66"/>
      <c r="M24" s="87">
        <f>SUM(M25:M31)</f>
        <v>224999999.728</v>
      </c>
      <c r="N24" s="87">
        <f>SUM(N25:N31)</f>
        <v>224999973</v>
      </c>
      <c r="O24" s="66">
        <f>+N24/M24*100</f>
        <v>99.99998812088889</v>
      </c>
      <c r="P24" s="70">
        <f>SUM(P25:P31)</f>
        <v>503259996.728</v>
      </c>
      <c r="Q24" s="70">
        <f>SUM(Q25:Q31)</f>
        <v>502873168</v>
      </c>
      <c r="R24" s="66">
        <f>+(Q24/P24)*100</f>
        <v>99.92313541101717</v>
      </c>
      <c r="S24" s="141"/>
    </row>
    <row r="25" spans="1:19" ht="82.5" customHeight="1">
      <c r="A25" s="99"/>
      <c r="B25" s="136" t="s">
        <v>151</v>
      </c>
      <c r="C25" s="45" t="s">
        <v>309</v>
      </c>
      <c r="D25" s="58">
        <f>+'ACUMULADO A DICIEMBRE 2015'!T25</f>
        <v>2</v>
      </c>
      <c r="E25" s="111">
        <f>+'ACUMULADO A DICIEMBRE 2015'!V25</f>
        <v>2</v>
      </c>
      <c r="F25" s="58">
        <f aca="true" t="shared" si="4" ref="F25:F30">+(E25/D25)*100</f>
        <v>100</v>
      </c>
      <c r="G25" s="254"/>
      <c r="H25" s="63"/>
      <c r="I25" s="63">
        <f>+'ACUMULADO A DICIEMBRE 2015'!D25</f>
        <v>7</v>
      </c>
      <c r="J25" s="116">
        <f>+'ACUMULADO A DICIEMBRE 2015'!F25</f>
        <v>7</v>
      </c>
      <c r="K25" s="63">
        <f t="shared" si="0"/>
        <v>100</v>
      </c>
      <c r="L25" s="360">
        <v>0</v>
      </c>
      <c r="M25" s="100">
        <f>+'ACUMULADO A DICIEMBRE 2015'!U25</f>
        <v>0</v>
      </c>
      <c r="N25" s="100">
        <f>+'ACUMULADO A DICIEMBRE 2015'!W25</f>
        <v>0</v>
      </c>
      <c r="O25" s="63">
        <v>0</v>
      </c>
      <c r="P25" s="63">
        <f>+'ACUMULADO A DICIEMBRE 2015'!E25</f>
        <v>25939371</v>
      </c>
      <c r="Q25" s="63">
        <f>+'ACUMULADO A DICIEMBRE 2015'!G25</f>
        <v>25939371</v>
      </c>
      <c r="R25" s="437">
        <f>+Q25/P25</f>
        <v>1</v>
      </c>
      <c r="S25" s="137"/>
    </row>
    <row r="26" spans="1:19" ht="45" customHeight="1">
      <c r="A26" s="99"/>
      <c r="B26" s="139" t="s">
        <v>231</v>
      </c>
      <c r="C26" s="45" t="s">
        <v>310</v>
      </c>
      <c r="D26" s="58">
        <f>+'ACUMULADO A DICIEMBRE 2015'!T26</f>
        <v>2</v>
      </c>
      <c r="E26" s="111">
        <f>+'ACUMULADO A DICIEMBRE 2015'!V26</f>
        <v>2</v>
      </c>
      <c r="F26" s="58">
        <f t="shared" si="4"/>
        <v>100</v>
      </c>
      <c r="G26" s="254"/>
      <c r="H26" s="63"/>
      <c r="I26" s="63">
        <f>+'ACUMULADO A DICIEMBRE 2015'!D26</f>
        <v>7</v>
      </c>
      <c r="J26" s="116">
        <f>+'ACUMULADO A DICIEMBRE 2015'!F26</f>
        <v>7</v>
      </c>
      <c r="K26" s="63">
        <f t="shared" si="0"/>
        <v>100</v>
      </c>
      <c r="L26" s="360">
        <v>0</v>
      </c>
      <c r="M26" s="100">
        <f>+'ACUMULADO A DICIEMBRE 2015'!U26</f>
        <v>0</v>
      </c>
      <c r="N26" s="100">
        <f>+'ACUMULADO A DICIEMBRE 2015'!W26</f>
        <v>0</v>
      </c>
      <c r="O26" s="63">
        <v>0</v>
      </c>
      <c r="P26" s="63">
        <f>+'ACUMULADO A DICIEMBRE 2015'!E26</f>
        <v>0</v>
      </c>
      <c r="Q26" s="63">
        <f>+'ACUMULADO A DICIEMBRE 2015'!G26</f>
        <v>0</v>
      </c>
      <c r="R26" s="437">
        <v>0</v>
      </c>
      <c r="S26" s="137"/>
    </row>
    <row r="27" spans="1:19" ht="95.25" customHeight="1">
      <c r="A27" s="99"/>
      <c r="B27" s="139" t="s">
        <v>232</v>
      </c>
      <c r="C27" s="45" t="s">
        <v>311</v>
      </c>
      <c r="D27" s="58">
        <f>+'ACUMULADO A DICIEMBRE 2015'!T27</f>
        <v>2</v>
      </c>
      <c r="E27" s="111">
        <f>+'ACUMULADO A DICIEMBRE 2015'!V27</f>
        <v>2</v>
      </c>
      <c r="F27" s="58">
        <f t="shared" si="4"/>
        <v>100</v>
      </c>
      <c r="G27" s="254"/>
      <c r="H27" s="63"/>
      <c r="I27" s="63">
        <f>+'ACUMULADO A DICIEMBRE 2015'!D27</f>
        <v>7</v>
      </c>
      <c r="J27" s="116">
        <f>+'ACUMULADO A DICIEMBRE 2015'!F27</f>
        <v>8</v>
      </c>
      <c r="K27" s="63">
        <v>100</v>
      </c>
      <c r="L27" s="360">
        <v>0.11533244444444445</v>
      </c>
      <c r="M27" s="100">
        <f>+'ACUMULADO A DICIEMBRE 2015'!U27</f>
        <v>21781579</v>
      </c>
      <c r="N27" s="100">
        <f>+'ACUMULADO A DICIEMBRE 2015'!W27</f>
        <v>21781579</v>
      </c>
      <c r="O27" s="63">
        <f>+(N27/M27)*100</f>
        <v>100</v>
      </c>
      <c r="P27" s="63">
        <f>+'ACUMULADO A DICIEMBRE 2015'!E27</f>
        <v>38046379</v>
      </c>
      <c r="Q27" s="63">
        <f>+'ACUMULADO A DICIEMBRE 2015'!G27</f>
        <v>38046379</v>
      </c>
      <c r="R27" s="437">
        <f t="shared" si="3"/>
        <v>1</v>
      </c>
      <c r="S27" s="137"/>
    </row>
    <row r="28" spans="1:19" ht="38.25">
      <c r="A28" s="99"/>
      <c r="B28" s="139" t="s">
        <v>233</v>
      </c>
      <c r="C28" s="45" t="s">
        <v>307</v>
      </c>
      <c r="D28" s="58">
        <f>+'ACUMULADO A DICIEMBRE 2015'!T28</f>
        <v>2</v>
      </c>
      <c r="E28" s="111">
        <f>+'ACUMULADO A DICIEMBRE 2015'!V28</f>
        <v>2</v>
      </c>
      <c r="F28" s="58">
        <f t="shared" si="4"/>
        <v>100</v>
      </c>
      <c r="G28" s="254"/>
      <c r="H28" s="63"/>
      <c r="I28" s="63">
        <f>+'ACUMULADO A DICIEMBRE 2015'!D28</f>
        <v>6</v>
      </c>
      <c r="J28" s="116">
        <f>+'ACUMULADO A DICIEMBRE 2015'!F28</f>
        <v>6</v>
      </c>
      <c r="K28" s="63">
        <f t="shared" si="0"/>
        <v>100</v>
      </c>
      <c r="L28" s="360">
        <v>0.7822329555555556</v>
      </c>
      <c r="M28" s="100">
        <f>+'ACUMULADO A DICIEMBRE 2015'!U28</f>
        <v>189245831.728</v>
      </c>
      <c r="N28" s="100">
        <f>+'ACUMULADO A DICIEMBRE 2015'!W28</f>
        <v>189245805</v>
      </c>
      <c r="O28" s="63">
        <f>+(N28/M28)*100</f>
        <v>99.99998587657136</v>
      </c>
      <c r="P28" s="63">
        <f>+'ACUMULADO A DICIEMBRE 2015'!E28</f>
        <v>298990108.728</v>
      </c>
      <c r="Q28" s="63">
        <f>+'ACUMULADO A DICIEMBRE 2015'!G28</f>
        <v>298820212</v>
      </c>
      <c r="R28" s="437">
        <f t="shared" si="3"/>
        <v>0.9994317647205027</v>
      </c>
      <c r="S28" s="137"/>
    </row>
    <row r="29" spans="1:19" ht="42.75" customHeight="1">
      <c r="A29" s="99"/>
      <c r="B29" s="139" t="s">
        <v>234</v>
      </c>
      <c r="C29" s="45" t="s">
        <v>307</v>
      </c>
      <c r="D29" s="58">
        <f>+'ACUMULADO A DICIEMBRE 2015'!T29</f>
        <v>2</v>
      </c>
      <c r="E29" s="111">
        <f>+'ACUMULADO A DICIEMBRE 2015'!V29</f>
        <v>2</v>
      </c>
      <c r="F29" s="58">
        <f t="shared" si="4"/>
        <v>100</v>
      </c>
      <c r="G29" s="254"/>
      <c r="H29" s="63"/>
      <c r="I29" s="63">
        <f>+'ACUMULADO A DICIEMBRE 2015'!D29</f>
        <v>6</v>
      </c>
      <c r="J29" s="116">
        <f>+'ACUMULADO A DICIEMBRE 2015'!F29</f>
        <v>6</v>
      </c>
      <c r="K29" s="63">
        <f t="shared" si="0"/>
        <v>100</v>
      </c>
      <c r="L29" s="360">
        <v>0.04016</v>
      </c>
      <c r="M29" s="100">
        <f>+'ACUMULADO A DICIEMBRE 2015'!U29</f>
        <v>0</v>
      </c>
      <c r="N29" s="100">
        <f>+'ACUMULADO A DICIEMBRE 2015'!W29</f>
        <v>0</v>
      </c>
      <c r="O29" s="63">
        <v>0</v>
      </c>
      <c r="P29" s="63">
        <f>+'ACUMULADO A DICIEMBRE 2015'!E29</f>
        <v>80220000</v>
      </c>
      <c r="Q29" s="63">
        <f>+'ACUMULADO A DICIEMBRE 2015'!G29</f>
        <v>80062058</v>
      </c>
      <c r="R29" s="437">
        <f t="shared" si="3"/>
        <v>0.9980311393667415</v>
      </c>
      <c r="S29" s="137"/>
    </row>
    <row r="30" spans="1:19" ht="87.75" customHeight="1">
      <c r="A30" s="99"/>
      <c r="B30" s="139" t="s">
        <v>235</v>
      </c>
      <c r="C30" s="45" t="s">
        <v>312</v>
      </c>
      <c r="D30" s="58">
        <f>+'ACUMULADO A DICIEMBRE 2015'!T30</f>
        <v>6</v>
      </c>
      <c r="E30" s="111">
        <f>+'ACUMULADO A DICIEMBRE 2015'!V30</f>
        <v>6</v>
      </c>
      <c r="F30" s="58">
        <f t="shared" si="4"/>
        <v>100</v>
      </c>
      <c r="G30" s="254"/>
      <c r="H30" s="63"/>
      <c r="I30" s="63">
        <f>+'ACUMULADO A DICIEMBRE 2015'!D30</f>
        <v>14</v>
      </c>
      <c r="J30" s="116">
        <f>+'ACUMULADO A DICIEMBRE 2015'!F30</f>
        <v>14</v>
      </c>
      <c r="K30" s="63">
        <f t="shared" si="0"/>
        <v>100</v>
      </c>
      <c r="L30" s="360">
        <v>0.052081315555555556</v>
      </c>
      <c r="M30" s="100">
        <f>+'ACUMULADO A DICIEMBRE 2015'!U30</f>
        <v>11716680</v>
      </c>
      <c r="N30" s="100">
        <f>+'ACUMULADO A DICIEMBRE 2015'!W30</f>
        <v>11716680</v>
      </c>
      <c r="O30" s="63">
        <f>+(N30/M30)*100</f>
        <v>100</v>
      </c>
      <c r="P30" s="63">
        <f>+'ACUMULADO A DICIEMBRE 2015'!E30</f>
        <v>41877096</v>
      </c>
      <c r="Q30" s="63">
        <f>+'ACUMULADO A DICIEMBRE 2015'!G30</f>
        <v>41818106</v>
      </c>
      <c r="R30" s="437">
        <f t="shared" si="3"/>
        <v>0.9985913540900735</v>
      </c>
      <c r="S30" s="137"/>
    </row>
    <row r="31" spans="1:19" ht="42.75" customHeight="1">
      <c r="A31" s="99"/>
      <c r="B31" s="139" t="s">
        <v>206</v>
      </c>
      <c r="C31" s="45" t="s">
        <v>308</v>
      </c>
      <c r="D31" s="58">
        <f>+'ACUMULADO A DICIEMBRE 2015'!T31</f>
        <v>100</v>
      </c>
      <c r="E31" s="111">
        <f>+'ACUMULADO A DICIEMBRE 2015'!V31</f>
        <v>100</v>
      </c>
      <c r="F31" s="58">
        <f>+(E31/D31)*100</f>
        <v>100</v>
      </c>
      <c r="G31" s="254"/>
      <c r="H31" s="63"/>
      <c r="I31" s="63">
        <f>+'ACUMULADO A DICIEMBRE 2015'!D31</f>
        <v>75</v>
      </c>
      <c r="J31" s="116">
        <f>+'ACUMULADO A DICIEMBRE 2015'!F31</f>
        <v>75</v>
      </c>
      <c r="K31" s="63">
        <v>100</v>
      </c>
      <c r="L31" s="360">
        <v>0.010193284444444445</v>
      </c>
      <c r="M31" s="100">
        <f>+'ACUMULADO A DICIEMBRE 2015'!U31</f>
        <v>2255909</v>
      </c>
      <c r="N31" s="100">
        <f>+'ACUMULADO A DICIEMBRE 2015'!W31</f>
        <v>2255909</v>
      </c>
      <c r="O31" s="63">
        <f>+(N31/M31)*100</f>
        <v>100</v>
      </c>
      <c r="P31" s="63">
        <f>+'ACUMULADO A DICIEMBRE 2015'!E31</f>
        <v>18187042</v>
      </c>
      <c r="Q31" s="63">
        <f>+'ACUMULADO A DICIEMBRE 2015'!G31</f>
        <v>18187042</v>
      </c>
      <c r="R31" s="437">
        <f t="shared" si="3"/>
        <v>1</v>
      </c>
      <c r="S31" s="137"/>
    </row>
    <row r="32" spans="1:19" ht="59.25" customHeight="1">
      <c r="A32" s="99"/>
      <c r="B32" s="142" t="s">
        <v>236</v>
      </c>
      <c r="C32" s="88"/>
      <c r="D32" s="88"/>
      <c r="E32" s="88"/>
      <c r="F32" s="434">
        <f>AVERAGE(F33,F37,F46,F57)</f>
        <v>93.73676787768404</v>
      </c>
      <c r="G32" s="256"/>
      <c r="H32" s="64"/>
      <c r="I32" s="88"/>
      <c r="J32" s="88"/>
      <c r="K32" s="88">
        <f>AVERAGE(K33,K37,K46,K57)</f>
        <v>93.65570373662784</v>
      </c>
      <c r="L32" s="64"/>
      <c r="M32" s="73">
        <f>+M33+M37+M46+M57</f>
        <v>9790174063.26</v>
      </c>
      <c r="N32" s="73">
        <f>+N33+N37+N46+N57</f>
        <v>9374642496</v>
      </c>
      <c r="O32" s="64">
        <f>+N32/M32*100</f>
        <v>95.75562635990934</v>
      </c>
      <c r="P32" s="73">
        <f>+P33+P37+P46+P57</f>
        <v>37139585971.26</v>
      </c>
      <c r="Q32" s="73">
        <f>+Q33+Q37+Q46+Q57</f>
        <v>35630226380</v>
      </c>
      <c r="R32" s="64">
        <f>+(Q32/P32)*100</f>
        <v>95.93598164387723</v>
      </c>
      <c r="S32" s="137"/>
    </row>
    <row r="33" spans="1:19" ht="64.5" customHeight="1">
      <c r="A33" s="99"/>
      <c r="B33" s="134" t="s">
        <v>237</v>
      </c>
      <c r="C33" s="90"/>
      <c r="D33" s="83"/>
      <c r="E33" s="83"/>
      <c r="F33" s="432">
        <f>AVERAGE(F34:F36)</f>
        <v>100</v>
      </c>
      <c r="G33" s="253"/>
      <c r="H33" s="66"/>
      <c r="I33" s="83"/>
      <c r="J33" s="83"/>
      <c r="K33" s="66">
        <f>AVERAGE(K34:K36)</f>
        <v>100</v>
      </c>
      <c r="L33" s="66"/>
      <c r="M33" s="87">
        <f>SUM(M34:M36)</f>
        <v>2811698804</v>
      </c>
      <c r="N33" s="87">
        <f>SUM(N34:N36)</f>
        <v>2693119473</v>
      </c>
      <c r="O33" s="66">
        <f>+N33/M33*100</f>
        <v>95.78264461217162</v>
      </c>
      <c r="P33" s="66">
        <f>SUM(P34:P36)</f>
        <v>10321730462</v>
      </c>
      <c r="Q33" s="66">
        <f>SUM(Q34:Q36)</f>
        <v>9949999308</v>
      </c>
      <c r="R33" s="66">
        <f>+(Q33/P33)*100</f>
        <v>96.39855782546786</v>
      </c>
      <c r="S33" s="137"/>
    </row>
    <row r="34" spans="1:19" ht="154.5" customHeight="1">
      <c r="A34" s="99"/>
      <c r="B34" s="136" t="s">
        <v>238</v>
      </c>
      <c r="C34" s="61" t="s">
        <v>694</v>
      </c>
      <c r="D34" s="262">
        <f>+'ACUMULADO A DICIEMBRE 2015'!T34</f>
        <v>1</v>
      </c>
      <c r="E34" s="63">
        <f>+'ACUMULADO A DICIEMBRE 2015'!V34</f>
        <v>1</v>
      </c>
      <c r="F34" s="58">
        <f>+(E34/D34)*100</f>
        <v>100</v>
      </c>
      <c r="G34" s="254"/>
      <c r="H34" s="63"/>
      <c r="I34" s="63">
        <f>+'ACUMULADO A DICIEMBRE 2015'!D34</f>
        <v>0.75</v>
      </c>
      <c r="J34" s="63">
        <f>+'ACUMULADO A DICIEMBRE 2015'!F34</f>
        <v>0.75</v>
      </c>
      <c r="K34" s="63">
        <f>+(J34/I34)*100</f>
        <v>100</v>
      </c>
      <c r="L34" s="360">
        <v>0</v>
      </c>
      <c r="M34" s="117">
        <f>+'ACUMULADO A DICIEMBRE 2015'!U34</f>
        <v>0</v>
      </c>
      <c r="N34" s="63">
        <f>+'ACUMULADO A DICIEMBRE 2015'!W34</f>
        <v>0</v>
      </c>
      <c r="O34" s="63">
        <v>0</v>
      </c>
      <c r="P34" s="63">
        <f>+'ACUMULADO A DICIEMBRE 2015'!E34</f>
        <v>1137186268</v>
      </c>
      <c r="Q34" s="63">
        <f>+'ACUMULADO A DICIEMBRE 2015'!G34</f>
        <v>959360758</v>
      </c>
      <c r="R34" s="437">
        <f>+Q34/P34</f>
        <v>0.8436267522709833</v>
      </c>
      <c r="S34" s="137"/>
    </row>
    <row r="35" spans="1:19" ht="30" customHeight="1">
      <c r="A35" s="99"/>
      <c r="B35" s="136" t="s">
        <v>239</v>
      </c>
      <c r="C35" s="61" t="s">
        <v>205</v>
      </c>
      <c r="D35" s="262">
        <f>+'ACUMULADO A DICIEMBRE 2015'!T35</f>
        <v>6</v>
      </c>
      <c r="E35" s="63">
        <f>+'ACUMULADO A DICIEMBRE 2015'!V35</f>
        <v>6</v>
      </c>
      <c r="F35" s="58">
        <f>+(E35/D35)*100</f>
        <v>100</v>
      </c>
      <c r="G35" s="254"/>
      <c r="H35" s="63"/>
      <c r="I35" s="63">
        <f>+'ACUMULADO A DICIEMBRE 2015'!D35</f>
        <v>6</v>
      </c>
      <c r="J35" s="63">
        <f>+'ACUMULADO A DICIEMBRE 2015'!F35</f>
        <v>6</v>
      </c>
      <c r="K35" s="63">
        <f>+(J35/I35)*100</f>
        <v>100</v>
      </c>
      <c r="L35" s="360">
        <v>1</v>
      </c>
      <c r="M35" s="117">
        <f>+'ACUMULADO A DICIEMBRE 2015'!U35</f>
        <v>2811698804</v>
      </c>
      <c r="N35" s="63">
        <f>+'ACUMULADO A DICIEMBRE 2015'!W35</f>
        <v>2693119473</v>
      </c>
      <c r="O35" s="63">
        <f>+(N35/M35)*100</f>
        <v>95.78264461217162</v>
      </c>
      <c r="P35" s="63">
        <f>+'ACUMULADO A DICIEMBRE 2015'!E35</f>
        <v>9184544194</v>
      </c>
      <c r="Q35" s="63">
        <f>+'ACUMULADO A DICIEMBRE 2015'!G35</f>
        <v>8990638550</v>
      </c>
      <c r="R35" s="437">
        <f>+Q35/P35</f>
        <v>0.9788878315674421</v>
      </c>
      <c r="S35" s="137"/>
    </row>
    <row r="36" spans="1:19" ht="41.25" customHeight="1">
      <c r="A36" s="99"/>
      <c r="B36" s="139" t="s">
        <v>240</v>
      </c>
      <c r="C36" s="61" t="s">
        <v>242</v>
      </c>
      <c r="D36" s="262">
        <f>+'ACUMULADO A DICIEMBRE 2015'!T36</f>
        <v>1</v>
      </c>
      <c r="E36" s="63">
        <f>+'ACUMULADO A DICIEMBRE 2015'!V36</f>
        <v>1</v>
      </c>
      <c r="F36" s="58">
        <f>+(E36/D36)*100</f>
        <v>100</v>
      </c>
      <c r="G36" s="254"/>
      <c r="H36" s="63"/>
      <c r="I36" s="63">
        <f>+'ACUMULADO A DICIEMBRE 2015'!D36</f>
        <v>0.75</v>
      </c>
      <c r="J36" s="63">
        <f>+'ACUMULADO A DICIEMBRE 2015'!F36</f>
        <v>0.75</v>
      </c>
      <c r="K36" s="63">
        <f>+(J36/I36)*100</f>
        <v>100</v>
      </c>
      <c r="L36" s="360">
        <v>0</v>
      </c>
      <c r="M36" s="117">
        <f>+'ACUMULADO A DICIEMBRE 2015'!U36</f>
        <v>0</v>
      </c>
      <c r="N36" s="63">
        <f>+'ACUMULADO A DICIEMBRE 2015'!W36</f>
        <v>0</v>
      </c>
      <c r="O36" s="63">
        <v>0</v>
      </c>
      <c r="P36" s="63">
        <f>+'ACUMULADO A DICIEMBRE 2015'!E36</f>
        <v>0</v>
      </c>
      <c r="Q36" s="63">
        <f>+'ACUMULADO A DICIEMBRE 2015'!G36</f>
        <v>0</v>
      </c>
      <c r="R36" s="437">
        <v>0</v>
      </c>
      <c r="S36" s="137"/>
    </row>
    <row r="37" spans="1:19" ht="63.75" customHeight="1">
      <c r="A37" s="99"/>
      <c r="B37" s="134" t="s">
        <v>243</v>
      </c>
      <c r="C37" s="41"/>
      <c r="D37" s="42"/>
      <c r="E37" s="42"/>
      <c r="F37" s="432">
        <f>AVERAGE(F38:F45)</f>
        <v>74.9470715107362</v>
      </c>
      <c r="G37" s="253"/>
      <c r="H37" s="70"/>
      <c r="I37" s="69"/>
      <c r="J37" s="41"/>
      <c r="K37" s="70">
        <f>AVERAGE(K38:K45)</f>
        <v>81.4509887447663</v>
      </c>
      <c r="L37" s="66"/>
      <c r="M37" s="75">
        <f>SUM(M38:M45)</f>
        <v>3723014789.26</v>
      </c>
      <c r="N37" s="75">
        <f>SUM(N38:N45)</f>
        <v>3542137048</v>
      </c>
      <c r="O37" s="70">
        <f aca="true" t="shared" si="5" ref="O37:O43">+(N37/M37)*100</f>
        <v>95.14163248070385</v>
      </c>
      <c r="P37" s="70">
        <f>+SUM(P38:P45)</f>
        <v>11919853421.26</v>
      </c>
      <c r="Q37" s="70">
        <f>+SUM(Q38:Q45)</f>
        <v>11334025088</v>
      </c>
      <c r="R37" s="66">
        <f>+(Q37/P37)*100</f>
        <v>95.08527233887685</v>
      </c>
      <c r="S37" s="137"/>
    </row>
    <row r="38" spans="1:19" ht="147" customHeight="1">
      <c r="A38" s="99"/>
      <c r="B38" s="136" t="s">
        <v>146</v>
      </c>
      <c r="C38" s="45" t="s">
        <v>304</v>
      </c>
      <c r="D38" s="58">
        <f>+'ACUMULADO A DICIEMBRE 2015'!T38</f>
        <v>80</v>
      </c>
      <c r="E38" s="60">
        <f>+'ACUMULADO A DICIEMBRE 2015'!V38</f>
        <v>15</v>
      </c>
      <c r="F38" s="58">
        <f aca="true" t="shared" si="6" ref="F38:F45">+(E38/D38)*100</f>
        <v>18.75</v>
      </c>
      <c r="G38" s="254"/>
      <c r="H38" s="63"/>
      <c r="I38" s="63">
        <f>+'ACUMULADO A DICIEMBRE 2015'!D38</f>
        <v>392</v>
      </c>
      <c r="J38" s="91">
        <f>+'ACUMULADO A DICIEMBRE 2015'!F38</f>
        <v>300</v>
      </c>
      <c r="K38" s="63">
        <f>+(J38/I38)*100</f>
        <v>76.53061224489795</v>
      </c>
      <c r="L38" s="360">
        <v>0.11920372021932603</v>
      </c>
      <c r="M38" s="74">
        <f>+'ACUMULADO A DICIEMBRE 2015'!U38</f>
        <v>440816874</v>
      </c>
      <c r="N38" s="63">
        <f>+'ACUMULADO A DICIEMBRE 2015'!W38</f>
        <v>439875569</v>
      </c>
      <c r="O38" s="63">
        <f t="shared" si="5"/>
        <v>99.78646348279308</v>
      </c>
      <c r="P38" s="63">
        <f>+'ACUMULADO A DICIEMBRE 2015'!E38</f>
        <v>1869342203</v>
      </c>
      <c r="Q38" s="63">
        <f>+'ACUMULADO A DICIEMBRE 2015'!G38</f>
        <v>1850300134</v>
      </c>
      <c r="R38" s="437">
        <f>+Q38/P38</f>
        <v>0.9898134921634785</v>
      </c>
      <c r="S38" s="137"/>
    </row>
    <row r="39" spans="1:19" ht="85.5" customHeight="1">
      <c r="A39" s="99"/>
      <c r="B39" s="136" t="s">
        <v>147</v>
      </c>
      <c r="C39" s="45" t="s">
        <v>304</v>
      </c>
      <c r="D39" s="58">
        <v>280</v>
      </c>
      <c r="E39" s="60">
        <f>+'ACUMULADO A DICIEMBRE 2015'!V39</f>
        <v>0</v>
      </c>
      <c r="F39" s="58">
        <f t="shared" si="6"/>
        <v>0</v>
      </c>
      <c r="G39" s="254"/>
      <c r="H39" s="63"/>
      <c r="I39" s="63">
        <f>+'ACUMULADO A DICIEMBRE 2015'!D39</f>
        <v>970</v>
      </c>
      <c r="J39" s="91">
        <f>+'ACUMULADO A DICIEMBRE 2015'!F39</f>
        <v>372</v>
      </c>
      <c r="K39" s="63">
        <f>+(J39/I39)*100</f>
        <v>38.35051546391753</v>
      </c>
      <c r="L39" s="360">
        <v>0.056769893379298685</v>
      </c>
      <c r="M39" s="74">
        <f>+'ACUMULADO A DICIEMBRE 2015'!U39</f>
        <v>209935788.26</v>
      </c>
      <c r="N39" s="63">
        <f>+'ACUMULADO A DICIEMBRE 2015'!W39</f>
        <v>209294756</v>
      </c>
      <c r="O39" s="63">
        <f t="shared" si="5"/>
        <v>99.69465317690089</v>
      </c>
      <c r="P39" s="63">
        <f>+'ACUMULADO A DICIEMBRE 2015'!E39</f>
        <v>766481007.26</v>
      </c>
      <c r="Q39" s="63">
        <f>+'ACUMULADO A DICIEMBRE 2015'!G39</f>
        <v>690891822</v>
      </c>
      <c r="R39" s="437">
        <f aca="true" t="shared" si="7" ref="R39:R45">+Q39/P39</f>
        <v>0.901381528643202</v>
      </c>
      <c r="S39" s="137"/>
    </row>
    <row r="40" spans="1:19" ht="46.5" customHeight="1">
      <c r="A40" s="99"/>
      <c r="B40" s="136" t="s">
        <v>244</v>
      </c>
      <c r="C40" s="45" t="s">
        <v>304</v>
      </c>
      <c r="D40" s="58">
        <v>800</v>
      </c>
      <c r="E40" s="60">
        <f>+'ACUMULADO A DICIEMBRE 2015'!V40</f>
        <v>3656</v>
      </c>
      <c r="F40" s="58">
        <v>100</v>
      </c>
      <c r="G40" s="254"/>
      <c r="H40" s="63"/>
      <c r="I40" s="63">
        <f>+'ACUMULADO A DICIEMBRE 2015'!D40</f>
        <v>2981</v>
      </c>
      <c r="J40" s="91">
        <f>+'ACUMULADO A DICIEMBRE 2015'!F40</f>
        <v>11958</v>
      </c>
      <c r="K40" s="63">
        <v>100</v>
      </c>
      <c r="L40" s="360">
        <v>0.4328262899272886</v>
      </c>
      <c r="M40" s="74">
        <f>+'ACUMULADO A DICIEMBRE 2015'!U40</f>
        <v>1617211271</v>
      </c>
      <c r="N40" s="63">
        <f>+'ACUMULADO A DICIEMBRE 2015'!W40</f>
        <v>1448178609</v>
      </c>
      <c r="O40" s="63">
        <f t="shared" si="5"/>
        <v>89.54789241015622</v>
      </c>
      <c r="P40" s="63">
        <f>+'ACUMULADO A DICIEMBRE 2015'!E40</f>
        <v>5203059059</v>
      </c>
      <c r="Q40" s="63">
        <f>+'ACUMULADO A DICIEMBRE 2015'!G40</f>
        <v>4774813086</v>
      </c>
      <c r="R40" s="437">
        <f t="shared" si="7"/>
        <v>0.9176934245519968</v>
      </c>
      <c r="S40" s="137"/>
    </row>
    <row r="41" spans="1:19" ht="42" customHeight="1">
      <c r="A41" s="99"/>
      <c r="B41" s="136" t="s">
        <v>245</v>
      </c>
      <c r="C41" s="45" t="s">
        <v>304</v>
      </c>
      <c r="D41" s="58">
        <f>+'ACUMULADO A DICIEMBRE 2015'!T40</f>
        <v>800</v>
      </c>
      <c r="E41" s="264">
        <f>+'ACUMULADO A DICIEMBRE 2015'!V41</f>
        <v>646.6125766871165</v>
      </c>
      <c r="F41" s="58">
        <f t="shared" si="6"/>
        <v>80.82657208588957</v>
      </c>
      <c r="G41" s="254"/>
      <c r="H41" s="63"/>
      <c r="I41" s="63">
        <f>+'ACUMULADO A DICIEMBRE 2015'!D41</f>
        <v>3438</v>
      </c>
      <c r="J41" s="91">
        <f>+'ACUMULADO A DICIEMBRE 2015'!F41</f>
        <v>2746.6125766871164</v>
      </c>
      <c r="K41" s="63">
        <f>+(J41/I41)*100</f>
        <v>79.88983643650717</v>
      </c>
      <c r="L41" s="360">
        <v>0.2592062834284629</v>
      </c>
      <c r="M41" s="74">
        <f>+'ACUMULADO A DICIEMBRE 2015'!U41</f>
        <v>958548134</v>
      </c>
      <c r="N41" s="63">
        <f>+'ACUMULADO A DICIEMBRE 2015'!W41</f>
        <v>948333030</v>
      </c>
      <c r="O41" s="63">
        <f t="shared" si="5"/>
        <v>98.93431496680583</v>
      </c>
      <c r="P41" s="63">
        <f>+'ACUMULADO A DICIEMBRE 2015'!E41</f>
        <v>1871136600</v>
      </c>
      <c r="Q41" s="63">
        <f>+'ACUMULADO A DICIEMBRE 2015'!G41</f>
        <v>1860918460</v>
      </c>
      <c r="R41" s="437">
        <f t="shared" si="7"/>
        <v>0.9945390732028864</v>
      </c>
      <c r="S41" s="137"/>
    </row>
    <row r="42" spans="1:19" ht="112.5" customHeight="1">
      <c r="A42" s="99"/>
      <c r="B42" s="139" t="s">
        <v>246</v>
      </c>
      <c r="C42" s="45" t="s">
        <v>304</v>
      </c>
      <c r="D42" s="58">
        <v>300</v>
      </c>
      <c r="E42" s="264">
        <f>+'ACUMULADO A DICIEMBRE 2015'!V42</f>
        <v>361.29</v>
      </c>
      <c r="F42" s="58">
        <v>100</v>
      </c>
      <c r="G42" s="254"/>
      <c r="H42" s="63"/>
      <c r="I42" s="63">
        <f>+'ACUMULADO A DICIEMBRE 2015'!D42</f>
        <v>2030</v>
      </c>
      <c r="J42" s="91">
        <f>+'ACUMULADO A DICIEMBRE 2015'!F42</f>
        <v>1661.29</v>
      </c>
      <c r="K42" s="63">
        <f>+(J42/I42)*100</f>
        <v>81.83694581280788</v>
      </c>
      <c r="L42" s="360">
        <v>0.12684347922401673</v>
      </c>
      <c r="M42" s="74">
        <f>+'ACUMULADO A DICIEMBRE 2015'!U42</f>
        <v>469068800</v>
      </c>
      <c r="N42" s="63">
        <f>+'ACUMULADO A DICIEMBRE 2015'!W42</f>
        <v>469068799</v>
      </c>
      <c r="O42" s="63">
        <f t="shared" si="5"/>
        <v>99.99999978681166</v>
      </c>
      <c r="P42" s="63">
        <f>+'ACUMULADO A DICIEMBRE 2015'!E42</f>
        <v>2048296747</v>
      </c>
      <c r="Q42" s="63">
        <f>+'ACUMULADO A DICIEMBRE 2015'!G42</f>
        <v>2005165109</v>
      </c>
      <c r="R42" s="437">
        <f t="shared" si="7"/>
        <v>0.9789426810040235</v>
      </c>
      <c r="S42" s="137"/>
    </row>
    <row r="43" spans="1:19" ht="121.5" customHeight="1">
      <c r="A43" s="99"/>
      <c r="B43" s="139" t="s">
        <v>247</v>
      </c>
      <c r="C43" s="45" t="s">
        <v>313</v>
      </c>
      <c r="D43" s="58">
        <v>1</v>
      </c>
      <c r="E43" s="264">
        <f>+'ACUMULADO A DICIEMBRE 2015'!V43</f>
        <v>1</v>
      </c>
      <c r="F43" s="58">
        <f t="shared" si="6"/>
        <v>100</v>
      </c>
      <c r="G43" s="254"/>
      <c r="H43" s="63"/>
      <c r="I43" s="63">
        <f>+'ACUMULADO A DICIEMBRE 2015'!D43</f>
        <v>1</v>
      </c>
      <c r="J43" s="91">
        <f>+'ACUMULADO A DICIEMBRE 2015'!F43</f>
        <v>0.75</v>
      </c>
      <c r="K43" s="63">
        <f>+(J43/I43)*100</f>
        <v>75</v>
      </c>
      <c r="L43" s="360">
        <v>0.0020281163321459995</v>
      </c>
      <c r="M43" s="74">
        <f>+'ACUMULADO A DICIEMBRE 2015'!U43</f>
        <v>7500000</v>
      </c>
      <c r="N43" s="63">
        <f>+'ACUMULADO A DICIEMBRE 2015'!W43</f>
        <v>7498635</v>
      </c>
      <c r="O43" s="63">
        <f t="shared" si="5"/>
        <v>99.98179999999999</v>
      </c>
      <c r="P43" s="63">
        <f>+'ACUMULADO A DICIEMBRE 2015'!E43</f>
        <v>108126630</v>
      </c>
      <c r="Q43" s="63">
        <f>+'ACUMULADO A DICIEMBRE 2015'!G43</f>
        <v>99178331</v>
      </c>
      <c r="R43" s="437">
        <f>+Q43/P43</f>
        <v>0.9172424129005038</v>
      </c>
      <c r="S43" s="137"/>
    </row>
    <row r="44" spans="1:19" ht="41.25" customHeight="1">
      <c r="A44" s="99"/>
      <c r="B44" s="139" t="s">
        <v>248</v>
      </c>
      <c r="C44" s="45" t="s">
        <v>26</v>
      </c>
      <c r="D44" s="58">
        <f>+'ACUMULADO A DICIEMBRE 2015'!T43</f>
        <v>1</v>
      </c>
      <c r="E44" s="264">
        <f>+'ACUMULADO A DICIEMBRE 2015'!V44</f>
        <v>1</v>
      </c>
      <c r="F44" s="58">
        <f t="shared" si="6"/>
        <v>100</v>
      </c>
      <c r="G44" s="254"/>
      <c r="H44" s="63"/>
      <c r="I44" s="63">
        <f>+'ACUMULADO A DICIEMBRE 2015'!D44</f>
        <v>0.75</v>
      </c>
      <c r="J44" s="91">
        <f>+'ACUMULADO A DICIEMBRE 2015'!F44</f>
        <v>1</v>
      </c>
      <c r="K44" s="63">
        <v>100</v>
      </c>
      <c r="L44" s="360">
        <v>0.0027149717299661115</v>
      </c>
      <c r="M44" s="74">
        <f>+'ACUMULADO A DICIEMBRE 2015'!U44</f>
        <v>10040000</v>
      </c>
      <c r="N44" s="63">
        <f>+'ACUMULADO A DICIEMBRE 2015'!W44</f>
        <v>9993728</v>
      </c>
      <c r="O44" s="63">
        <v>0</v>
      </c>
      <c r="P44" s="63">
        <f>+'ACUMULADO A DICIEMBRE 2015'!E44</f>
        <v>43517253</v>
      </c>
      <c r="Q44" s="63">
        <f>+'ACUMULADO A DICIEMBRE 2015'!G44</f>
        <v>42864224</v>
      </c>
      <c r="R44" s="437">
        <f t="shared" si="7"/>
        <v>0.9849937908534806</v>
      </c>
      <c r="S44" s="137"/>
    </row>
    <row r="45" spans="1:19" ht="41.25" customHeight="1">
      <c r="A45" s="99"/>
      <c r="B45" s="143" t="s">
        <v>206</v>
      </c>
      <c r="C45" s="45" t="s">
        <v>308</v>
      </c>
      <c r="D45" s="58">
        <v>100</v>
      </c>
      <c r="E45" s="60">
        <v>100</v>
      </c>
      <c r="F45" s="58">
        <f t="shared" si="6"/>
        <v>100</v>
      </c>
      <c r="G45" s="254"/>
      <c r="H45" s="63"/>
      <c r="I45" s="63">
        <f>+'ACUMULADO A DICIEMBRE 2015'!D45</f>
        <v>25</v>
      </c>
      <c r="J45" s="91">
        <f>+'ACUMULADO A DICIEMBRE 2015'!F45</f>
        <v>25</v>
      </c>
      <c r="K45" s="63">
        <f>+(J45/I45)*100</f>
        <v>100</v>
      </c>
      <c r="L45" s="360">
        <v>0.0004072457594949167</v>
      </c>
      <c r="M45" s="74">
        <f>+'ACUMULADO A DICIEMBRE 2015'!U45</f>
        <v>9893922</v>
      </c>
      <c r="N45" s="63">
        <f>+'ACUMULADO A DICIEMBRE 2015'!W45</f>
        <v>9893922</v>
      </c>
      <c r="O45" s="63"/>
      <c r="P45" s="63">
        <f>+'ACUMULADO A DICIEMBRE 2015'!E45</f>
        <v>9893922</v>
      </c>
      <c r="Q45" s="63">
        <f>+'ACUMULADO A DICIEMBRE 2015'!G45</f>
        <v>9893922</v>
      </c>
      <c r="R45" s="437">
        <f t="shared" si="7"/>
        <v>1</v>
      </c>
      <c r="S45" s="137"/>
    </row>
    <row r="46" spans="1:22" ht="81.75" customHeight="1">
      <c r="A46" s="99"/>
      <c r="B46" s="144" t="s">
        <v>249</v>
      </c>
      <c r="C46" s="83"/>
      <c r="D46" s="83"/>
      <c r="E46" s="83"/>
      <c r="F46" s="432">
        <f>AVERAGE(F47:F56)</f>
        <v>100</v>
      </c>
      <c r="G46" s="253"/>
      <c r="H46" s="66"/>
      <c r="I46" s="83"/>
      <c r="J46" s="83"/>
      <c r="K46" s="66">
        <f>AVERAGE(K47:K56)</f>
        <v>97.46848739495799</v>
      </c>
      <c r="L46" s="66"/>
      <c r="M46" s="265">
        <f>+SUM(M47:M56)</f>
        <v>2211505468</v>
      </c>
      <c r="N46" s="66">
        <f>+SUM(N47:N56)</f>
        <v>2095430973</v>
      </c>
      <c r="O46" s="66">
        <f>+N46/M46*100</f>
        <v>94.75133583526821</v>
      </c>
      <c r="P46" s="66">
        <f>+SUM(P47:P56)</f>
        <v>4798836302</v>
      </c>
      <c r="Q46" s="66">
        <f>+SUM(Q47:Q56)</f>
        <v>4400576351</v>
      </c>
      <c r="R46" s="66">
        <f>+(Q46/P46)*100</f>
        <v>91.70090567927858</v>
      </c>
      <c r="S46" s="145">
        <f>+N46-N51</f>
        <v>1996282760</v>
      </c>
      <c r="V46" s="539">
        <f>1996282760*100/25466293407</f>
        <v>7.838921542666572</v>
      </c>
    </row>
    <row r="47" spans="1:19" ht="109.5" customHeight="1">
      <c r="A47" s="99"/>
      <c r="B47" s="146" t="s">
        <v>142</v>
      </c>
      <c r="C47" s="45" t="s">
        <v>314</v>
      </c>
      <c r="D47" s="58">
        <f>+'ACUMULADO A DICIEMBRE 2015'!T47</f>
        <v>68</v>
      </c>
      <c r="E47" s="111">
        <f>+'ACUMULADO A DICIEMBRE 2015'!V47</f>
        <v>74</v>
      </c>
      <c r="F47" s="58">
        <v>100</v>
      </c>
      <c r="G47" s="263"/>
      <c r="H47" s="63"/>
      <c r="I47" s="63">
        <f>+'ACUMULADO A DICIEMBRE 2015'!D47</f>
        <v>68</v>
      </c>
      <c r="J47" s="91">
        <f>+'ACUMULADO A DICIEMBRE 2015'!F47</f>
        <v>60.5</v>
      </c>
      <c r="K47" s="63">
        <f>+(J47/I47)*100</f>
        <v>88.97058823529412</v>
      </c>
      <c r="L47" s="360">
        <v>0</v>
      </c>
      <c r="M47" s="117">
        <f>+'ACUMULADO A DICIEMBRE 2015'!U47</f>
        <v>0</v>
      </c>
      <c r="N47" s="118">
        <f>+'ACUMULADO A DICIEMBRE 2015'!W47</f>
        <v>0</v>
      </c>
      <c r="O47" s="63">
        <v>0</v>
      </c>
      <c r="P47" s="63">
        <f>+'ACUMULADO A DICIEMBRE 2015'!E47</f>
        <v>0</v>
      </c>
      <c r="Q47" s="63">
        <f>+'ACUMULADO A DICIEMBRE 2015'!G47</f>
        <v>0</v>
      </c>
      <c r="R47" s="437">
        <v>0</v>
      </c>
      <c r="S47" s="138">
        <f>+S46*100/N138</f>
        <v>7.838921542534827</v>
      </c>
    </row>
    <row r="48" spans="1:19" ht="112.5" customHeight="1">
      <c r="A48" s="99"/>
      <c r="B48" s="147" t="s">
        <v>542</v>
      </c>
      <c r="C48" s="45" t="s">
        <v>543</v>
      </c>
      <c r="D48" s="58">
        <f>+'ACUMULADO A DICIEMBRE 2015'!T48</f>
        <v>8</v>
      </c>
      <c r="E48" s="111">
        <f>+'ACUMULADO A DICIEMBRE 2015'!V48</f>
        <v>8</v>
      </c>
      <c r="F48" s="58">
        <f>+(E48/D48)*100</f>
        <v>100</v>
      </c>
      <c r="G48" s="254"/>
      <c r="H48" s="63"/>
      <c r="I48" s="63">
        <f>+'ACUMULADO A DICIEMBRE 2015'!D48</f>
        <v>2.5</v>
      </c>
      <c r="J48" s="91">
        <f>+'ACUMULADO A DICIEMBRE 2015'!F48</f>
        <v>2.5</v>
      </c>
      <c r="K48" s="63">
        <v>100</v>
      </c>
      <c r="L48" s="360">
        <v>0.05638692818280656</v>
      </c>
      <c r="M48" s="117">
        <f>+'ACUMULADO A DICIEMBRE 2015'!U48</f>
        <v>124700000</v>
      </c>
      <c r="N48" s="118">
        <f>+'ACUMULADO A DICIEMBRE 2015'!W48</f>
        <v>124258335</v>
      </c>
      <c r="O48" s="63">
        <f>+(N48/M48)*100</f>
        <v>99.64581796311147</v>
      </c>
      <c r="P48" s="63">
        <f>+'ACUMULADO A DICIEMBRE 2015'!E48</f>
        <v>397977600</v>
      </c>
      <c r="Q48" s="63">
        <f>+'ACUMULADO A DICIEMBRE 2015'!G48</f>
        <v>349942954</v>
      </c>
      <c r="R48" s="437">
        <f aca="true" t="shared" si="8" ref="R48:R54">+Q48/P48</f>
        <v>0.8793031416843561</v>
      </c>
      <c r="S48" s="138" t="s">
        <v>588</v>
      </c>
    </row>
    <row r="49" spans="1:19" ht="44.25" customHeight="1">
      <c r="A49" s="99"/>
      <c r="B49" s="125" t="s">
        <v>384</v>
      </c>
      <c r="C49" s="61" t="s">
        <v>385</v>
      </c>
      <c r="D49" s="60" t="s">
        <v>297</v>
      </c>
      <c r="E49" s="60" t="s">
        <v>297</v>
      </c>
      <c r="F49" s="58"/>
      <c r="G49" s="254"/>
      <c r="H49" s="63"/>
      <c r="I49" s="63">
        <f>+'ACUMULADO A DICIEMBRE 2015'!D49</f>
        <v>1</v>
      </c>
      <c r="J49" s="91">
        <f>+'ACUMULADO A DICIEMBRE 2015'!F49</f>
        <v>1</v>
      </c>
      <c r="K49" s="63">
        <v>100</v>
      </c>
      <c r="L49" s="360"/>
      <c r="M49" s="58" t="s">
        <v>551</v>
      </c>
      <c r="N49" s="58" t="s">
        <v>551</v>
      </c>
      <c r="O49" s="63">
        <v>0</v>
      </c>
      <c r="P49" s="63">
        <f>+'ACUMULADO A DICIEMBRE 2015'!E49</f>
        <v>243412880</v>
      </c>
      <c r="Q49" s="63">
        <f>+'ACUMULADO A DICIEMBRE 2015'!G49</f>
        <v>239283460</v>
      </c>
      <c r="R49" s="437">
        <f t="shared" si="8"/>
        <v>0.9830353266433559</v>
      </c>
      <c r="S49" s="137"/>
    </row>
    <row r="50" spans="1:19" ht="102.75" customHeight="1">
      <c r="A50" s="99"/>
      <c r="B50" s="147" t="s">
        <v>544</v>
      </c>
      <c r="C50" s="45" t="s">
        <v>545</v>
      </c>
      <c r="D50" s="58">
        <f>+'ACUMULADO A DICIEMBRE 2015'!T50</f>
        <v>3</v>
      </c>
      <c r="E50" s="111">
        <f>+'ACUMULADO A DICIEMBRE 2015'!V50</f>
        <v>3</v>
      </c>
      <c r="F50" s="58">
        <f>+(E50/D50)*100</f>
        <v>100</v>
      </c>
      <c r="G50" s="254"/>
      <c r="H50" s="63"/>
      <c r="I50" s="63">
        <f>+'ACUMULADO A DICIEMBRE 2015'!D50</f>
        <v>7</v>
      </c>
      <c r="J50" s="91">
        <f>+'ACUMULADO A DICIEMBRE 2015'!F50</f>
        <v>7</v>
      </c>
      <c r="K50" s="63">
        <f aca="true" t="shared" si="9" ref="K50:K56">+(J50/I50)*100</f>
        <v>100</v>
      </c>
      <c r="L50" s="360">
        <v>0.44437215562878274</v>
      </c>
      <c r="M50" s="117">
        <f>+'ACUMULADO A DICIEMBRE 2015'!U50</f>
        <v>982731452</v>
      </c>
      <c r="N50" s="118">
        <f>+'ACUMULADO A DICIEMBRE 2015'!W50</f>
        <v>921199395</v>
      </c>
      <c r="O50" s="63">
        <f>+(N50/M50)*100</f>
        <v>93.73867022625831</v>
      </c>
      <c r="P50" s="63">
        <f>+'ACUMULADO A DICIEMBRE 2015'!E50</f>
        <v>1499542952</v>
      </c>
      <c r="Q50" s="63">
        <f>+'ACUMULADO A DICIEMBRE 2015'!G50</f>
        <v>1436487455</v>
      </c>
      <c r="R50" s="437">
        <f t="shared" si="8"/>
        <v>0.9579501894788006</v>
      </c>
      <c r="S50" s="138" t="s">
        <v>588</v>
      </c>
    </row>
    <row r="51" spans="1:19" ht="30" customHeight="1">
      <c r="A51" s="99"/>
      <c r="B51" s="147" t="s">
        <v>250</v>
      </c>
      <c r="C51" s="45" t="s">
        <v>316</v>
      </c>
      <c r="D51" s="58">
        <f>+'ACUMULADO A DICIEMBRE 2015'!T51</f>
        <v>1</v>
      </c>
      <c r="E51" s="111">
        <f>+'ACUMULADO A DICIEMBRE 2015'!V51</f>
        <v>1</v>
      </c>
      <c r="F51" s="58">
        <f aca="true" t="shared" si="10" ref="F51:F56">+(E51/D51)*100</f>
        <v>100</v>
      </c>
      <c r="G51" s="254"/>
      <c r="H51" s="63"/>
      <c r="I51" s="63">
        <f>+'ACUMULADO A DICIEMBRE 2015'!D51</f>
        <v>7</v>
      </c>
      <c r="J51" s="91">
        <f>+'ACUMULADO A DICIEMBRE 2015'!F51</f>
        <v>6</v>
      </c>
      <c r="K51" s="63">
        <f t="shared" si="9"/>
        <v>85.71428571428571</v>
      </c>
      <c r="L51" s="360">
        <v>0.04521806590441584</v>
      </c>
      <c r="M51" s="117">
        <f>+'ACUMULADO A DICIEMBRE 2015'!U51</f>
        <v>100000000</v>
      </c>
      <c r="N51" s="118">
        <f>+'ACUMULADO A DICIEMBRE 2015'!W51</f>
        <v>99148213</v>
      </c>
      <c r="O51" s="63">
        <f>+(N51/M51)*100</f>
        <v>99.148213</v>
      </c>
      <c r="P51" s="63">
        <f>+'ACUMULADO A DICIEMBRE 2015'!E51</f>
        <v>301201600</v>
      </c>
      <c r="Q51" s="63">
        <f>+'ACUMULADO A DICIEMBRE 2015'!G51</f>
        <v>300349813</v>
      </c>
      <c r="R51" s="437">
        <f t="shared" si="8"/>
        <v>0.9971720369347308</v>
      </c>
      <c r="S51" s="138" t="s">
        <v>588</v>
      </c>
    </row>
    <row r="52" spans="1:19" ht="40.5" customHeight="1">
      <c r="A52" s="99"/>
      <c r="B52" s="148" t="s">
        <v>251</v>
      </c>
      <c r="C52" s="45" t="s">
        <v>317</v>
      </c>
      <c r="D52" s="58">
        <f>+'ACUMULADO A DICIEMBRE 2015'!T52</f>
        <v>37</v>
      </c>
      <c r="E52" s="111">
        <f>+'ACUMULADO A DICIEMBRE 2015'!V52</f>
        <v>37</v>
      </c>
      <c r="F52" s="58">
        <f t="shared" si="10"/>
        <v>100</v>
      </c>
      <c r="G52" s="254"/>
      <c r="H52" s="63"/>
      <c r="I52" s="63">
        <f>+'ACUMULADO A DICIEMBRE 2015'!D52</f>
        <v>37</v>
      </c>
      <c r="J52" s="91">
        <f>+'ACUMULADO A DICIEMBRE 2015'!F52</f>
        <v>37</v>
      </c>
      <c r="K52" s="63">
        <f t="shared" si="9"/>
        <v>100</v>
      </c>
      <c r="L52" s="360">
        <v>0.12023483723984173</v>
      </c>
      <c r="M52" s="117">
        <f>+'ACUMULADO A DICIEMBRE 2015'!U52</f>
        <v>265900000</v>
      </c>
      <c r="N52" s="118">
        <f>+'ACUMULADO A DICIEMBRE 2015'!W52</f>
        <v>255845689</v>
      </c>
      <c r="O52" s="63">
        <f>+(N52/M52)*100</f>
        <v>96.2187623166604</v>
      </c>
      <c r="P52" s="63">
        <f>+'ACUMULADO A DICIEMBRE 2015'!E52</f>
        <v>424030000</v>
      </c>
      <c r="Q52" s="63">
        <f>+'ACUMULADO A DICIEMBRE 2015'!G52</f>
        <v>413975689</v>
      </c>
      <c r="R52" s="437">
        <f t="shared" si="8"/>
        <v>0.9762886800462232</v>
      </c>
      <c r="S52" s="137"/>
    </row>
    <row r="53" spans="1:19" ht="133.5" customHeight="1">
      <c r="A53" s="99"/>
      <c r="B53" s="148" t="s">
        <v>252</v>
      </c>
      <c r="C53" s="45" t="s">
        <v>318</v>
      </c>
      <c r="D53" s="58">
        <f>+'ACUMULADO A DICIEMBRE 2015'!T53</f>
        <v>1</v>
      </c>
      <c r="E53" s="111">
        <f>+'ACUMULADO A DICIEMBRE 2015'!V53</f>
        <v>1</v>
      </c>
      <c r="F53" s="58">
        <f t="shared" si="10"/>
        <v>100</v>
      </c>
      <c r="G53" s="254"/>
      <c r="H53" s="63"/>
      <c r="I53" s="63">
        <f>+'ACUMULADO A DICIEMBRE 2015'!D53</f>
        <v>1</v>
      </c>
      <c r="J53" s="91">
        <f>+'ACUMULADO A DICIEMBRE 2015'!F53</f>
        <v>1</v>
      </c>
      <c r="K53" s="63">
        <f t="shared" si="9"/>
        <v>100</v>
      </c>
      <c r="L53" s="360">
        <v>0.14282878092345735</v>
      </c>
      <c r="M53" s="117">
        <f>+'ACUMULADO A DICIEMBRE 2015'!U53</f>
        <v>315866630</v>
      </c>
      <c r="N53" s="118">
        <f>+'ACUMULADO A DICIEMBRE 2015'!W53</f>
        <v>303051996</v>
      </c>
      <c r="O53" s="63">
        <f>+(N53/M53)*100</f>
        <v>95.94302380089977</v>
      </c>
      <c r="P53" s="63">
        <f>+'ACUMULADO A DICIEMBRE 2015'!E53</f>
        <v>1114796941</v>
      </c>
      <c r="Q53" s="63">
        <f>+'ACUMULADO A DICIEMBRE 2015'!G53</f>
        <v>949492771</v>
      </c>
      <c r="R53" s="437">
        <f t="shared" si="8"/>
        <v>0.8517181345584621</v>
      </c>
      <c r="S53" s="137"/>
    </row>
    <row r="54" spans="1:19" ht="108" customHeight="1">
      <c r="A54" s="99"/>
      <c r="B54" s="148" t="s">
        <v>253</v>
      </c>
      <c r="C54" s="45" t="s">
        <v>319</v>
      </c>
      <c r="D54" s="58">
        <f>+'ACUMULADO A DICIEMBRE 2015'!T54</f>
        <v>41</v>
      </c>
      <c r="E54" s="111">
        <f>+'ACUMULADO A DICIEMBRE 2015'!V54</f>
        <v>41</v>
      </c>
      <c r="F54" s="58">
        <f t="shared" si="10"/>
        <v>100</v>
      </c>
      <c r="G54" s="254"/>
      <c r="H54" s="63">
        <f>+(E54/D54)*100</f>
        <v>100</v>
      </c>
      <c r="I54" s="63">
        <f>+'ACUMULADO A DICIEMBRE 2015'!D54</f>
        <v>25</v>
      </c>
      <c r="J54" s="91">
        <f>+'ACUMULADO A DICIEMBRE 2015'!F54</f>
        <v>25</v>
      </c>
      <c r="K54" s="63">
        <f t="shared" si="9"/>
        <v>100</v>
      </c>
      <c r="L54" s="360">
        <v>0.18277476219199654</v>
      </c>
      <c r="M54" s="117">
        <f>+'ACUMULADO A DICIEMBRE 2015'!U54</f>
        <v>404207386</v>
      </c>
      <c r="N54" s="118">
        <f>+'ACUMULADO A DICIEMBRE 2015'!W54</f>
        <v>373863764</v>
      </c>
      <c r="O54" s="63">
        <f>+(N54/M54)*100</f>
        <v>92.4930560274324</v>
      </c>
      <c r="P54" s="63">
        <f>+'ACUMULADO A DICIEMBRE 2015'!E54</f>
        <v>737330092</v>
      </c>
      <c r="Q54" s="63">
        <f>+'ACUMULADO A DICIEMBRE 2015'!G54</f>
        <v>676795018</v>
      </c>
      <c r="R54" s="437">
        <f t="shared" si="8"/>
        <v>0.9178996291392377</v>
      </c>
      <c r="S54" s="137"/>
    </row>
    <row r="55" spans="1:19" ht="45" customHeight="1">
      <c r="A55" s="99"/>
      <c r="B55" s="146" t="s">
        <v>140</v>
      </c>
      <c r="C55" s="45" t="s">
        <v>320</v>
      </c>
      <c r="D55" s="58">
        <f>+'ACUMULADO A DICIEMBRE 2015'!T55</f>
        <v>37</v>
      </c>
      <c r="E55" s="111">
        <f>+'ACUMULADO A DICIEMBRE 2015'!V55</f>
        <v>37</v>
      </c>
      <c r="F55" s="58">
        <f t="shared" si="10"/>
        <v>100</v>
      </c>
      <c r="G55" s="254"/>
      <c r="H55" s="63"/>
      <c r="I55" s="63">
        <f>+'ACUMULADO A DICIEMBRE 2015'!D55</f>
        <v>37</v>
      </c>
      <c r="J55" s="91">
        <f>+'ACUMULADO A DICIEMBRE 2015'!F55</f>
        <v>37</v>
      </c>
      <c r="K55" s="63">
        <f t="shared" si="9"/>
        <v>100</v>
      </c>
      <c r="L55" s="360">
        <v>0</v>
      </c>
      <c r="M55" s="117">
        <f>+'ACUMULADO A DICIEMBRE 2015'!U55</f>
        <v>0</v>
      </c>
      <c r="N55" s="118">
        <f>+'ACUMULADO A DICIEMBRE 2015'!W55</f>
        <v>0</v>
      </c>
      <c r="O55" s="63">
        <v>0</v>
      </c>
      <c r="P55" s="63">
        <f>+'ACUMULADO A DICIEMBRE 2015'!E55</f>
        <v>0</v>
      </c>
      <c r="Q55" s="63">
        <f>+'ACUMULADO A DICIEMBRE 2015'!G55</f>
        <v>0</v>
      </c>
      <c r="R55" s="437">
        <v>0</v>
      </c>
      <c r="S55" s="137"/>
    </row>
    <row r="56" spans="1:19" ht="66" customHeight="1">
      <c r="A56" s="99"/>
      <c r="B56" s="148" t="s">
        <v>254</v>
      </c>
      <c r="C56" s="45" t="s">
        <v>321</v>
      </c>
      <c r="D56" s="58">
        <f>+'ACUMULADO A DICIEMBRE 2015'!T56</f>
        <v>37</v>
      </c>
      <c r="E56" s="111">
        <f>+'ACUMULADO A DICIEMBRE 2015'!V56</f>
        <v>37</v>
      </c>
      <c r="F56" s="58">
        <f t="shared" si="10"/>
        <v>100</v>
      </c>
      <c r="G56" s="254"/>
      <c r="H56" s="63"/>
      <c r="I56" s="63">
        <f>+'ACUMULADO A DICIEMBRE 2015'!D56</f>
        <v>37</v>
      </c>
      <c r="J56" s="91">
        <f>+'ACUMULADO A DICIEMBRE 2015'!F56</f>
        <v>37</v>
      </c>
      <c r="K56" s="63">
        <f t="shared" si="9"/>
        <v>100</v>
      </c>
      <c r="L56" s="360">
        <v>0.008184469928699267</v>
      </c>
      <c r="M56" s="117">
        <f>+'ACUMULADO A DICIEMBRE 2015'!U56</f>
        <v>18100000</v>
      </c>
      <c r="N56" s="118">
        <f>+'ACUMULADO A DICIEMBRE 2015'!W56</f>
        <v>18063581</v>
      </c>
      <c r="O56" s="63">
        <v>0</v>
      </c>
      <c r="P56" s="63">
        <f>+'ACUMULADO A DICIEMBRE 2015'!E56</f>
        <v>80544237</v>
      </c>
      <c r="Q56" s="63">
        <f>+'ACUMULADO A DICIEMBRE 2015'!G56</f>
        <v>34249191</v>
      </c>
      <c r="R56" s="437">
        <f>+Q56/P56</f>
        <v>0.4252221173812845</v>
      </c>
      <c r="S56" s="137"/>
    </row>
    <row r="57" spans="1:19" ht="80.25" customHeight="1">
      <c r="A57" s="99"/>
      <c r="B57" s="134" t="s">
        <v>256</v>
      </c>
      <c r="C57" s="83"/>
      <c r="D57" s="69"/>
      <c r="E57" s="69"/>
      <c r="F57" s="432">
        <f>AVERAGE(F58:F63)</f>
        <v>100</v>
      </c>
      <c r="G57" s="253"/>
      <c r="H57" s="66"/>
      <c r="I57" s="69"/>
      <c r="J57" s="83"/>
      <c r="K57" s="66">
        <f>AVERAGE(K58:K63)</f>
        <v>95.70333880678709</v>
      </c>
      <c r="L57" s="66"/>
      <c r="M57" s="266">
        <f>+SUM(M58:M63)</f>
        <v>1043955002</v>
      </c>
      <c r="N57" s="70">
        <f>+SUM(N58:N63)</f>
        <v>1043955002</v>
      </c>
      <c r="O57" s="66">
        <f>+N57/M57*100</f>
        <v>100</v>
      </c>
      <c r="P57" s="70">
        <f>+SUM(P58:P63)</f>
        <v>10099165786</v>
      </c>
      <c r="Q57" s="70">
        <f>+SUM(Q58:Q63)</f>
        <v>9945625633</v>
      </c>
      <c r="R57" s="66">
        <f>+(Q57/P57)*100</f>
        <v>98.47967489341698</v>
      </c>
      <c r="S57" s="149"/>
    </row>
    <row r="58" spans="1:19" ht="51">
      <c r="A58" s="99"/>
      <c r="B58" s="136" t="s">
        <v>257</v>
      </c>
      <c r="C58" s="45" t="s">
        <v>314</v>
      </c>
      <c r="D58" s="58">
        <f>+'ACUMULADO A DICIEMBRE 2015'!T58</f>
        <v>14</v>
      </c>
      <c r="E58" s="111">
        <f>+'ACUMULADO A DICIEMBRE 2015'!V58</f>
        <v>14</v>
      </c>
      <c r="F58" s="58">
        <f>+(E58/D58)*100</f>
        <v>100</v>
      </c>
      <c r="G58" s="254"/>
      <c r="H58" s="63"/>
      <c r="I58" s="63">
        <f>+'ACUMULADO A DICIEMBRE 2015'!D58</f>
        <v>13.75</v>
      </c>
      <c r="J58" s="63">
        <f>+'ACUMULADO A DICIEMBRE 2015'!F58</f>
        <v>13.75</v>
      </c>
      <c r="K58" s="63">
        <f aca="true" t="shared" si="11" ref="K58:K63">+(J58/I58)*100</f>
        <v>100</v>
      </c>
      <c r="L58" s="360">
        <v>0</v>
      </c>
      <c r="M58" s="117">
        <f>+'ACUMULADO A DICIEMBRE 2015'!U58</f>
        <v>0</v>
      </c>
      <c r="N58" s="117">
        <f>+'ACUMULADO A DICIEMBRE 2015'!W58</f>
        <v>0</v>
      </c>
      <c r="O58" s="63">
        <v>0</v>
      </c>
      <c r="P58" s="63">
        <f>+'ACUMULADO A DICIEMBRE 2015'!E58</f>
        <v>0</v>
      </c>
      <c r="Q58" s="63">
        <f>+'ACUMULADO A DICIEMBRE 2015'!G58</f>
        <v>0</v>
      </c>
      <c r="R58" s="437">
        <v>0</v>
      </c>
      <c r="S58" s="137"/>
    </row>
    <row r="59" spans="1:19" ht="67.5" customHeight="1">
      <c r="A59" s="99"/>
      <c r="B59" s="136" t="s">
        <v>171</v>
      </c>
      <c r="C59" s="45" t="s">
        <v>314</v>
      </c>
      <c r="D59" s="58">
        <f>+'ACUMULADO A DICIEMBRE 2015'!T59</f>
        <v>13</v>
      </c>
      <c r="E59" s="111">
        <f>+'ACUMULADO A DICIEMBRE 2015'!V59</f>
        <v>13</v>
      </c>
      <c r="F59" s="58">
        <f>+(E59/D59)*100</f>
        <v>100</v>
      </c>
      <c r="G59" s="254"/>
      <c r="H59" s="63"/>
      <c r="I59" s="63">
        <f>+'ACUMULADO A DICIEMBRE 2015'!D59</f>
        <v>12.75</v>
      </c>
      <c r="J59" s="63">
        <f>+'ACUMULADO A DICIEMBRE 2015'!F59</f>
        <v>12.75</v>
      </c>
      <c r="K59" s="63">
        <f t="shared" si="11"/>
        <v>100</v>
      </c>
      <c r="L59" s="360">
        <v>0</v>
      </c>
      <c r="M59" s="117">
        <f>+'ACUMULADO A DICIEMBRE 2015'!U59</f>
        <v>0</v>
      </c>
      <c r="N59" s="117">
        <f>+'ACUMULADO A DICIEMBRE 2015'!W59</f>
        <v>0</v>
      </c>
      <c r="O59" s="63">
        <v>0</v>
      </c>
      <c r="P59" s="63">
        <f>+'ACUMULADO A DICIEMBRE 2015'!E59</f>
        <v>0</v>
      </c>
      <c r="Q59" s="63">
        <f>+'ACUMULADO A DICIEMBRE 2015'!G59</f>
        <v>0</v>
      </c>
      <c r="R59" s="437">
        <v>0</v>
      </c>
      <c r="S59" s="137"/>
    </row>
    <row r="60" spans="1:19" ht="114.75" customHeight="1">
      <c r="A60" s="99"/>
      <c r="B60" s="136" t="s">
        <v>141</v>
      </c>
      <c r="C60" s="45" t="s">
        <v>314</v>
      </c>
      <c r="D60" s="58">
        <f>+'ACUMULADO A DICIEMBRE 2015'!T60</f>
        <v>87</v>
      </c>
      <c r="E60" s="111">
        <f>+'ACUMULADO A DICIEMBRE 2015'!V60</f>
        <v>100</v>
      </c>
      <c r="F60" s="58">
        <v>100</v>
      </c>
      <c r="G60" s="113"/>
      <c r="H60" s="63">
        <f>+(E60/D60)*100</f>
        <v>114.94252873563218</v>
      </c>
      <c r="I60" s="63">
        <f>+'ACUMULADO A DICIEMBRE 2015'!D60</f>
        <v>87</v>
      </c>
      <c r="J60" s="63">
        <f>+'ACUMULADO A DICIEMBRE 2015'!F60</f>
        <v>77</v>
      </c>
      <c r="K60" s="63">
        <f t="shared" si="11"/>
        <v>88.50574712643679</v>
      </c>
      <c r="L60" s="360">
        <v>0</v>
      </c>
      <c r="M60" s="117">
        <f>+'ACUMULADO A DICIEMBRE 2015'!U60</f>
        <v>0</v>
      </c>
      <c r="N60" s="117">
        <f>+'ACUMULADO A DICIEMBRE 2015'!W60</f>
        <v>0</v>
      </c>
      <c r="O60" s="76">
        <v>0</v>
      </c>
      <c r="P60" s="63">
        <f>+'ACUMULADO A DICIEMBRE 2015'!E60</f>
        <v>0</v>
      </c>
      <c r="Q60" s="63">
        <f>+'ACUMULADO A DICIEMBRE 2015'!G60</f>
        <v>0</v>
      </c>
      <c r="R60" s="437">
        <v>0</v>
      </c>
      <c r="S60" s="137"/>
    </row>
    <row r="61" spans="1:19" ht="94.5" customHeight="1">
      <c r="A61" s="99"/>
      <c r="B61" s="139" t="s">
        <v>258</v>
      </c>
      <c r="C61" s="45" t="s">
        <v>167</v>
      </c>
      <c r="D61" s="58">
        <f>+'ACUMULADO A DICIEMBRE 2015'!T61</f>
        <v>1</v>
      </c>
      <c r="E61" s="111">
        <f>+'ACUMULADO A DICIEMBRE 2015'!V61</f>
        <v>4</v>
      </c>
      <c r="F61" s="58">
        <v>100</v>
      </c>
      <c r="G61" s="254"/>
      <c r="H61" s="63"/>
      <c r="I61" s="63">
        <f>+'ACUMULADO A DICIEMBRE 2015'!D61</f>
        <v>5</v>
      </c>
      <c r="J61" s="63">
        <f>+'ACUMULADO A DICIEMBRE 2015'!F61</f>
        <v>5</v>
      </c>
      <c r="K61" s="63">
        <f t="shared" si="11"/>
        <v>100</v>
      </c>
      <c r="L61" s="360">
        <v>0.8876317851102169</v>
      </c>
      <c r="M61" s="117">
        <f>+'ACUMULADO A DICIEMBRE 2015'!U61</f>
        <v>926647642</v>
      </c>
      <c r="N61" s="117">
        <f>+'ACUMULADO A DICIEMBRE 2015'!W61</f>
        <v>926647642</v>
      </c>
      <c r="O61" s="63">
        <f>+(N61/M61)*100</f>
        <v>100</v>
      </c>
      <c r="P61" s="63">
        <f>+'ACUMULADO A DICIEMBRE 2015'!E61</f>
        <v>9723195174</v>
      </c>
      <c r="Q61" s="63">
        <f>+'ACUMULADO A DICIEMBRE 2015'!G61</f>
        <v>9570204116</v>
      </c>
      <c r="R61" s="437">
        <f>+Q61/P61</f>
        <v>0.9842653515370029</v>
      </c>
      <c r="S61" s="137"/>
    </row>
    <row r="62" spans="1:19" ht="68.25" customHeight="1">
      <c r="A62" s="99"/>
      <c r="B62" s="139" t="s">
        <v>392</v>
      </c>
      <c r="C62" s="45" t="s">
        <v>315</v>
      </c>
      <c r="D62" s="58" t="s">
        <v>297</v>
      </c>
      <c r="E62" s="58" t="s">
        <v>297</v>
      </c>
      <c r="F62" s="58"/>
      <c r="G62" s="254"/>
      <c r="H62" s="63"/>
      <c r="I62" s="63">
        <f>+'ACUMULADO A DICIEMBRE 2015'!D62</f>
        <v>1</v>
      </c>
      <c r="J62" s="63">
        <f>+'ACUMULADO A DICIEMBRE 2015'!F62</f>
        <v>1</v>
      </c>
      <c r="K62" s="63">
        <f t="shared" si="11"/>
        <v>100</v>
      </c>
      <c r="L62" s="360"/>
      <c r="M62" s="58" t="s">
        <v>551</v>
      </c>
      <c r="N62" s="58" t="s">
        <v>551</v>
      </c>
      <c r="O62" s="63">
        <v>0</v>
      </c>
      <c r="P62" s="63">
        <f>+'ACUMULADO A DICIEMBRE 2015'!E62</f>
        <v>26881152</v>
      </c>
      <c r="Q62" s="63">
        <f>+'ACUMULADO A DICIEMBRE 2015'!G62</f>
        <v>26881152</v>
      </c>
      <c r="R62" s="437">
        <f>+Q62/P62</f>
        <v>1</v>
      </c>
      <c r="S62" s="137"/>
    </row>
    <row r="63" spans="1:19" ht="43.5" customHeight="1">
      <c r="A63" s="99"/>
      <c r="B63" s="139" t="s">
        <v>250</v>
      </c>
      <c r="C63" s="45" t="s">
        <v>259</v>
      </c>
      <c r="D63" s="58">
        <f>+'ACUMULADO A DICIEMBRE 2015'!T63</f>
        <v>1</v>
      </c>
      <c r="E63" s="111">
        <f>+'ACUMULADO A DICIEMBRE 2015'!V63</f>
        <v>1</v>
      </c>
      <c r="F63" s="58">
        <f>+(E63/D63)*100</f>
        <v>100</v>
      </c>
      <c r="G63" s="254"/>
      <c r="H63" s="63"/>
      <c r="I63" s="63">
        <f>+'ACUMULADO A DICIEMBRE 2015'!D63</f>
        <v>7</v>
      </c>
      <c r="J63" s="63">
        <f>+'ACUMULADO A DICIEMBRE 2015'!F63</f>
        <v>6</v>
      </c>
      <c r="K63" s="63">
        <f t="shared" si="11"/>
        <v>85.71428571428571</v>
      </c>
      <c r="L63" s="360">
        <v>0.11236821488978316</v>
      </c>
      <c r="M63" s="117">
        <f>+'ACUMULADO A DICIEMBRE 2015'!U63</f>
        <v>117307360</v>
      </c>
      <c r="N63" s="117">
        <f>+'ACUMULADO A DICIEMBRE 2015'!W63</f>
        <v>117307360</v>
      </c>
      <c r="O63" s="63">
        <f>+(N63/M63)*100</f>
        <v>100</v>
      </c>
      <c r="P63" s="63">
        <f>+'ACUMULADO A DICIEMBRE 2015'!E63</f>
        <v>349089460</v>
      </c>
      <c r="Q63" s="63">
        <f>+'ACUMULADO A DICIEMBRE 2015'!G63</f>
        <v>348540365</v>
      </c>
      <c r="R63" s="437">
        <f>+Q63/P63</f>
        <v>0.9984270650852649</v>
      </c>
      <c r="S63" s="138" t="s">
        <v>588</v>
      </c>
    </row>
    <row r="64" spans="1:19" ht="66.75" customHeight="1">
      <c r="A64" s="99"/>
      <c r="B64" s="142" t="s">
        <v>260</v>
      </c>
      <c r="C64" s="88"/>
      <c r="D64" s="72"/>
      <c r="E64" s="72"/>
      <c r="F64" s="434">
        <f>AVERAGE(F65,F73)</f>
        <v>99.8</v>
      </c>
      <c r="G64" s="256"/>
      <c r="H64" s="64"/>
      <c r="I64" s="72"/>
      <c r="J64" s="72"/>
      <c r="K64" s="64">
        <f>AVERAGE(K65,K73)</f>
        <v>99.35897435897436</v>
      </c>
      <c r="L64" s="64"/>
      <c r="M64" s="77">
        <f>+M65+M73</f>
        <v>4562470651</v>
      </c>
      <c r="N64" s="77">
        <f>+N65+N73</f>
        <v>4558475303</v>
      </c>
      <c r="O64" s="64">
        <f>+N64/M64*100</f>
        <v>99.91243016546036</v>
      </c>
      <c r="P64" s="77">
        <f>+P65+P73</f>
        <v>15072383291</v>
      </c>
      <c r="Q64" s="77">
        <f>+Q65+Q73</f>
        <v>14575129385</v>
      </c>
      <c r="R64" s="64">
        <f>+Q64/P64*100</f>
        <v>96.70089397012003</v>
      </c>
      <c r="S64" s="137"/>
    </row>
    <row r="65" spans="1:19" ht="47.25" customHeight="1">
      <c r="A65" s="99"/>
      <c r="B65" s="134" t="s">
        <v>261</v>
      </c>
      <c r="C65" s="89"/>
      <c r="D65" s="69"/>
      <c r="E65" s="69"/>
      <c r="F65" s="432">
        <f>AVERAGE(F66:F72)</f>
        <v>99.6</v>
      </c>
      <c r="G65" s="253"/>
      <c r="H65" s="66"/>
      <c r="I65" s="69"/>
      <c r="J65" s="89"/>
      <c r="K65" s="66">
        <v>100</v>
      </c>
      <c r="L65" s="66"/>
      <c r="M65" s="78">
        <f>+SUM(M66:M72)</f>
        <v>320000000</v>
      </c>
      <c r="N65" s="78">
        <f>+SUM(N66:N72)</f>
        <v>319329399</v>
      </c>
      <c r="O65" s="66">
        <f>+N65/M65*100</f>
        <v>99.7904371875</v>
      </c>
      <c r="P65" s="70">
        <f>SUM(P66:P72)</f>
        <v>998000000</v>
      </c>
      <c r="Q65" s="78">
        <f>+SUM(Q66:Q72)</f>
        <v>945328282</v>
      </c>
      <c r="R65" s="66">
        <f>+(Q65/P65)*100</f>
        <v>94.72227274549098</v>
      </c>
      <c r="S65" s="137"/>
    </row>
    <row r="66" spans="1:19" ht="93.75" customHeight="1">
      <c r="A66" s="99"/>
      <c r="B66" s="150" t="s">
        <v>262</v>
      </c>
      <c r="C66" s="45" t="s">
        <v>322</v>
      </c>
      <c r="D66" s="58">
        <f>+'ACUMULADO A DICIEMBRE 2015'!T66</f>
        <v>37</v>
      </c>
      <c r="E66" s="111">
        <f>+'ACUMULADO A DICIEMBRE 2015'!V66</f>
        <v>37</v>
      </c>
      <c r="F66" s="58">
        <f>+(E66/D66)*100</f>
        <v>100</v>
      </c>
      <c r="G66" s="254"/>
      <c r="H66" s="63"/>
      <c r="I66" s="63">
        <f>+'ACUMULADO A DICIEMBRE 2015'!D66</f>
        <v>37</v>
      </c>
      <c r="J66" s="63">
        <f>+'ACUMULADO A DICIEMBRE 2015'!F66</f>
        <v>37</v>
      </c>
      <c r="K66" s="63">
        <f aca="true" t="shared" si="12" ref="K66:K72">+(J66/I66)*100</f>
        <v>100</v>
      </c>
      <c r="L66" s="360">
        <v>0</v>
      </c>
      <c r="M66" s="100">
        <f>+'ACUMULADO A DICIEMBRE 2015'!U66</f>
        <v>0</v>
      </c>
      <c r="N66" s="101">
        <f>+'ACUMULADO A DICIEMBRE 2015'!W66</f>
        <v>0</v>
      </c>
      <c r="O66" s="76">
        <v>0</v>
      </c>
      <c r="P66" s="63">
        <f>+'ACUMULADO A DICIEMBRE 2015'!E66</f>
        <v>91227792</v>
      </c>
      <c r="Q66" s="63">
        <f>+'ACUMULADO A DICIEMBRE 2015'!G66</f>
        <v>91070832</v>
      </c>
      <c r="R66" s="437">
        <f>+Q66/P66</f>
        <v>0.998279471676789</v>
      </c>
      <c r="S66" s="137"/>
    </row>
    <row r="67" spans="1:19" ht="93.75" customHeight="1">
      <c r="A67" s="99"/>
      <c r="B67" s="143" t="str">
        <f>+'ACUMULADO A DICIEMBRE 2015'!A67</f>
        <v>Documento con determinantes y lineamientos ambientales para revisión, ajuste y/o reformulación de Planes de Ordenamiento Territorial</v>
      </c>
      <c r="C67" s="45" t="str">
        <f>+'ACUMULADO A DICIEMBRE 2015'!C67</f>
        <v>Documento</v>
      </c>
      <c r="D67" s="58" t="s">
        <v>297</v>
      </c>
      <c r="E67" s="58" t="s">
        <v>297</v>
      </c>
      <c r="F67" s="58"/>
      <c r="G67" s="254"/>
      <c r="H67" s="63"/>
      <c r="I67" s="63">
        <f>+'ACUMULADO A DICIEMBRE 2015'!D67</f>
        <v>1</v>
      </c>
      <c r="J67" s="63">
        <f>+'ACUMULADO A DICIEMBRE 2015'!F67</f>
        <v>1</v>
      </c>
      <c r="K67" s="63">
        <f t="shared" si="12"/>
        <v>100</v>
      </c>
      <c r="L67" s="360"/>
      <c r="M67" s="100">
        <f>+'ACUMULADO A DICIEMBRE 2015'!U67</f>
        <v>0</v>
      </c>
      <c r="N67" s="101">
        <f>+'ACUMULADO A DICIEMBRE 2015'!W67</f>
        <v>0</v>
      </c>
      <c r="O67" s="76">
        <v>0</v>
      </c>
      <c r="P67" s="63">
        <f>+'ACUMULADO A DICIEMBRE 2015'!E67</f>
        <v>0</v>
      </c>
      <c r="Q67" s="63">
        <f>+'ACUMULADO A DICIEMBRE 2015'!G67</f>
        <v>0</v>
      </c>
      <c r="R67" s="437"/>
      <c r="S67" s="137"/>
    </row>
    <row r="68" spans="1:19" ht="57.75" customHeight="1">
      <c r="A68" s="99"/>
      <c r="B68" s="143" t="s">
        <v>263</v>
      </c>
      <c r="C68" s="45" t="s">
        <v>323</v>
      </c>
      <c r="D68" s="58">
        <f>+'ACUMULADO A DICIEMBRE 2015'!T68</f>
        <v>37</v>
      </c>
      <c r="E68" s="111">
        <f>+'ACUMULADO A DICIEMBRE 2015'!V68</f>
        <v>37</v>
      </c>
      <c r="F68" s="58">
        <f>+(E68/D68)*100</f>
        <v>100</v>
      </c>
      <c r="G68" s="254"/>
      <c r="H68" s="63"/>
      <c r="I68" s="63">
        <f>+'ACUMULADO A DICIEMBRE 2015'!D68</f>
        <v>37</v>
      </c>
      <c r="J68" s="63">
        <f>+'ACUMULADO A DICIEMBRE 2015'!F68</f>
        <v>37</v>
      </c>
      <c r="K68" s="63">
        <f t="shared" si="12"/>
        <v>100</v>
      </c>
      <c r="L68" s="360">
        <v>0.1975171</v>
      </c>
      <c r="M68" s="100">
        <f>+'ACUMULADO A DICIEMBRE 2015'!U68</f>
        <v>63205472</v>
      </c>
      <c r="N68" s="101">
        <f>+'ACUMULADO A DICIEMBRE 2015'!W68</f>
        <v>63205472</v>
      </c>
      <c r="O68" s="76">
        <f>+N68/M68*100</f>
        <v>100</v>
      </c>
      <c r="P68" s="63">
        <f>+'ACUMULADO A DICIEMBRE 2015'!E68</f>
        <v>175914025</v>
      </c>
      <c r="Q68" s="63">
        <f>+'ACUMULADO A DICIEMBRE 2015'!G68</f>
        <v>174940030</v>
      </c>
      <c r="R68" s="437">
        <f>+Q68/P68</f>
        <v>0.9944632328206918</v>
      </c>
      <c r="S68" s="137"/>
    </row>
    <row r="69" spans="1:19" ht="61.5" customHeight="1">
      <c r="A69" s="99"/>
      <c r="B69" s="143" t="s">
        <v>326</v>
      </c>
      <c r="C69" s="45" t="s">
        <v>324</v>
      </c>
      <c r="D69" s="58">
        <f>+'ACUMULADO A DICIEMBRE 2015'!T69</f>
        <v>1</v>
      </c>
      <c r="E69" s="111">
        <f>+'ACUMULADO A DICIEMBRE 2015'!V69</f>
        <v>1</v>
      </c>
      <c r="F69" s="58">
        <f>+(E69/D69)*100</f>
        <v>100</v>
      </c>
      <c r="G69" s="254"/>
      <c r="H69" s="63"/>
      <c r="I69" s="63">
        <f>+'ACUMULADO A DICIEMBRE 2015'!D69</f>
        <v>0.75</v>
      </c>
      <c r="J69" s="63">
        <f>+'ACUMULADO A DICIEMBRE 2015'!F69</f>
        <v>1</v>
      </c>
      <c r="K69" s="63">
        <v>100</v>
      </c>
      <c r="L69" s="360">
        <v>0.1783579</v>
      </c>
      <c r="M69" s="100">
        <f>+'ACUMULADO A DICIEMBRE 2015'!U69</f>
        <v>57134786</v>
      </c>
      <c r="N69" s="101">
        <f>+'ACUMULADO A DICIEMBRE 2015'!W69</f>
        <v>57068056</v>
      </c>
      <c r="O69" s="76">
        <f>+N69/M69*100</f>
        <v>99.88320600343195</v>
      </c>
      <c r="P69" s="63">
        <f>+'ACUMULADO A DICIEMBRE 2015'!E69</f>
        <v>195117896</v>
      </c>
      <c r="Q69" s="63">
        <f>+'ACUMULADO A DICIEMBRE 2015'!G69</f>
        <v>194438130</v>
      </c>
      <c r="R69" s="437">
        <f>+Q69/P69</f>
        <v>0.9965161268446642</v>
      </c>
      <c r="S69" s="137"/>
    </row>
    <row r="70" spans="1:19" ht="56.25" customHeight="1">
      <c r="A70" s="99"/>
      <c r="B70" s="143" t="s">
        <v>264</v>
      </c>
      <c r="C70" s="45" t="s">
        <v>325</v>
      </c>
      <c r="D70" s="58">
        <f>+'ACUMULADO A DICIEMBRE 2015'!T70</f>
        <v>1</v>
      </c>
      <c r="E70" s="111">
        <f>+'ACUMULADO A DICIEMBRE 2015'!V70</f>
        <v>2</v>
      </c>
      <c r="F70" s="58">
        <v>100</v>
      </c>
      <c r="G70" s="254"/>
      <c r="H70" s="63"/>
      <c r="I70" s="63">
        <f>+'ACUMULADO A DICIEMBRE 2015'!D70</f>
        <v>4</v>
      </c>
      <c r="J70" s="63">
        <f>+'ACUMULADO A DICIEMBRE 2015'!F70</f>
        <v>5</v>
      </c>
      <c r="K70" s="63">
        <v>100</v>
      </c>
      <c r="L70" s="360">
        <v>0.53125</v>
      </c>
      <c r="M70" s="100">
        <f>+'ACUMULADO A DICIEMBRE 2015'!U70</f>
        <v>169992887</v>
      </c>
      <c r="N70" s="101">
        <f>+'ACUMULADO A DICIEMBRE 2015'!W70</f>
        <v>169992887</v>
      </c>
      <c r="O70" s="76">
        <f>+(N70/M70)*100</f>
        <v>100</v>
      </c>
      <c r="P70" s="63">
        <f>+'ACUMULADO A DICIEMBRE 2015'!E70</f>
        <v>384269381</v>
      </c>
      <c r="Q70" s="63">
        <f>+'ACUMULADO A DICIEMBRE 2015'!G70</f>
        <v>384224581</v>
      </c>
      <c r="R70" s="437">
        <f>+Q70/P70</f>
        <v>0.9998834151191452</v>
      </c>
      <c r="S70" s="137"/>
    </row>
    <row r="71" spans="1:19" ht="44.25" customHeight="1">
      <c r="A71" s="99"/>
      <c r="B71" s="143" t="s">
        <v>211</v>
      </c>
      <c r="C71" s="61" t="s">
        <v>212</v>
      </c>
      <c r="D71" s="46" t="s">
        <v>297</v>
      </c>
      <c r="E71" s="46" t="s">
        <v>297</v>
      </c>
      <c r="F71" s="58"/>
      <c r="G71" s="254"/>
      <c r="H71" s="63"/>
      <c r="I71" s="63">
        <f>+'ACUMULADO A DICIEMBRE 2015'!D71</f>
        <v>1</v>
      </c>
      <c r="J71" s="63">
        <f>+'ACUMULADO A DICIEMBRE 2015'!F71</f>
        <v>0.5</v>
      </c>
      <c r="K71" s="63">
        <v>100</v>
      </c>
      <c r="L71" s="360">
        <v>0.092875</v>
      </c>
      <c r="M71" s="100">
        <f>+'ACUMULADO A DICIEMBRE 2015'!U71</f>
        <v>0</v>
      </c>
      <c r="N71" s="101">
        <f>+'ACUMULADO A DICIEMBRE 2015'!W71</f>
        <v>0</v>
      </c>
      <c r="O71" s="76">
        <v>0</v>
      </c>
      <c r="P71" s="63">
        <f>+'ACUMULADO A DICIEMBRE 2015'!E71</f>
        <v>68077092</v>
      </c>
      <c r="Q71" s="63">
        <f>+'ACUMULADO A DICIEMBRE 2015'!G71</f>
        <v>18230868</v>
      </c>
      <c r="R71" s="437">
        <f>+Q71/P71</f>
        <v>0.2677973965162907</v>
      </c>
      <c r="S71" s="137"/>
    </row>
    <row r="72" spans="1:19" ht="39" customHeight="1">
      <c r="A72" s="99"/>
      <c r="B72" s="143" t="s">
        <v>206</v>
      </c>
      <c r="C72" s="62" t="s">
        <v>207</v>
      </c>
      <c r="D72" s="46">
        <f>+'ACUMULADO A DICIEMBRE 2015'!T72</f>
        <v>100</v>
      </c>
      <c r="E72" s="111">
        <f>+'ACUMULADO A DICIEMBRE 2015'!V72</f>
        <v>98</v>
      </c>
      <c r="F72" s="58">
        <f>+(E72/D72)*100</f>
        <v>98</v>
      </c>
      <c r="G72" s="254"/>
      <c r="H72" s="63"/>
      <c r="I72" s="63">
        <f>+'ACUMULADO A DICIEMBRE 2015'!D72</f>
        <v>100</v>
      </c>
      <c r="J72" s="63">
        <f>+'ACUMULADO A DICIEMBRE 2015'!F72</f>
        <v>97.75</v>
      </c>
      <c r="K72" s="63">
        <f t="shared" si="12"/>
        <v>97.75</v>
      </c>
      <c r="L72" s="360"/>
      <c r="M72" s="100">
        <f>+'ACUMULADO A DICIEMBRE 2015'!U72</f>
        <v>29666855</v>
      </c>
      <c r="N72" s="101">
        <f>+'ACUMULADO A DICIEMBRE 2015'!W72</f>
        <v>29062984</v>
      </c>
      <c r="O72" s="76">
        <f>+(N72/M72)*100</f>
        <v>97.96449269732163</v>
      </c>
      <c r="P72" s="63">
        <f>+'ACUMULADO A DICIEMBRE 2015'!E72</f>
        <v>83393814</v>
      </c>
      <c r="Q72" s="63">
        <f>+'ACUMULADO A DICIEMBRE 2015'!G72</f>
        <v>82423841</v>
      </c>
      <c r="R72" s="437">
        <f>+Q72/P72</f>
        <v>0.9883687655777442</v>
      </c>
      <c r="S72" s="137"/>
    </row>
    <row r="73" spans="1:19" ht="61.5" customHeight="1">
      <c r="A73" s="99"/>
      <c r="B73" s="134" t="s">
        <v>265</v>
      </c>
      <c r="C73" s="83"/>
      <c r="D73" s="69"/>
      <c r="E73" s="69"/>
      <c r="F73" s="432">
        <f>AVERAGE(F74:F79)</f>
        <v>100</v>
      </c>
      <c r="G73" s="253"/>
      <c r="H73" s="66"/>
      <c r="I73" s="69"/>
      <c r="J73" s="69"/>
      <c r="K73" s="66">
        <f>AVERAGE(K74:K79)</f>
        <v>98.71794871794873</v>
      </c>
      <c r="L73" s="66"/>
      <c r="M73" s="79">
        <f>SUM(M74:M79)</f>
        <v>4242470651</v>
      </c>
      <c r="N73" s="79">
        <f>SUM(N74:N79)</f>
        <v>4239145904</v>
      </c>
      <c r="O73" s="66">
        <f>+N73/M73*100</f>
        <v>99.92163182085382</v>
      </c>
      <c r="P73" s="66">
        <f>+SUM(P74:P79)</f>
        <v>14074383291</v>
      </c>
      <c r="Q73" s="66">
        <f>+SUM(Q74:Q79)</f>
        <v>13629801103</v>
      </c>
      <c r="R73" s="66">
        <f>+(Q73/P73)*100</f>
        <v>96.84119596000848</v>
      </c>
      <c r="S73" s="137"/>
    </row>
    <row r="74" spans="1:19" ht="54.75" customHeight="1">
      <c r="A74" s="99"/>
      <c r="B74" s="136" t="s">
        <v>266</v>
      </c>
      <c r="C74" s="45" t="s">
        <v>327</v>
      </c>
      <c r="D74" s="58">
        <f>+'ACUMULADO A DICIEMBRE 2015'!T74</f>
        <v>37</v>
      </c>
      <c r="E74" s="58">
        <f>+'ACUMULADO A DICIEMBRE 2015'!V74</f>
        <v>37</v>
      </c>
      <c r="F74" s="58">
        <f aca="true" t="shared" si="13" ref="F74:F79">+(E74/D74)*100</f>
        <v>100</v>
      </c>
      <c r="G74" s="254"/>
      <c r="H74" s="63"/>
      <c r="I74" s="63">
        <f>+'ACUMULADO A DICIEMBRE 2015'!D74</f>
        <v>37</v>
      </c>
      <c r="J74" s="63">
        <f>+'ACUMULADO A DICIEMBRE 2015'!F74</f>
        <v>37</v>
      </c>
      <c r="K74" s="63">
        <f aca="true" t="shared" si="14" ref="K74:K79">+(J74/I74)*100</f>
        <v>100</v>
      </c>
      <c r="L74" s="360">
        <v>0</v>
      </c>
      <c r="M74" s="100">
        <f>+'ACUMULADO A DICIEMBRE 2015'!U74</f>
        <v>0</v>
      </c>
      <c r="N74" s="100">
        <f>+'ACUMULADO A DICIEMBRE 2015'!W74</f>
        <v>0</v>
      </c>
      <c r="O74" s="63">
        <v>0</v>
      </c>
      <c r="P74" s="63">
        <f>+'ACUMULADO A DICIEMBRE 2015'!E74</f>
        <v>0</v>
      </c>
      <c r="Q74" s="63">
        <f>+'ACUMULADO A DICIEMBRE 2015'!G74</f>
        <v>0</v>
      </c>
      <c r="R74" s="437">
        <v>0</v>
      </c>
      <c r="S74" s="137"/>
    </row>
    <row r="75" spans="1:19" ht="66" customHeight="1">
      <c r="A75" s="99"/>
      <c r="B75" s="139" t="s">
        <v>267</v>
      </c>
      <c r="C75" s="45" t="s">
        <v>328</v>
      </c>
      <c r="D75" s="58">
        <f>+'ACUMULADO A DICIEMBRE 2015'!T75</f>
        <v>38</v>
      </c>
      <c r="E75" s="58">
        <f>+'ACUMULADO A DICIEMBRE 2015'!V75</f>
        <v>38</v>
      </c>
      <c r="F75" s="58">
        <f t="shared" si="13"/>
        <v>100</v>
      </c>
      <c r="G75" s="254"/>
      <c r="H75" s="63"/>
      <c r="I75" s="63">
        <f>+'ACUMULADO A DICIEMBRE 2015'!D75</f>
        <v>38</v>
      </c>
      <c r="J75" s="63">
        <f>+'ACUMULADO A DICIEMBRE 2015'!F75</f>
        <v>38</v>
      </c>
      <c r="K75" s="63">
        <f t="shared" si="14"/>
        <v>100</v>
      </c>
      <c r="L75" s="360">
        <v>0.023520541123298624</v>
      </c>
      <c r="M75" s="100">
        <f>+'ACUMULADO A DICIEMBRE 2015'!U75</f>
        <v>99550000</v>
      </c>
      <c r="N75" s="100">
        <f>+'ACUMULADO A DICIEMBRE 2015'!W75</f>
        <v>98727761</v>
      </c>
      <c r="O75" s="76">
        <f>+(N75/M75)*100</f>
        <v>99.17404419889503</v>
      </c>
      <c r="P75" s="63">
        <f>+'ACUMULADO A DICIEMBRE 2015'!E75</f>
        <v>378606728</v>
      </c>
      <c r="Q75" s="63">
        <f>+'ACUMULADO A DICIEMBRE 2015'!G75</f>
        <v>323312209</v>
      </c>
      <c r="R75" s="437">
        <f>+Q75/P75</f>
        <v>0.8539526244235153</v>
      </c>
      <c r="S75" s="137"/>
    </row>
    <row r="76" spans="1:19" ht="56.25" customHeight="1">
      <c r="A76" s="99"/>
      <c r="B76" s="139" t="s">
        <v>268</v>
      </c>
      <c r="C76" s="45" t="s">
        <v>315</v>
      </c>
      <c r="D76" s="58">
        <f>+'ACUMULADO A DICIEMBRE 2015'!T76</f>
        <v>2</v>
      </c>
      <c r="E76" s="58">
        <f>+'ACUMULADO A DICIEMBRE 2015'!V76</f>
        <v>2</v>
      </c>
      <c r="F76" s="58">
        <f t="shared" si="13"/>
        <v>100</v>
      </c>
      <c r="G76" s="254"/>
      <c r="H76" s="63"/>
      <c r="I76" s="63">
        <f>+'ACUMULADO A DICIEMBRE 2015'!D76</f>
        <v>13</v>
      </c>
      <c r="J76" s="63">
        <f>+'ACUMULADO A DICIEMBRE 2015'!F76</f>
        <v>12</v>
      </c>
      <c r="K76" s="63">
        <f t="shared" si="14"/>
        <v>92.3076923076923</v>
      </c>
      <c r="L76" s="360">
        <v>0.2906742424095311</v>
      </c>
      <c r="M76" s="100">
        <f>+'ACUMULADO A DICIEMBRE 2015'!U76</f>
        <v>1240270200</v>
      </c>
      <c r="N76" s="100">
        <f>+'ACUMULADO A DICIEMBRE 2015'!W76</f>
        <v>1239855020</v>
      </c>
      <c r="O76" s="76">
        <f>+(N76/M76)*100</f>
        <v>99.96652503623807</v>
      </c>
      <c r="P76" s="63">
        <f>+'ACUMULADO A DICIEMBRE 2015'!E76</f>
        <v>4248300841</v>
      </c>
      <c r="Q76" s="63">
        <f>+'ACUMULADO A DICIEMBRE 2015'!G76</f>
        <v>3868513103</v>
      </c>
      <c r="R76" s="437">
        <f>+Q76/P76</f>
        <v>0.9106024379595014</v>
      </c>
      <c r="S76" s="137"/>
    </row>
    <row r="77" spans="1:19" ht="160.5" customHeight="1">
      <c r="A77" s="99"/>
      <c r="B77" s="139" t="s">
        <v>269</v>
      </c>
      <c r="C77" s="45" t="s">
        <v>272</v>
      </c>
      <c r="D77" s="58">
        <f>+'ACUMULADO A DICIEMBRE 2015'!T77</f>
        <v>6</v>
      </c>
      <c r="E77" s="58">
        <f>+'ACUMULADO A DICIEMBRE 2015'!V77</f>
        <v>6</v>
      </c>
      <c r="F77" s="58">
        <f>+(E77/D77)*100</f>
        <v>100</v>
      </c>
      <c r="G77" s="254"/>
      <c r="H77" s="63"/>
      <c r="I77" s="63">
        <f>+'ACUMULADO A DICIEMBRE 2015'!D77</f>
        <v>32</v>
      </c>
      <c r="J77" s="63">
        <f>+'ACUMULADO A DICIEMBRE 2015'!F77</f>
        <v>32</v>
      </c>
      <c r="K77" s="63">
        <f t="shared" si="14"/>
        <v>100</v>
      </c>
      <c r="L77" s="360">
        <v>0.6046858263258871</v>
      </c>
      <c r="M77" s="100">
        <f>+'ACUMULADO A DICIEMBRE 2015'!U77</f>
        <v>2559315013</v>
      </c>
      <c r="N77" s="100">
        <f>+'ACUMULADO A DICIEMBRE 2015'!W77</f>
        <v>2557227688</v>
      </c>
      <c r="O77" s="76">
        <v>0</v>
      </c>
      <c r="P77" s="63">
        <f>+'ACUMULADO A DICIEMBRE 2015'!E77</f>
        <v>9049505788</v>
      </c>
      <c r="Q77" s="63">
        <f>+'ACUMULADO A DICIEMBRE 2015'!G77</f>
        <v>9040005860</v>
      </c>
      <c r="R77" s="437">
        <f>+Q77/P77</f>
        <v>0.9989502268717705</v>
      </c>
      <c r="S77" s="137"/>
    </row>
    <row r="78" spans="1:19" ht="68.25" customHeight="1">
      <c r="A78" s="99"/>
      <c r="B78" s="139" t="s">
        <v>270</v>
      </c>
      <c r="C78" s="45" t="s">
        <v>329</v>
      </c>
      <c r="D78" s="58">
        <f>+'ACUMULADO A DICIEMBRE 2015'!T78</f>
        <v>6</v>
      </c>
      <c r="E78" s="58">
        <f>+'ACUMULADO A DICIEMBRE 2015'!V78</f>
        <v>8</v>
      </c>
      <c r="F78" s="58">
        <v>100</v>
      </c>
      <c r="G78" s="254"/>
      <c r="H78" s="63"/>
      <c r="I78" s="63">
        <f>+'ACUMULADO A DICIEMBRE 2015'!D78</f>
        <v>6</v>
      </c>
      <c r="J78" s="63">
        <f>+'ACUMULADO A DICIEMBRE 2015'!F78</f>
        <v>8</v>
      </c>
      <c r="K78" s="63">
        <v>100</v>
      </c>
      <c r="L78" s="360">
        <v>0.08111939014128322</v>
      </c>
      <c r="M78" s="100">
        <f>+'ACUMULADO A DICIEMBRE 2015'!U78</f>
        <v>343335438</v>
      </c>
      <c r="N78" s="100">
        <f>+'ACUMULADO A DICIEMBRE 2015'!W78</f>
        <v>343335435</v>
      </c>
      <c r="O78" s="76">
        <v>0</v>
      </c>
      <c r="P78" s="63">
        <f>+'ACUMULADO A DICIEMBRE 2015'!E78</f>
        <v>343335438</v>
      </c>
      <c r="Q78" s="63">
        <f>+'ACUMULADO A DICIEMBRE 2015'!G78</f>
        <v>343335435</v>
      </c>
      <c r="R78" s="437">
        <f>+Q78/P78</f>
        <v>0.9999999912621895</v>
      </c>
      <c r="S78" s="137"/>
    </row>
    <row r="79" spans="1:19" ht="102.75" customHeight="1">
      <c r="A79" s="99"/>
      <c r="B79" s="139" t="s">
        <v>271</v>
      </c>
      <c r="C79" s="45" t="s">
        <v>330</v>
      </c>
      <c r="D79" s="58">
        <f>+'ACUMULADO A DICIEMBRE 2015'!T79</f>
        <v>37</v>
      </c>
      <c r="E79" s="58">
        <f>+'ACUMULADO A DICIEMBRE 2015'!V79</f>
        <v>37</v>
      </c>
      <c r="F79" s="58">
        <f t="shared" si="13"/>
        <v>100</v>
      </c>
      <c r="G79" s="254"/>
      <c r="H79" s="63"/>
      <c r="I79" s="63">
        <f>+'ACUMULADO A DICIEMBRE 2015'!D79</f>
        <v>37</v>
      </c>
      <c r="J79" s="63">
        <f>+'ACUMULADO A DICIEMBRE 2015'!F79</f>
        <v>37</v>
      </c>
      <c r="K79" s="63">
        <f t="shared" si="14"/>
        <v>100</v>
      </c>
      <c r="L79" s="360">
        <v>0</v>
      </c>
      <c r="M79" s="100">
        <f>+'ACUMULADO A DICIEMBRE 2015'!U79</f>
        <v>0</v>
      </c>
      <c r="N79" s="100">
        <f>+'ACUMULADO A DICIEMBRE 2015'!W79</f>
        <v>0</v>
      </c>
      <c r="O79" s="76">
        <v>0</v>
      </c>
      <c r="P79" s="63">
        <f>+'ACUMULADO A DICIEMBRE 2015'!E79</f>
        <v>54634496</v>
      </c>
      <c r="Q79" s="63">
        <f>+'ACUMULADO A DICIEMBRE 2015'!G79</f>
        <v>54634496</v>
      </c>
      <c r="R79" s="437">
        <f>+Q79/P79</f>
        <v>1</v>
      </c>
      <c r="S79" s="137"/>
    </row>
    <row r="80" spans="1:19" ht="51" customHeight="1">
      <c r="A80" s="99"/>
      <c r="B80" s="142" t="s">
        <v>273</v>
      </c>
      <c r="C80" s="88"/>
      <c r="D80" s="72"/>
      <c r="E80" s="72"/>
      <c r="F80" s="434">
        <f>AVERAGE(F81,F102)</f>
        <v>100</v>
      </c>
      <c r="G80" s="64"/>
      <c r="H80" s="64"/>
      <c r="I80" s="72"/>
      <c r="J80" s="72"/>
      <c r="K80" s="64">
        <f>AVERAGE(K81,K102)</f>
        <v>98.63152472527472</v>
      </c>
      <c r="L80" s="64"/>
      <c r="M80" s="80">
        <f>+M81+M102</f>
        <v>5406115520.308001</v>
      </c>
      <c r="N80" s="80">
        <f>+N81+N102</f>
        <v>5301354435.4279995</v>
      </c>
      <c r="O80" s="64">
        <f>+N80/M80*100</f>
        <v>98.06217450429115</v>
      </c>
      <c r="P80" s="80">
        <f>+P81+P102</f>
        <v>10771243711.707998</v>
      </c>
      <c r="Q80" s="80">
        <f>+Q81+Q102</f>
        <v>10463736607.428</v>
      </c>
      <c r="R80" s="64">
        <f>+Q80/P80*100</f>
        <v>97.14511051360068</v>
      </c>
      <c r="S80" s="137"/>
    </row>
    <row r="81" spans="1:19" ht="63.75" customHeight="1">
      <c r="A81" s="99"/>
      <c r="B81" s="134" t="s">
        <v>274</v>
      </c>
      <c r="C81" s="89"/>
      <c r="D81" s="70"/>
      <c r="E81" s="69"/>
      <c r="F81" s="432">
        <f>AVERAGE(F82:F101)</f>
        <v>100</v>
      </c>
      <c r="G81" s="66"/>
      <c r="H81" s="66"/>
      <c r="I81" s="69"/>
      <c r="J81" s="70"/>
      <c r="K81" s="66">
        <f>AVERAGE(K82:K101)</f>
        <v>99.0625</v>
      </c>
      <c r="L81" s="66"/>
      <c r="M81" s="78">
        <f>SUM(M82:M101)</f>
        <v>3850353134.168</v>
      </c>
      <c r="N81" s="78">
        <f>SUM(N82:N101)</f>
        <v>3792698320.4</v>
      </c>
      <c r="O81" s="66">
        <f>+N81/M81*100</f>
        <v>98.50260971503181</v>
      </c>
      <c r="P81" s="78">
        <f>SUM(P82:P101)</f>
        <v>8080600432.567999</v>
      </c>
      <c r="Q81" s="78">
        <f>SUM(Q82:Q101)</f>
        <v>7835175779.4</v>
      </c>
      <c r="R81" s="66">
        <f>+(Q81/P81)*100</f>
        <v>96.96279187151933</v>
      </c>
      <c r="S81" s="137"/>
    </row>
    <row r="82" spans="1:19" ht="93" customHeight="1">
      <c r="A82" s="99"/>
      <c r="B82" s="136" t="s">
        <v>144</v>
      </c>
      <c r="C82" s="45" t="s">
        <v>327</v>
      </c>
      <c r="D82" s="58">
        <f>+'ACUMULADO A DICIEMBRE 2015'!T82</f>
        <v>37</v>
      </c>
      <c r="E82" s="121">
        <f>+'ACUMULADO A DICIEMBRE 2015'!V82</f>
        <v>37</v>
      </c>
      <c r="F82" s="58">
        <f>+(E82/D82)*100</f>
        <v>100</v>
      </c>
      <c r="G82" s="254"/>
      <c r="H82" s="63"/>
      <c r="I82" s="63">
        <f>+'ACUMULADO A DICIEMBRE 2015'!D82</f>
        <v>37</v>
      </c>
      <c r="J82" s="63">
        <f>+'ACUMULADO A DICIEMBRE 2015'!F82</f>
        <v>37</v>
      </c>
      <c r="K82" s="63">
        <f aca="true" t="shared" si="15" ref="K82:K109">+(J82/I82)*100</f>
        <v>100</v>
      </c>
      <c r="L82" s="360">
        <v>0</v>
      </c>
      <c r="M82" s="100">
        <f>+'ACUMULADO A DICIEMBRE 2015'!U82</f>
        <v>0</v>
      </c>
      <c r="N82" s="100">
        <f>+'ACUMULADO A DICIEMBRE 2015'!W82</f>
        <v>0</v>
      </c>
      <c r="O82" s="63">
        <v>0</v>
      </c>
      <c r="P82" s="63">
        <f>+'ACUMULADO A DICIEMBRE 2015'!E82</f>
        <v>0</v>
      </c>
      <c r="Q82" s="63">
        <f>+'ACUMULADO A DICIEMBRE 2015'!G82</f>
        <v>0</v>
      </c>
      <c r="R82" s="437">
        <v>0</v>
      </c>
      <c r="S82" s="137"/>
    </row>
    <row r="83" spans="1:19" ht="49.5" customHeight="1">
      <c r="A83" s="99"/>
      <c r="B83" s="136" t="s">
        <v>275</v>
      </c>
      <c r="C83" s="45" t="s">
        <v>1</v>
      </c>
      <c r="D83" s="58">
        <f>+'ACUMULADO A DICIEMBRE 2015'!T83</f>
        <v>70</v>
      </c>
      <c r="E83" s="121">
        <f>+'ACUMULADO A DICIEMBRE 2015'!V83</f>
        <v>71</v>
      </c>
      <c r="F83" s="58">
        <v>100</v>
      </c>
      <c r="G83" s="254"/>
      <c r="H83" s="63"/>
      <c r="I83" s="63">
        <f>+'ACUMULADO A DICIEMBRE 2015'!D83</f>
        <v>60</v>
      </c>
      <c r="J83" s="63">
        <f>+'ACUMULADO A DICIEMBRE 2015'!F83</f>
        <v>70</v>
      </c>
      <c r="K83" s="63">
        <v>100</v>
      </c>
      <c r="L83" s="360">
        <v>0</v>
      </c>
      <c r="M83" s="100">
        <f>+'ACUMULADO A DICIEMBRE 2015'!U83</f>
        <v>0</v>
      </c>
      <c r="N83" s="100">
        <f>+'ACUMULADO A DICIEMBRE 2015'!W83</f>
        <v>0</v>
      </c>
      <c r="O83" s="63">
        <v>0</v>
      </c>
      <c r="P83" s="63">
        <f>+'ACUMULADO A DICIEMBRE 2015'!E83</f>
        <v>0</v>
      </c>
      <c r="Q83" s="63">
        <f>+'ACUMULADO A DICIEMBRE 2015'!G83</f>
        <v>0</v>
      </c>
      <c r="R83" s="437">
        <v>0</v>
      </c>
      <c r="S83" s="137"/>
    </row>
    <row r="84" spans="1:19" ht="111" customHeight="1">
      <c r="A84" s="99"/>
      <c r="B84" s="136" t="s">
        <v>276</v>
      </c>
      <c r="C84" s="45" t="s">
        <v>1</v>
      </c>
      <c r="D84" s="58">
        <f>+'ACUMULADO A DICIEMBRE 2015'!T84</f>
        <v>90</v>
      </c>
      <c r="E84" s="121">
        <f>+'ACUMULADO A DICIEMBRE 2015'!V84</f>
        <v>94</v>
      </c>
      <c r="F84" s="58">
        <v>100</v>
      </c>
      <c r="G84" s="254"/>
      <c r="H84" s="63">
        <f>+(E84/D84)*100</f>
        <v>104.44444444444446</v>
      </c>
      <c r="I84" s="63">
        <f>+'ACUMULADO A DICIEMBRE 2015'!D84</f>
        <v>67.5</v>
      </c>
      <c r="J84" s="63">
        <f>+'ACUMULADO A DICIEMBRE 2015'!F84</f>
        <v>94.5</v>
      </c>
      <c r="K84" s="63">
        <v>100</v>
      </c>
      <c r="L84" s="360">
        <v>0.010096027232886124</v>
      </c>
      <c r="M84" s="100">
        <f>+'ACUMULADO A DICIEMBRE 2015'!U84</f>
        <v>37466870.4</v>
      </c>
      <c r="N84" s="100">
        <f>+'ACUMULADO A DICIEMBRE 2015'!W84</f>
        <v>37466870.4</v>
      </c>
      <c r="O84" s="63">
        <f>+(N84/M84)*100</f>
        <v>100</v>
      </c>
      <c r="P84" s="63">
        <f>+'ACUMULADO A DICIEMBRE 2015'!E84</f>
        <v>123271409.4</v>
      </c>
      <c r="Q84" s="63">
        <f>+'ACUMULADO A DICIEMBRE 2015'!G84</f>
        <v>123271409.4</v>
      </c>
      <c r="R84" s="437">
        <f>+Q84/P84</f>
        <v>1</v>
      </c>
      <c r="S84" s="137"/>
    </row>
    <row r="85" spans="1:19" ht="83.25" customHeight="1">
      <c r="A85" s="99"/>
      <c r="B85" s="139" t="s">
        <v>277</v>
      </c>
      <c r="C85" s="45" t="s">
        <v>327</v>
      </c>
      <c r="D85" s="58">
        <f>+'ACUMULADO A DICIEMBRE 2015'!T85</f>
        <v>37</v>
      </c>
      <c r="E85" s="121">
        <f>+'ACUMULADO A DICIEMBRE 2015'!V85</f>
        <v>37</v>
      </c>
      <c r="F85" s="58">
        <f>+(E85/D85)*100</f>
        <v>100</v>
      </c>
      <c r="G85" s="254"/>
      <c r="H85" s="63"/>
      <c r="I85" s="63">
        <f>+'ACUMULADO A DICIEMBRE 2015'!D85</f>
        <v>37</v>
      </c>
      <c r="J85" s="63">
        <f>+'ACUMULADO A DICIEMBRE 2015'!F85</f>
        <v>37</v>
      </c>
      <c r="K85" s="63">
        <f t="shared" si="15"/>
        <v>100</v>
      </c>
      <c r="L85" s="360">
        <v>0.008974246578935141</v>
      </c>
      <c r="M85" s="100">
        <f>+'ACUMULADO A DICIEMBRE 2015'!U85</f>
        <v>30223269.432</v>
      </c>
      <c r="N85" s="100">
        <f>+'ACUMULADO A DICIEMBRE 2015'!W85</f>
        <v>30223269</v>
      </c>
      <c r="O85" s="63">
        <f>+(N85/M85)*100</f>
        <v>99.99999857063776</v>
      </c>
      <c r="P85" s="63">
        <f>+'ACUMULADO A DICIEMBRE 2015'!E85</f>
        <v>53865536.4</v>
      </c>
      <c r="Q85" s="63">
        <f>+'ACUMULADO A DICIEMBRE 2015'!G85</f>
        <v>46621935</v>
      </c>
      <c r="R85" s="437">
        <v>0</v>
      </c>
      <c r="S85" s="137"/>
    </row>
    <row r="86" spans="1:19" ht="93.75" customHeight="1">
      <c r="A86" s="99"/>
      <c r="B86" s="136" t="s">
        <v>278</v>
      </c>
      <c r="C86" s="45" t="s">
        <v>331</v>
      </c>
      <c r="D86" s="58">
        <f>+'ACUMULADO A DICIEMBRE 2015'!T86</f>
        <v>1</v>
      </c>
      <c r="E86" s="121">
        <f>+'ACUMULADO A DICIEMBRE 2015'!V86</f>
        <v>1</v>
      </c>
      <c r="F86" s="58">
        <f>+(E86/D86)*100</f>
        <v>100</v>
      </c>
      <c r="G86" s="254"/>
      <c r="H86" s="63"/>
      <c r="I86" s="63">
        <f>+'ACUMULADO A DICIEMBRE 2015'!D86</f>
        <v>1</v>
      </c>
      <c r="J86" s="63">
        <f>+'ACUMULADO A DICIEMBRE 2015'!F86</f>
        <v>1</v>
      </c>
      <c r="K86" s="63">
        <f t="shared" si="15"/>
        <v>100</v>
      </c>
      <c r="L86" s="360">
        <v>0</v>
      </c>
      <c r="M86" s="100">
        <f>+'ACUMULADO A DICIEMBRE 2015'!U86</f>
        <v>18331094</v>
      </c>
      <c r="N86" s="100">
        <f>+'ACUMULADO A DICIEMBRE 2015'!W86</f>
        <v>18072000</v>
      </c>
      <c r="O86" s="63">
        <f>+(N86/M86)*100</f>
        <v>98.58658735807039</v>
      </c>
      <c r="P86" s="63">
        <f>+'ACUMULADO A DICIEMBRE 2015'!E86</f>
        <v>398056074.432</v>
      </c>
      <c r="Q86" s="63">
        <f>+'ACUMULADO A DICIEMBRE 2015'!G86</f>
        <v>385582841</v>
      </c>
      <c r="R86" s="437">
        <f aca="true" t="shared" si="16" ref="R86:R101">+Q86/P86</f>
        <v>0.9686646323641751</v>
      </c>
      <c r="S86" s="137"/>
    </row>
    <row r="87" spans="1:19" ht="51.75" customHeight="1">
      <c r="A87" s="99"/>
      <c r="B87" s="139" t="s">
        <v>279</v>
      </c>
      <c r="C87" s="151" t="s">
        <v>444</v>
      </c>
      <c r="D87" s="58" t="s">
        <v>297</v>
      </c>
      <c r="E87" s="58" t="s">
        <v>297</v>
      </c>
      <c r="F87" s="60"/>
      <c r="G87" s="257"/>
      <c r="H87" s="18"/>
      <c r="I87" s="63">
        <f>+'ACUMULADO A DICIEMBRE 2015'!D87</f>
        <v>0.75</v>
      </c>
      <c r="J87" s="63">
        <f>+'ACUMULADO A DICIEMBRE 2015'!F87</f>
        <v>0.75</v>
      </c>
      <c r="K87" s="63">
        <v>100</v>
      </c>
      <c r="L87" s="361"/>
      <c r="M87" s="58" t="s">
        <v>551</v>
      </c>
      <c r="N87" s="58" t="s">
        <v>551</v>
      </c>
      <c r="O87" s="63">
        <f>+(N88/M88)*100</f>
        <v>99.95333333333333</v>
      </c>
      <c r="P87" s="63">
        <f>+'ACUMULADO A DICIEMBRE 2015'!E87</f>
        <v>135384960</v>
      </c>
      <c r="Q87" s="63">
        <f>+'ACUMULADO A DICIEMBRE 2015'!G87</f>
        <v>116984396</v>
      </c>
      <c r="R87" s="437">
        <f t="shared" si="16"/>
        <v>0.8640870891419549</v>
      </c>
      <c r="S87" s="137"/>
    </row>
    <row r="88" spans="1:19" ht="56.25" customHeight="1">
      <c r="A88" s="99"/>
      <c r="B88" s="139" t="s">
        <v>280</v>
      </c>
      <c r="C88" s="45" t="s">
        <v>332</v>
      </c>
      <c r="D88" s="58">
        <f>+'ACUMULADO A DICIEMBRE 2015'!T88</f>
        <v>771</v>
      </c>
      <c r="E88" s="121">
        <f>+'ACUMULADO A DICIEMBRE 2015'!V88</f>
        <v>781</v>
      </c>
      <c r="F88" s="58">
        <v>100</v>
      </c>
      <c r="G88" s="254"/>
      <c r="H88" s="63"/>
      <c r="I88" s="63">
        <f>+'ACUMULADO A DICIEMBRE 2015'!D88</f>
        <v>2171</v>
      </c>
      <c r="J88" s="63">
        <f>+'ACUMULADO A DICIEMBRE 2015'!F88</f>
        <v>2182</v>
      </c>
      <c r="K88" s="63">
        <v>100</v>
      </c>
      <c r="L88" s="360">
        <v>0.008116299553566393</v>
      </c>
      <c r="M88" s="100">
        <f>+'ACUMULADO A DICIEMBRE 2015'!U88</f>
        <v>30120000</v>
      </c>
      <c r="N88" s="100">
        <f>+'ACUMULADO A DICIEMBRE 2015'!W88</f>
        <v>30105944</v>
      </c>
      <c r="O88" s="63">
        <f>+N88/M88*100</f>
        <v>99.95333333333333</v>
      </c>
      <c r="P88" s="63">
        <f>+'ACUMULADO A DICIEMBRE 2015'!E88</f>
        <v>81423980</v>
      </c>
      <c r="Q88" s="63">
        <f>+'ACUMULADO A DICIEMBRE 2015'!G88</f>
        <v>81309944</v>
      </c>
      <c r="R88" s="437">
        <f t="shared" si="16"/>
        <v>0.9985994789250047</v>
      </c>
      <c r="S88" s="137"/>
    </row>
    <row r="89" spans="1:19" ht="120.75" customHeight="1">
      <c r="A89" s="99"/>
      <c r="B89" s="136" t="s">
        <v>156</v>
      </c>
      <c r="C89" s="45" t="s">
        <v>1</v>
      </c>
      <c r="D89" s="58">
        <v>50</v>
      </c>
      <c r="E89" s="121">
        <f>+'ACUMULADO A DICIEMBRE 2015'!V89</f>
        <v>50</v>
      </c>
      <c r="F89" s="58">
        <f aca="true" t="shared" si="17" ref="F89:F100">+(E89/D89)*100</f>
        <v>100</v>
      </c>
      <c r="G89" s="254"/>
      <c r="H89" s="63">
        <f>+(E89/D89)*100</f>
        <v>100</v>
      </c>
      <c r="I89" s="63">
        <f>+'ACUMULADO A DICIEMBRE 2015'!D89</f>
        <v>35</v>
      </c>
      <c r="J89" s="63">
        <f>+'ACUMULADO A DICIEMBRE 2015'!F89</f>
        <v>43.75</v>
      </c>
      <c r="K89" s="63">
        <v>100</v>
      </c>
      <c r="L89" s="360">
        <v>0.02155723653005682</v>
      </c>
      <c r="M89" s="100">
        <f>+'ACUMULADO A DICIEMBRE 2015'!U89</f>
        <v>70732315</v>
      </c>
      <c r="N89" s="100">
        <f>+'ACUMULADO A DICIEMBRE 2015'!W89</f>
        <v>63880906</v>
      </c>
      <c r="O89" s="63">
        <f>+N89/M89*100</f>
        <v>90.31360842636072</v>
      </c>
      <c r="P89" s="63">
        <f>+'ACUMULADO A DICIEMBRE 2015'!E89</f>
        <v>209526482</v>
      </c>
      <c r="Q89" s="63">
        <f>+'ACUMULADO A DICIEMBRE 2015'!G89</f>
        <v>202675073</v>
      </c>
      <c r="R89" s="437">
        <f t="shared" si="16"/>
        <v>0.9673005104910796</v>
      </c>
      <c r="S89" s="137"/>
    </row>
    <row r="90" spans="1:19" ht="42.75" customHeight="1">
      <c r="A90" s="99"/>
      <c r="B90" s="139" t="s">
        <v>281</v>
      </c>
      <c r="C90" s="45" t="s">
        <v>333</v>
      </c>
      <c r="D90" s="58">
        <f>+'ACUMULADO A DICIEMBRE 2015'!T90</f>
        <v>90</v>
      </c>
      <c r="E90" s="121">
        <f>+'ACUMULADO A DICIEMBRE 2015'!V90</f>
        <v>90</v>
      </c>
      <c r="F90" s="58">
        <f t="shared" si="17"/>
        <v>100</v>
      </c>
      <c r="G90" s="254"/>
      <c r="H90" s="63"/>
      <c r="I90" s="63">
        <f>+'ACUMULADO A DICIEMBRE 2015'!D90</f>
        <v>90</v>
      </c>
      <c r="J90" s="63">
        <f>+'ACUMULADO A DICIEMBRE 2015'!F90</f>
        <v>82.5</v>
      </c>
      <c r="K90" s="63">
        <f t="shared" si="15"/>
        <v>91.66666666666666</v>
      </c>
      <c r="L90" s="360">
        <v>0</v>
      </c>
      <c r="M90" s="100">
        <f>+'ACUMULADO A DICIEMBRE 2015'!U90</f>
        <v>0</v>
      </c>
      <c r="N90" s="100">
        <f>+'ACUMULADO A DICIEMBRE 2015'!W90</f>
        <v>0</v>
      </c>
      <c r="O90" s="63">
        <v>0</v>
      </c>
      <c r="P90" s="63">
        <f>+'ACUMULADO A DICIEMBRE 2015'!E90</f>
        <v>0</v>
      </c>
      <c r="Q90" s="63">
        <f>+'ACUMULADO A DICIEMBRE 2015'!G90</f>
        <v>0</v>
      </c>
      <c r="R90" s="437">
        <v>0</v>
      </c>
      <c r="S90" s="137"/>
    </row>
    <row r="91" spans="1:19" ht="38.25" customHeight="1">
      <c r="A91" s="99"/>
      <c r="B91" s="136" t="s">
        <v>282</v>
      </c>
      <c r="C91" s="45" t="s">
        <v>333</v>
      </c>
      <c r="D91" s="58">
        <f>+'ACUMULADO A DICIEMBRE 2015'!T91</f>
        <v>60</v>
      </c>
      <c r="E91" s="121">
        <f>+'ACUMULADO A DICIEMBRE 2015'!V91</f>
        <v>60</v>
      </c>
      <c r="F91" s="58">
        <f t="shared" si="17"/>
        <v>100</v>
      </c>
      <c r="G91" s="254"/>
      <c r="H91" s="63"/>
      <c r="I91" s="63">
        <f>+'ACUMULADO A DICIEMBRE 2015'!D91</f>
        <v>60</v>
      </c>
      <c r="J91" s="63">
        <f>+'ACUMULADO A DICIEMBRE 2015'!F91</f>
        <v>53.75</v>
      </c>
      <c r="K91" s="63">
        <f t="shared" si="15"/>
        <v>89.58333333333334</v>
      </c>
      <c r="L91" s="360">
        <v>0</v>
      </c>
      <c r="M91" s="100">
        <f>+'ACUMULADO A DICIEMBRE 2015'!U91</f>
        <v>0</v>
      </c>
      <c r="N91" s="100">
        <f>+'ACUMULADO A DICIEMBRE 2015'!W91</f>
        <v>0</v>
      </c>
      <c r="O91" s="63">
        <v>0</v>
      </c>
      <c r="P91" s="63">
        <f>+'ACUMULADO A DICIEMBRE 2015'!E91</f>
        <v>0</v>
      </c>
      <c r="Q91" s="63">
        <f>+'ACUMULADO A DICIEMBRE 2015'!G91</f>
        <v>0</v>
      </c>
      <c r="R91" s="437">
        <v>0</v>
      </c>
      <c r="S91" s="137"/>
    </row>
    <row r="92" spans="1:19" ht="96" customHeight="1">
      <c r="A92" s="99"/>
      <c r="B92" s="139" t="s">
        <v>283</v>
      </c>
      <c r="C92" s="123" t="s">
        <v>26</v>
      </c>
      <c r="D92" s="58">
        <f>+'ACUMULADO A DICIEMBRE 2015'!T92</f>
        <v>1</v>
      </c>
      <c r="E92" s="121">
        <f>+'ACUMULADO A DICIEMBRE 2015'!V92</f>
        <v>1</v>
      </c>
      <c r="F92" s="58">
        <f t="shared" si="17"/>
        <v>100</v>
      </c>
      <c r="G92" s="254"/>
      <c r="H92" s="63"/>
      <c r="I92" s="63">
        <f>+'ACUMULADO A DICIEMBRE 2015'!D92</f>
        <v>1</v>
      </c>
      <c r="J92" s="63">
        <f>+'ACUMULADO A DICIEMBRE 2015'!F92</f>
        <v>1</v>
      </c>
      <c r="K92" s="63">
        <f t="shared" si="15"/>
        <v>100</v>
      </c>
      <c r="L92" s="360">
        <v>0.17207983267540014</v>
      </c>
      <c r="M92" s="100">
        <f>+'ACUMULADO A DICIEMBRE 2015'!U92</f>
        <v>658073758.44</v>
      </c>
      <c r="N92" s="100">
        <f>+'ACUMULADO A DICIEMBRE 2015'!W92</f>
        <v>650923272</v>
      </c>
      <c r="O92" s="63">
        <f>+N92/M92*100</f>
        <v>98.91342173300593</v>
      </c>
      <c r="P92" s="63">
        <f>+'ACUMULADO A DICIEMBRE 2015'!E92</f>
        <v>852018728.44</v>
      </c>
      <c r="Q92" s="63">
        <f>+'ACUMULADO A DICIEMBRE 2015'!G92</f>
        <v>843904402</v>
      </c>
      <c r="R92" s="437">
        <f t="shared" si="16"/>
        <v>0.9904763520223823</v>
      </c>
      <c r="S92" s="137"/>
    </row>
    <row r="93" spans="1:19" ht="117" customHeight="1">
      <c r="A93" s="99"/>
      <c r="B93" s="139" t="s">
        <v>284</v>
      </c>
      <c r="C93" s="45" t="s">
        <v>314</v>
      </c>
      <c r="D93" s="58">
        <f>+'ACUMULADO A DICIEMBRE 2015'!T93</f>
        <v>100</v>
      </c>
      <c r="E93" s="121">
        <f>+'ACUMULADO A DICIEMBRE 2015'!V93</f>
        <v>100</v>
      </c>
      <c r="F93" s="58">
        <f t="shared" si="17"/>
        <v>100</v>
      </c>
      <c r="G93" s="254"/>
      <c r="H93" s="63"/>
      <c r="I93" s="63">
        <f>+'ACUMULADO A DICIEMBRE 2015'!D93</f>
        <v>100</v>
      </c>
      <c r="J93" s="63">
        <f>+'ACUMULADO A DICIEMBRE 2015'!F93</f>
        <v>100</v>
      </c>
      <c r="K93" s="63">
        <f t="shared" si="15"/>
        <v>100</v>
      </c>
      <c r="L93" s="360">
        <v>0</v>
      </c>
      <c r="M93" s="100">
        <f>+'ACUMULADO A DICIEMBRE 2015'!U93</f>
        <v>0</v>
      </c>
      <c r="N93" s="100">
        <f>+'ACUMULADO A DICIEMBRE 2015'!W93</f>
        <v>0</v>
      </c>
      <c r="O93" s="63">
        <v>0</v>
      </c>
      <c r="P93" s="63">
        <f>+'ACUMULADO A DICIEMBRE 2015'!E93</f>
        <v>5933203</v>
      </c>
      <c r="Q93" s="63">
        <f>+'ACUMULADO A DICIEMBRE 2015'!G93</f>
        <v>5421600</v>
      </c>
      <c r="R93" s="437">
        <f t="shared" si="16"/>
        <v>0.9137728811908171</v>
      </c>
      <c r="S93" s="137"/>
    </row>
    <row r="94" spans="1:19" ht="60" customHeight="1">
      <c r="A94" s="99"/>
      <c r="B94" s="139" t="s">
        <v>285</v>
      </c>
      <c r="C94" s="45" t="s">
        <v>1</v>
      </c>
      <c r="D94" s="58">
        <v>80</v>
      </c>
      <c r="E94" s="121">
        <f>+'ACUMULADO A DICIEMBRE 2015'!V94</f>
        <v>80</v>
      </c>
      <c r="F94" s="58">
        <f t="shared" si="17"/>
        <v>100</v>
      </c>
      <c r="G94" s="254"/>
      <c r="H94" s="63">
        <f>+(E94/D94)*100</f>
        <v>100</v>
      </c>
      <c r="I94" s="63">
        <f>+'ACUMULADO A DICIEMBRE 2015'!D94</f>
        <v>65</v>
      </c>
      <c r="J94" s="63">
        <f>+'ACUMULADO A DICIEMBRE 2015'!F94</f>
        <v>85</v>
      </c>
      <c r="K94" s="63">
        <v>100</v>
      </c>
      <c r="L94" s="360">
        <v>0</v>
      </c>
      <c r="M94" s="100">
        <f>+'ACUMULADO A DICIEMBRE 2015'!U94</f>
        <v>0</v>
      </c>
      <c r="N94" s="100">
        <f>+'ACUMULADO A DICIEMBRE 2015'!W94</f>
        <v>0</v>
      </c>
      <c r="O94" s="63">
        <v>0</v>
      </c>
      <c r="P94" s="63">
        <f>+'ACUMULADO A DICIEMBRE 2015'!E94</f>
        <v>113777378</v>
      </c>
      <c r="Q94" s="63">
        <f>+'ACUMULADO A DICIEMBRE 2015'!G94</f>
        <v>113777378</v>
      </c>
      <c r="R94" s="437">
        <f t="shared" si="16"/>
        <v>1</v>
      </c>
      <c r="S94" s="137"/>
    </row>
    <row r="95" spans="1:19" ht="25.5">
      <c r="A95" s="99"/>
      <c r="B95" s="139" t="s">
        <v>286</v>
      </c>
      <c r="C95" s="45" t="s">
        <v>1</v>
      </c>
      <c r="D95" s="58">
        <v>80</v>
      </c>
      <c r="E95" s="121">
        <f>+'ACUMULADO A DICIEMBRE 2015'!V95</f>
        <v>80</v>
      </c>
      <c r="F95" s="58">
        <f t="shared" si="17"/>
        <v>100</v>
      </c>
      <c r="G95" s="254"/>
      <c r="H95" s="63">
        <f>+(E95/D95)*100</f>
        <v>100</v>
      </c>
      <c r="I95" s="63">
        <f>+'ACUMULADO A DICIEMBRE 2015'!D95</f>
        <v>65</v>
      </c>
      <c r="J95" s="63">
        <f>+'ACUMULADO A DICIEMBRE 2015'!F95</f>
        <v>65</v>
      </c>
      <c r="K95" s="63">
        <f>+(J95/I95)*100</f>
        <v>100</v>
      </c>
      <c r="L95" s="360">
        <v>0.00104302121402301</v>
      </c>
      <c r="M95" s="100">
        <f>+'ACUMULADO A DICIEMBRE 2015'!U95</f>
        <v>4016000</v>
      </c>
      <c r="N95" s="100">
        <f>+'ACUMULADO A DICIEMBRE 2015'!W95</f>
        <v>3797810</v>
      </c>
      <c r="O95" s="63">
        <f aca="true" t="shared" si="18" ref="O95:O100">+N95/M95*100</f>
        <v>94.56698207171314</v>
      </c>
      <c r="P95" s="63">
        <f>+'ACUMULADO A DICIEMBRE 2015'!E95</f>
        <v>23690163</v>
      </c>
      <c r="Q95" s="63">
        <f>+'ACUMULADO A DICIEMBRE 2015'!G95</f>
        <v>22479542</v>
      </c>
      <c r="R95" s="437">
        <f t="shared" si="16"/>
        <v>0.948897734473165</v>
      </c>
      <c r="S95" s="137"/>
    </row>
    <row r="96" spans="1:19" ht="105.75" customHeight="1">
      <c r="A96" s="99"/>
      <c r="B96" s="136" t="str">
        <f>+'Anexo 2 Matriz Inf. Ejecución'!C126</f>
        <v>Formulación del Plan General de Ordenación Forestal- Fases de 1 y 2 (avance parcial acopio, evaluación y verificación de imágenes satelitales)</v>
      </c>
      <c r="C96" s="45" t="s">
        <v>298</v>
      </c>
      <c r="D96" s="58">
        <v>25</v>
      </c>
      <c r="E96" s="121">
        <f>+'ACUMULADO A DICIEMBRE 2015'!V96</f>
        <v>25</v>
      </c>
      <c r="F96" s="58">
        <f t="shared" si="17"/>
        <v>100</v>
      </c>
      <c r="G96" s="254"/>
      <c r="H96" s="63">
        <f>+E96/D96*100</f>
        <v>100</v>
      </c>
      <c r="I96" s="63">
        <f>+'ACUMULADO A DICIEMBRE 2015'!D96</f>
        <v>11.25</v>
      </c>
      <c r="J96" s="63">
        <f>+'ACUMULADO A DICIEMBRE 2015'!F96</f>
        <v>11.25</v>
      </c>
      <c r="K96" s="63">
        <f>+(J96/I96)*100</f>
        <v>100</v>
      </c>
      <c r="L96" s="360">
        <v>0.4739471922104368</v>
      </c>
      <c r="M96" s="100">
        <f>+'ACUMULADO A DICIEMBRE 2015'!U96</f>
        <v>1813517043.768</v>
      </c>
      <c r="N96" s="100">
        <f>+'ACUMULADO A DICIEMBRE 2015'!W96</f>
        <v>1798947397</v>
      </c>
      <c r="O96" s="63">
        <f t="shared" si="18"/>
        <v>99.19660822499202</v>
      </c>
      <c r="P96" s="63">
        <f>+'ACUMULADO A DICIEMBRE 2015'!E96</f>
        <v>1964425655.768</v>
      </c>
      <c r="Q96" s="63">
        <f>+'ACUMULADO A DICIEMBRE 2015'!G96</f>
        <v>1949547397</v>
      </c>
      <c r="R96" s="437">
        <f t="shared" si="16"/>
        <v>0.9924261533011881</v>
      </c>
      <c r="S96" s="138" t="s">
        <v>588</v>
      </c>
    </row>
    <row r="97" spans="1:19" ht="96.75" customHeight="1">
      <c r="A97" s="99"/>
      <c r="B97" s="139" t="s">
        <v>287</v>
      </c>
      <c r="C97" s="45" t="s">
        <v>259</v>
      </c>
      <c r="D97" s="58">
        <f>+'ACUMULADO A DICIEMBRE 2015'!T97</f>
        <v>1</v>
      </c>
      <c r="E97" s="121">
        <f>+'ACUMULADO A DICIEMBRE 2015'!V97</f>
        <v>1</v>
      </c>
      <c r="F97" s="58">
        <f t="shared" si="17"/>
        <v>100</v>
      </c>
      <c r="G97" s="254"/>
      <c r="H97" s="63"/>
      <c r="I97" s="63">
        <f>+'ACUMULADO A DICIEMBRE 2015'!D97</f>
        <v>1</v>
      </c>
      <c r="J97" s="63">
        <f>+'ACUMULADO A DICIEMBRE 2015'!F97</f>
        <v>1</v>
      </c>
      <c r="K97" s="63">
        <f>+(J97/I97)*100</f>
        <v>100</v>
      </c>
      <c r="L97" s="360">
        <v>0.003911329552586287</v>
      </c>
      <c r="M97" s="100">
        <f>+'ACUMULADO A DICIEMBRE 2015'!U97</f>
        <v>18560000</v>
      </c>
      <c r="N97" s="100">
        <f>+'ACUMULADO A DICIEMBRE 2015'!W97</f>
        <v>17342148</v>
      </c>
      <c r="O97" s="63">
        <f t="shared" si="18"/>
        <v>93.43829741379311</v>
      </c>
      <c r="P97" s="63">
        <f>+'ACUMULADO A DICIEMBRE 2015'!E97</f>
        <v>71202439</v>
      </c>
      <c r="Q97" s="63">
        <f>+'ACUMULADO A DICIEMBRE 2015'!G97</f>
        <v>62852810</v>
      </c>
      <c r="R97" s="437">
        <f t="shared" si="16"/>
        <v>0.8827339467964012</v>
      </c>
      <c r="S97" s="137"/>
    </row>
    <row r="98" spans="1:19" ht="113.25" customHeight="1">
      <c r="A98" s="99"/>
      <c r="B98" s="139" t="s">
        <v>288</v>
      </c>
      <c r="C98" s="45" t="s">
        <v>322</v>
      </c>
      <c r="D98" s="58">
        <f>+'ACUMULADO A DICIEMBRE 2015'!T98</f>
        <v>37</v>
      </c>
      <c r="E98" s="121">
        <f>+'ACUMULADO A DICIEMBRE 2015'!V98</f>
        <v>37</v>
      </c>
      <c r="F98" s="58">
        <f t="shared" si="17"/>
        <v>100</v>
      </c>
      <c r="G98" s="254"/>
      <c r="H98" s="63"/>
      <c r="I98" s="63">
        <f>+'ACUMULADO A DICIEMBRE 2015'!D98</f>
        <v>32.5</v>
      </c>
      <c r="J98" s="63">
        <f>+'ACUMULADO A DICIEMBRE 2015'!F98</f>
        <v>32.5</v>
      </c>
      <c r="K98" s="63">
        <f t="shared" si="15"/>
        <v>100</v>
      </c>
      <c r="L98" s="360">
        <v>0.0230582668434665</v>
      </c>
      <c r="M98" s="100">
        <f>+'ACUMULADO A DICIEMBRE 2015'!U98</f>
        <v>101497709.568</v>
      </c>
      <c r="N98" s="100">
        <f>+'ACUMULADO A DICIEMBRE 2015'!W98</f>
        <v>100840023</v>
      </c>
      <c r="O98" s="63">
        <f t="shared" si="18"/>
        <v>99.35201831568487</v>
      </c>
      <c r="P98" s="63">
        <f>+'ACUMULADO A DICIEMBRE 2015'!E98</f>
        <v>306184912.568</v>
      </c>
      <c r="Q98" s="63">
        <f>+'ACUMULADO A DICIEMBRE 2015'!G98</f>
        <v>252100546</v>
      </c>
      <c r="R98" s="437">
        <f t="shared" si="16"/>
        <v>0.8233604454432792</v>
      </c>
      <c r="S98" s="137"/>
    </row>
    <row r="99" spans="1:19" ht="45">
      <c r="A99" s="99"/>
      <c r="B99" s="139" t="s">
        <v>0</v>
      </c>
      <c r="C99" s="45" t="s">
        <v>2</v>
      </c>
      <c r="D99" s="58">
        <v>100</v>
      </c>
      <c r="E99" s="121">
        <f>+'ACUMULADO A DICIEMBRE 2015'!V99</f>
        <v>100</v>
      </c>
      <c r="F99" s="58">
        <f t="shared" si="17"/>
        <v>100</v>
      </c>
      <c r="G99" s="254"/>
      <c r="H99" s="63"/>
      <c r="I99" s="63">
        <f>+'ACUMULADO A DICIEMBRE 2015'!D99</f>
        <v>70</v>
      </c>
      <c r="J99" s="63">
        <f>+'ACUMULADO A DICIEMBRE 2015'!F99</f>
        <v>80</v>
      </c>
      <c r="K99" s="63">
        <v>100</v>
      </c>
      <c r="L99" s="360">
        <v>0.023767215842471347</v>
      </c>
      <c r="M99" s="100">
        <f>+'ACUMULADO A DICIEMBRE 2015'!U99</f>
        <v>113272036.28</v>
      </c>
      <c r="N99" s="100">
        <f>+'ACUMULADO A DICIEMBRE 2015'!W99</f>
        <v>110989774</v>
      </c>
      <c r="O99" s="63">
        <f t="shared" si="18"/>
        <v>97.98514941996945</v>
      </c>
      <c r="P99" s="63">
        <f>+'ACUMULADO A DICIEMBRE 2015'!E99</f>
        <v>242289896.28</v>
      </c>
      <c r="Q99" s="63">
        <f>+'ACUMULADO A DICIEMBRE 2015'!G99</f>
        <v>236534507</v>
      </c>
      <c r="R99" s="437">
        <f t="shared" si="16"/>
        <v>0.9762458551992245</v>
      </c>
      <c r="S99" s="137"/>
    </row>
    <row r="100" spans="1:19" ht="144" customHeight="1">
      <c r="A100" s="99"/>
      <c r="B100" s="139" t="s">
        <v>420</v>
      </c>
      <c r="C100" s="45" t="s">
        <v>331</v>
      </c>
      <c r="D100" s="58">
        <f>+'ACUMULADO A DICIEMBRE 2015'!T100</f>
        <v>1</v>
      </c>
      <c r="E100" s="121">
        <f>+'ACUMULADO A DICIEMBRE 2015'!V100</f>
        <v>1</v>
      </c>
      <c r="F100" s="58">
        <f t="shared" si="17"/>
        <v>100</v>
      </c>
      <c r="G100" s="254"/>
      <c r="H100" s="63"/>
      <c r="I100" s="63">
        <f>+'ACUMULADO A DICIEMBRE 2015'!D100</f>
        <v>1</v>
      </c>
      <c r="J100" s="63">
        <f>+'ACUMULADO A DICIEMBRE 2015'!F100</f>
        <v>1</v>
      </c>
      <c r="K100" s="63">
        <f t="shared" si="15"/>
        <v>100</v>
      </c>
      <c r="L100" s="360">
        <v>0.25239745556765764</v>
      </c>
      <c r="M100" s="100">
        <f>+'ACUMULADO A DICIEMBRE 2015'!U100</f>
        <v>954543037.2800001</v>
      </c>
      <c r="N100" s="100">
        <f>+'ACUMULADO A DICIEMBRE 2015'!W100</f>
        <v>930108907</v>
      </c>
      <c r="O100" s="63">
        <f t="shared" si="18"/>
        <v>97.44022748836701</v>
      </c>
      <c r="P100" s="63">
        <f>+'ACUMULADO A DICIEMBRE 2015'!E100</f>
        <v>3376522258.28</v>
      </c>
      <c r="Q100" s="63">
        <f>+'ACUMULADO A DICIEMBRE 2015'!G100</f>
        <v>3271573661</v>
      </c>
      <c r="R100" s="437">
        <f t="shared" si="16"/>
        <v>0.968918138471428</v>
      </c>
      <c r="S100" s="137"/>
    </row>
    <row r="101" spans="1:19" ht="36" customHeight="1">
      <c r="A101" s="99"/>
      <c r="B101" s="139" t="s">
        <v>148</v>
      </c>
      <c r="C101" s="61" t="s">
        <v>149</v>
      </c>
      <c r="D101" s="46" t="s">
        <v>297</v>
      </c>
      <c r="E101" s="46" t="s">
        <v>297</v>
      </c>
      <c r="F101" s="58"/>
      <c r="G101" s="254"/>
      <c r="H101" s="63"/>
      <c r="I101" s="63">
        <f>+'ACUMULADO A DICIEMBRE 2015'!D101</f>
        <v>1</v>
      </c>
      <c r="J101" s="63">
        <f>+'ACUMULADO A DICIEMBRE 2015'!F101</f>
        <v>1</v>
      </c>
      <c r="K101" s="63">
        <f t="shared" si="15"/>
        <v>100</v>
      </c>
      <c r="L101" s="360">
        <v>0</v>
      </c>
      <c r="M101" s="100" t="s">
        <v>551</v>
      </c>
      <c r="N101" s="100" t="s">
        <v>551</v>
      </c>
      <c r="O101" s="63">
        <v>0</v>
      </c>
      <c r="P101" s="63">
        <f>+'ACUMULADO A DICIEMBRE 2015'!E101</f>
        <v>123027356</v>
      </c>
      <c r="Q101" s="63">
        <f>+'ACUMULADO A DICIEMBRE 2015'!G101</f>
        <v>120538338</v>
      </c>
      <c r="R101" s="437">
        <f t="shared" si="16"/>
        <v>0.9797685809000073</v>
      </c>
      <c r="S101" s="137"/>
    </row>
    <row r="102" spans="1:19" ht="77.25" customHeight="1">
      <c r="A102" s="99"/>
      <c r="B102" s="134" t="s">
        <v>3</v>
      </c>
      <c r="C102" s="89"/>
      <c r="D102" s="70"/>
      <c r="E102" s="69"/>
      <c r="F102" s="432">
        <f>AVERAGE(F103:F110)</f>
        <v>100</v>
      </c>
      <c r="G102" s="253"/>
      <c r="H102" s="66"/>
      <c r="I102" s="69"/>
      <c r="J102" s="70"/>
      <c r="K102" s="66">
        <f>AVERAGE(K103:K110)</f>
        <v>98.20054945054945</v>
      </c>
      <c r="L102" s="66"/>
      <c r="M102" s="152">
        <f>SUM(M103:M110)</f>
        <v>1555762386.1399999</v>
      </c>
      <c r="N102" s="267">
        <f>+'ACUMULADO A DICIEMBRE 2015'!W102</f>
        <v>1508656115.0279999</v>
      </c>
      <c r="O102" s="66">
        <f>(N102/M102)*100</f>
        <v>96.97214230581346</v>
      </c>
      <c r="P102" s="70">
        <f>+SUM(P103:P110)</f>
        <v>2690643279.14</v>
      </c>
      <c r="Q102" s="70">
        <f>+SUM(Q103:Q110)</f>
        <v>2628560828.028</v>
      </c>
      <c r="R102" s="66">
        <f>+(Q102/P102)*100</f>
        <v>97.69265396147783</v>
      </c>
      <c r="S102" s="137"/>
    </row>
    <row r="103" spans="1:19" ht="51">
      <c r="A103" s="99"/>
      <c r="B103" s="139" t="s">
        <v>4</v>
      </c>
      <c r="C103" s="45" t="s">
        <v>314</v>
      </c>
      <c r="D103" s="58">
        <f>+'ACUMULADO A DICIEMBRE 2015'!T103</f>
        <v>100</v>
      </c>
      <c r="E103" s="111">
        <f>+'ACUMULADO A DICIEMBRE 2015'!V103</f>
        <v>100</v>
      </c>
      <c r="F103" s="58">
        <f>+(E103/D103)*100</f>
        <v>100</v>
      </c>
      <c r="G103" s="254"/>
      <c r="H103" s="63">
        <f>+(E103/D103)*100</f>
        <v>100</v>
      </c>
      <c r="I103" s="63">
        <f>+'ACUMULADO A DICIEMBRE 2015'!D103</f>
        <v>87.5</v>
      </c>
      <c r="J103" s="63">
        <f>+'ACUMULADO A DICIEMBRE 2015'!F103</f>
        <v>85</v>
      </c>
      <c r="K103" s="63">
        <f>+(J103/I103)*100</f>
        <v>97.14285714285714</v>
      </c>
      <c r="L103" s="360">
        <v>0.029090942444915842</v>
      </c>
      <c r="M103" s="117">
        <f>+'ACUMULADO A DICIEMBRE 2015'!U103</f>
        <v>39234594</v>
      </c>
      <c r="N103" s="100">
        <f>+'ACUMULADO A DICIEMBRE 2015'!W103</f>
        <v>39065917.028</v>
      </c>
      <c r="O103" s="76">
        <f>+(N103/M103)*100</f>
        <v>99.57008100555342</v>
      </c>
      <c r="P103" s="63">
        <f>+'ACUMULADO A DICIEMBRE 2015'!E103</f>
        <v>190037880</v>
      </c>
      <c r="Q103" s="63">
        <f>+'ACUMULADO A DICIEMBRE 2015'!G103</f>
        <v>185680226.028</v>
      </c>
      <c r="R103" s="437">
        <f>+Q103/P103</f>
        <v>0.9770695507022074</v>
      </c>
      <c r="S103" s="137"/>
    </row>
    <row r="104" spans="1:19" ht="54" customHeight="1">
      <c r="A104" s="99"/>
      <c r="B104" s="139" t="s">
        <v>5</v>
      </c>
      <c r="C104" s="45" t="s">
        <v>1</v>
      </c>
      <c r="D104" s="58">
        <f>+'ACUMULADO A DICIEMBRE 2015'!T104</f>
        <v>50</v>
      </c>
      <c r="E104" s="111">
        <f>+'ACUMULADO A DICIEMBRE 2015'!V104</f>
        <v>50</v>
      </c>
      <c r="F104" s="58">
        <f>+(E104/D104)*100</f>
        <v>100</v>
      </c>
      <c r="G104" s="254"/>
      <c r="H104" s="63">
        <f>+(E104/D104)*100</f>
        <v>100</v>
      </c>
      <c r="I104" s="63">
        <f>+'ACUMULADO A DICIEMBRE 2015'!D104</f>
        <v>32.5</v>
      </c>
      <c r="J104" s="63">
        <f>+'ACUMULADO A DICIEMBRE 2015'!F104</f>
        <v>28.75</v>
      </c>
      <c r="K104" s="63">
        <f t="shared" si="15"/>
        <v>88.46153846153845</v>
      </c>
      <c r="L104" s="360">
        <v>0.00516274212401658</v>
      </c>
      <c r="M104" s="117">
        <f>+'ACUMULADO A DICIEMBRE 2015'!U104</f>
        <v>8032000</v>
      </c>
      <c r="N104" s="100">
        <f>+'ACUMULADO A DICIEMBRE 2015'!W104</f>
        <v>8032000</v>
      </c>
      <c r="O104" s="63">
        <f>+(N104/M104)*100</f>
        <v>100</v>
      </c>
      <c r="P104" s="63">
        <f>+'ACUMULADO A DICIEMBRE 2015'!E104</f>
        <v>30966259</v>
      </c>
      <c r="Q104" s="63">
        <f>+'ACUMULADO A DICIEMBRE 2015'!G104</f>
        <v>27498681</v>
      </c>
      <c r="R104" s="437">
        <f aca="true" t="shared" si="19" ref="R104:R110">+Q104/P104</f>
        <v>0.8880207647943524</v>
      </c>
      <c r="S104" s="137"/>
    </row>
    <row r="105" spans="1:19" ht="93" customHeight="1">
      <c r="A105" s="99"/>
      <c r="B105" s="139" t="s">
        <v>6</v>
      </c>
      <c r="C105" s="45" t="s">
        <v>1</v>
      </c>
      <c r="D105" s="58">
        <f>+'ACUMULADO A DICIEMBRE 2015'!T105</f>
        <v>100</v>
      </c>
      <c r="E105" s="111">
        <f>+'ACUMULADO A DICIEMBRE 2015'!V105</f>
        <v>100</v>
      </c>
      <c r="F105" s="58">
        <f>+(E105/D105)*100</f>
        <v>100</v>
      </c>
      <c r="G105" s="254"/>
      <c r="H105" s="63">
        <f>+(E105/D105)*100</f>
        <v>100</v>
      </c>
      <c r="I105" s="63">
        <f>+'ACUMULADO A DICIEMBRE 2015'!D105</f>
        <v>87.5</v>
      </c>
      <c r="J105" s="63">
        <f>+'ACUMULADO A DICIEMBRE 2015'!F105</f>
        <v>87.5</v>
      </c>
      <c r="K105" s="63">
        <f t="shared" si="15"/>
        <v>100</v>
      </c>
      <c r="L105" s="360">
        <v>0.22532436725547905</v>
      </c>
      <c r="M105" s="117">
        <f>+'ACUMULADO A DICIEMBRE 2015'!U105</f>
        <v>456975175.14</v>
      </c>
      <c r="N105" s="100">
        <f>+'ACUMULADO A DICIEMBRE 2015'!W105</f>
        <v>410142400</v>
      </c>
      <c r="O105" s="76">
        <f>+(N105/M105)*100</f>
        <v>89.75157126956576</v>
      </c>
      <c r="P105" s="63">
        <f>+'ACUMULADO A DICIEMBRE 2015'!E105</f>
        <v>1262235813.1399999</v>
      </c>
      <c r="Q105" s="63">
        <f>+'ACUMULADO A DICIEMBRE 2015'!G105</f>
        <v>1209997555</v>
      </c>
      <c r="R105" s="437">
        <f t="shared" si="19"/>
        <v>0.9586145016674424</v>
      </c>
      <c r="S105" s="137"/>
    </row>
    <row r="106" spans="1:19" ht="54.75" customHeight="1">
      <c r="A106" s="99"/>
      <c r="B106" s="139" t="s">
        <v>7</v>
      </c>
      <c r="C106" s="45" t="s">
        <v>1</v>
      </c>
      <c r="D106" s="58">
        <f>+'ACUMULADO A DICIEMBRE 2015'!T106</f>
        <v>100</v>
      </c>
      <c r="E106" s="111">
        <f>+'ACUMULADO A DICIEMBRE 2015'!V106</f>
        <v>100</v>
      </c>
      <c r="F106" s="58">
        <f>+(E106/D106)*100</f>
        <v>100</v>
      </c>
      <c r="G106" s="254"/>
      <c r="H106" s="63">
        <f>+(E106/D106)*100</f>
        <v>100</v>
      </c>
      <c r="I106" s="63">
        <f>+'ACUMULADO A DICIEMBRE 2015'!D106</f>
        <v>70</v>
      </c>
      <c r="J106" s="63">
        <f>+'ACUMULADO A DICIEMBRE 2015'!F106</f>
        <v>70</v>
      </c>
      <c r="K106" s="63">
        <f t="shared" si="15"/>
        <v>100</v>
      </c>
      <c r="L106" s="360">
        <v>0.0013774198557962951</v>
      </c>
      <c r="M106" s="117">
        <f>+'ACUMULADO A DICIEMBRE 2015'!U106</f>
        <v>2142938</v>
      </c>
      <c r="N106" s="100">
        <f>+'ACUMULADO A DICIEMBRE 2015'!W106</f>
        <v>2038121</v>
      </c>
      <c r="O106" s="63">
        <f>+(N106/M106)*100</f>
        <v>95.10872456412645</v>
      </c>
      <c r="P106" s="63">
        <f>+'ACUMULADO A DICIEMBRE 2015'!E106</f>
        <v>29226240</v>
      </c>
      <c r="Q106" s="63">
        <f>+'ACUMULADO A DICIEMBRE 2015'!G106</f>
        <v>27952565</v>
      </c>
      <c r="R106" s="437">
        <f t="shared" si="19"/>
        <v>0.9564201553124864</v>
      </c>
      <c r="S106" s="137"/>
    </row>
    <row r="107" spans="1:19" ht="25.5">
      <c r="A107" s="99"/>
      <c r="B107" s="139" t="s">
        <v>8</v>
      </c>
      <c r="C107" s="45" t="s">
        <v>1</v>
      </c>
      <c r="D107" s="58">
        <f>+'ACUMULADO A DICIEMBRE 2015'!T107</f>
        <v>100</v>
      </c>
      <c r="E107" s="111">
        <f>+'ACUMULADO A DICIEMBRE 2015'!V107</f>
        <v>100</v>
      </c>
      <c r="F107" s="58">
        <f>+(E107/D107)*100</f>
        <v>100</v>
      </c>
      <c r="G107" s="261"/>
      <c r="H107" s="63">
        <f>+(E107/D107)*100</f>
        <v>100</v>
      </c>
      <c r="I107" s="63">
        <f>+'ACUMULADO A DICIEMBRE 2015'!D107</f>
        <v>67.5</v>
      </c>
      <c r="J107" s="63">
        <f>+'ACUMULADO A DICIEMBRE 2015'!F107</f>
        <v>67.5</v>
      </c>
      <c r="K107" s="63">
        <f>+(J107/I107)*100</f>
        <v>100</v>
      </c>
      <c r="L107" s="360">
        <v>0.11019769834581776</v>
      </c>
      <c r="M107" s="117">
        <f>+'ACUMULADO A DICIEMBRE 2015'!U107</f>
        <v>71041435</v>
      </c>
      <c r="N107" s="100">
        <f>+'ACUMULADO A DICIEMBRE 2015'!W107</f>
        <v>71041435</v>
      </c>
      <c r="O107" s="63">
        <f>+(N107/M107)*100</f>
        <v>100</v>
      </c>
      <c r="P107" s="63">
        <f>+'ACUMULADO A DICIEMBRE 2015'!E107</f>
        <v>193081435</v>
      </c>
      <c r="Q107" s="63">
        <f>+'ACUMULADO A DICIEMBRE 2015'!G107</f>
        <v>192814587</v>
      </c>
      <c r="R107" s="437">
        <f t="shared" si="19"/>
        <v>0.9986179510215469</v>
      </c>
      <c r="S107" s="137"/>
    </row>
    <row r="108" spans="1:19" ht="25.5">
      <c r="A108" s="99"/>
      <c r="B108" s="139" t="s">
        <v>9</v>
      </c>
      <c r="C108" s="45" t="s">
        <v>334</v>
      </c>
      <c r="D108" s="58">
        <f>+'ACUMULADO A DICIEMBRE 2015'!T108</f>
        <v>1</v>
      </c>
      <c r="E108" s="111">
        <f>+'ACUMULADO A DICIEMBRE 2015'!V108</f>
        <v>1</v>
      </c>
      <c r="F108" s="58"/>
      <c r="G108" s="254"/>
      <c r="H108" s="63"/>
      <c r="I108" s="63">
        <f>+'ACUMULADO A DICIEMBRE 2015'!D108</f>
        <v>1</v>
      </c>
      <c r="J108" s="63">
        <f>+'ACUMULADO A DICIEMBRE 2015'!F108</f>
        <v>1</v>
      </c>
      <c r="K108" s="63">
        <f t="shared" si="15"/>
        <v>100</v>
      </c>
      <c r="L108" s="360">
        <v>0.6288468299739745</v>
      </c>
      <c r="M108" s="117">
        <f>+'ACUMULADO A DICIEMBRE 2015'!U108</f>
        <v>978336244</v>
      </c>
      <c r="N108" s="100">
        <f>+'ACUMULADO A DICIEMBRE 2015'!W108</f>
        <v>978336242</v>
      </c>
      <c r="O108" s="76">
        <v>0</v>
      </c>
      <c r="P108" s="63">
        <f>+'ACUMULADO A DICIEMBRE 2015'!E108</f>
        <v>978814680</v>
      </c>
      <c r="Q108" s="63">
        <f>+'ACUMULADO A DICIEMBRE 2015'!G108</f>
        <v>978336242</v>
      </c>
      <c r="R108" s="437">
        <f t="shared" si="19"/>
        <v>0.9995112067587707</v>
      </c>
      <c r="S108" s="137"/>
    </row>
    <row r="109" spans="1:19" ht="34.5" customHeight="1">
      <c r="A109" s="99"/>
      <c r="B109" s="139" t="str">
        <f>+'ACUMULADO A DICIEMBRE 2015'!A109</f>
        <v>Estudio  para modificación de estructura, planta de personal y manual de funciones realizado.</v>
      </c>
      <c r="C109" s="45" t="s">
        <v>385</v>
      </c>
      <c r="D109" s="58" t="s">
        <v>297</v>
      </c>
      <c r="E109" s="58" t="s">
        <v>297</v>
      </c>
      <c r="F109" s="58"/>
      <c r="G109" s="254"/>
      <c r="H109" s="63"/>
      <c r="I109" s="63">
        <f>+'ACUMULADO A DICIEMBRE 2015'!D109</f>
        <v>1</v>
      </c>
      <c r="J109" s="63">
        <f>+'ACUMULADO A DICIEMBRE 2015'!F109</f>
        <v>1</v>
      </c>
      <c r="K109" s="63">
        <f t="shared" si="15"/>
        <v>100</v>
      </c>
      <c r="L109" s="360"/>
      <c r="M109" s="58" t="s">
        <v>551</v>
      </c>
      <c r="N109" s="58" t="s">
        <v>551</v>
      </c>
      <c r="O109" s="76">
        <v>0</v>
      </c>
      <c r="P109" s="63">
        <f>+'ACUMULADO A DICIEMBRE 2015'!E109</f>
        <v>0</v>
      </c>
      <c r="Q109" s="63">
        <f>+'ACUMULADO A DICIEMBRE 2015'!G109</f>
        <v>0</v>
      </c>
      <c r="R109" s="437">
        <v>0</v>
      </c>
      <c r="S109" s="137"/>
    </row>
    <row r="110" spans="1:19" ht="37.5" customHeight="1">
      <c r="A110" s="99"/>
      <c r="B110" s="139" t="s">
        <v>206</v>
      </c>
      <c r="C110" s="61" t="s">
        <v>207</v>
      </c>
      <c r="D110" s="46" t="s">
        <v>297</v>
      </c>
      <c r="E110" s="46" t="s">
        <v>297</v>
      </c>
      <c r="F110" s="58"/>
      <c r="G110" s="254"/>
      <c r="H110" s="63"/>
      <c r="I110" s="63">
        <f>+'ACUMULADO A DICIEMBRE 2015'!D110</f>
        <v>100</v>
      </c>
      <c r="J110" s="63">
        <f>+'ACUMULADO A DICIEMBRE 2015'!F110</f>
        <v>100</v>
      </c>
      <c r="K110" s="63">
        <v>100</v>
      </c>
      <c r="L110" s="360">
        <v>0</v>
      </c>
      <c r="M110" s="58" t="s">
        <v>551</v>
      </c>
      <c r="N110" s="58" t="s">
        <v>551</v>
      </c>
      <c r="O110" s="76">
        <v>0</v>
      </c>
      <c r="P110" s="63">
        <f>+'ACUMULADO A DICIEMBRE 2015'!E110</f>
        <v>6280972</v>
      </c>
      <c r="Q110" s="63">
        <f>+'ACUMULADO A DICIEMBRE 2015'!G110</f>
        <v>6280972</v>
      </c>
      <c r="R110" s="437">
        <f t="shared" si="19"/>
        <v>1</v>
      </c>
      <c r="S110" s="137"/>
    </row>
    <row r="111" spans="1:19" ht="81" customHeight="1">
      <c r="A111" s="99"/>
      <c r="B111" s="142" t="s">
        <v>10</v>
      </c>
      <c r="C111" s="92"/>
      <c r="D111" s="88"/>
      <c r="E111" s="72"/>
      <c r="F111" s="434">
        <f>AVERAGE(F112)</f>
        <v>99.8</v>
      </c>
      <c r="G111" s="256"/>
      <c r="H111" s="64"/>
      <c r="I111" s="72"/>
      <c r="J111" s="88"/>
      <c r="K111" s="64">
        <f>AVERAGE(K112)</f>
        <v>99.43333333333334</v>
      </c>
      <c r="L111" s="64"/>
      <c r="M111" s="65">
        <f>+M112</f>
        <v>380079784.81200004</v>
      </c>
      <c r="N111" s="65">
        <f>+N112</f>
        <v>357526608</v>
      </c>
      <c r="O111" s="64">
        <f>+(N111/M111)*100</f>
        <v>94.06619933150205</v>
      </c>
      <c r="P111" s="65">
        <f>+P112</f>
        <v>1626937336.812</v>
      </c>
      <c r="Q111" s="65">
        <f>+Q112</f>
        <v>1577345347</v>
      </c>
      <c r="R111" s="64">
        <f>+(Q111/P111)*100</f>
        <v>96.95181930551942</v>
      </c>
      <c r="S111" s="153"/>
    </row>
    <row r="112" spans="1:19" ht="78.75" customHeight="1">
      <c r="A112" s="99"/>
      <c r="B112" s="134" t="s">
        <v>11</v>
      </c>
      <c r="C112" s="89"/>
      <c r="D112" s="70"/>
      <c r="E112" s="69"/>
      <c r="F112" s="432">
        <f>AVERAGE(F113:F122)</f>
        <v>99.8</v>
      </c>
      <c r="G112" s="253"/>
      <c r="H112" s="66"/>
      <c r="I112" s="69"/>
      <c r="J112" s="70"/>
      <c r="K112" s="66">
        <f>AVERAGE(K113:K122)</f>
        <v>99.43333333333334</v>
      </c>
      <c r="L112" s="66"/>
      <c r="M112" s="78">
        <f>+SUM(M113:M122)</f>
        <v>380079784.81200004</v>
      </c>
      <c r="N112" s="78">
        <f>+SUM(N113:N122)</f>
        <v>357526608</v>
      </c>
      <c r="O112" s="66">
        <f>(N112/M112)*100</f>
        <v>94.06619933150205</v>
      </c>
      <c r="P112" s="70">
        <f>+SUM(P113:P122)</f>
        <v>1626937336.812</v>
      </c>
      <c r="Q112" s="70">
        <f>+SUM(Q113:Q122)</f>
        <v>1577345347</v>
      </c>
      <c r="R112" s="66">
        <f>+(Q112/P112)*100</f>
        <v>96.95181930551942</v>
      </c>
      <c r="S112" s="149"/>
    </row>
    <row r="113" spans="1:19" ht="63.75" customHeight="1">
      <c r="A113" s="99"/>
      <c r="B113" s="139" t="s">
        <v>12</v>
      </c>
      <c r="C113" s="45" t="s">
        <v>335</v>
      </c>
      <c r="D113" s="58">
        <v>10</v>
      </c>
      <c r="E113" s="111">
        <f>+'ACUMULADO A DICIEMBRE 2015'!V113</f>
        <v>10</v>
      </c>
      <c r="F113" s="58">
        <f aca="true" t="shared" si="20" ref="F113:F122">+(E113/D113)*100</f>
        <v>100</v>
      </c>
      <c r="G113" s="254"/>
      <c r="H113" s="63"/>
      <c r="I113" s="63">
        <f>+'ACUMULADO A DICIEMBRE 2015'!D113</f>
        <v>110</v>
      </c>
      <c r="J113" s="63">
        <f>+'ACUMULADO A DICIEMBRE 2015'!F113</f>
        <v>116</v>
      </c>
      <c r="K113" s="63">
        <v>100</v>
      </c>
      <c r="L113" s="360">
        <v>0.07831682917721552</v>
      </c>
      <c r="M113" s="100">
        <f>+'ACUMULADO A DICIEMBRE 2015'!U113</f>
        <v>32118743</v>
      </c>
      <c r="N113" s="100">
        <f>+'ACUMULADO A DICIEMBRE 2015'!W113</f>
        <v>31937810</v>
      </c>
      <c r="O113" s="76">
        <f>+(N113/M113)*100</f>
        <v>99.43667471669112</v>
      </c>
      <c r="P113" s="63">
        <f>+'ACUMULADO A DICIEMBRE 2015'!E113</f>
        <v>161952331</v>
      </c>
      <c r="Q113" s="63">
        <f>+'ACUMULADO A DICIEMBRE 2015'!G113</f>
        <v>160576042</v>
      </c>
      <c r="R113" s="437">
        <f>+Q113/P113</f>
        <v>0.9915018882932904</v>
      </c>
      <c r="S113" s="137"/>
    </row>
    <row r="114" spans="1:19" ht="57" customHeight="1">
      <c r="A114" s="99"/>
      <c r="B114" s="139" t="s">
        <v>13</v>
      </c>
      <c r="C114" s="45" t="s">
        <v>180</v>
      </c>
      <c r="D114" s="58">
        <f>+'ACUMULADO A DICIEMBRE 2015'!T114</f>
        <v>200</v>
      </c>
      <c r="E114" s="111">
        <f>+'ACUMULADO A DICIEMBRE 2015'!V114</f>
        <v>200</v>
      </c>
      <c r="F114" s="58">
        <f t="shared" si="20"/>
        <v>100</v>
      </c>
      <c r="G114" s="254"/>
      <c r="H114" s="63"/>
      <c r="I114" s="63">
        <f>+'ACUMULADO A DICIEMBRE 2015'!D114</f>
        <v>700</v>
      </c>
      <c r="J114" s="63">
        <f>+'ACUMULADO A DICIEMBRE 2015'!F114</f>
        <v>1120</v>
      </c>
      <c r="K114" s="63">
        <v>100</v>
      </c>
      <c r="L114" s="360">
        <v>0.012237004558939927</v>
      </c>
      <c r="M114" s="100">
        <f>+'ACUMULADO A DICIEMBRE 2015'!U114</f>
        <v>5020000</v>
      </c>
      <c r="N114" s="100">
        <f>+'ACUMULADO A DICIEMBRE 2015'!W114</f>
        <v>5020000</v>
      </c>
      <c r="O114" s="63">
        <f>+(N114/M114)*100</f>
        <v>100</v>
      </c>
      <c r="P114" s="63">
        <f>+'ACUMULADO A DICIEMBRE 2015'!E114</f>
        <v>20383208</v>
      </c>
      <c r="Q114" s="63">
        <f>+'ACUMULADO A DICIEMBRE 2015'!G114</f>
        <v>20210520</v>
      </c>
      <c r="R114" s="437">
        <f aca="true" t="shared" si="21" ref="R114:R122">+Q114/P114</f>
        <v>0.9915279282829278</v>
      </c>
      <c r="S114" s="137"/>
    </row>
    <row r="115" spans="1:19" ht="50.25" customHeight="1">
      <c r="A115" s="99"/>
      <c r="B115" s="139" t="s">
        <v>14</v>
      </c>
      <c r="C115" s="45" t="s">
        <v>24</v>
      </c>
      <c r="D115" s="58">
        <f>+'ACUMULADO A DICIEMBRE 2015'!T115</f>
        <v>50</v>
      </c>
      <c r="E115" s="111">
        <f>+'ACUMULADO A DICIEMBRE 2015'!V115</f>
        <v>50</v>
      </c>
      <c r="F115" s="58">
        <f t="shared" si="20"/>
        <v>100</v>
      </c>
      <c r="G115" s="254"/>
      <c r="H115" s="63"/>
      <c r="I115" s="63">
        <f>+'ACUMULADO A DICIEMBRE 2015'!D115</f>
        <v>200</v>
      </c>
      <c r="J115" s="63">
        <f>+'ACUMULADO A DICIEMBRE 2015'!F115</f>
        <v>190</v>
      </c>
      <c r="K115" s="63">
        <f aca="true" t="shared" si="22" ref="K115:K122">+(J115/I115)*100</f>
        <v>95</v>
      </c>
      <c r="L115" s="360">
        <v>0.022908835293533672</v>
      </c>
      <c r="M115" s="100">
        <f>+'ACUMULADO A DICIEMBRE 2015'!U115</f>
        <v>29910029</v>
      </c>
      <c r="N115" s="100">
        <f>+'ACUMULADO A DICIEMBRE 2015'!W115</f>
        <v>29891788</v>
      </c>
      <c r="O115" s="63">
        <f aca="true" t="shared" si="23" ref="O115:O121">+(N115/M115)*100</f>
        <v>99.9390137669208</v>
      </c>
      <c r="P115" s="63">
        <f>+'ACUMULADO A DICIEMBRE 2015'!E115</f>
        <v>638696383</v>
      </c>
      <c r="Q115" s="63">
        <f>+'ACUMULADO A DICIEMBRE 2015'!G115</f>
        <v>638383943</v>
      </c>
      <c r="R115" s="437">
        <f t="shared" si="21"/>
        <v>0.9995108160805101</v>
      </c>
      <c r="S115" s="137"/>
    </row>
    <row r="116" spans="1:19" ht="57" customHeight="1">
      <c r="A116" s="99"/>
      <c r="B116" s="139" t="s">
        <v>15</v>
      </c>
      <c r="C116" s="45" t="s">
        <v>336</v>
      </c>
      <c r="D116" s="58">
        <f>+'ACUMULADO A DICIEMBRE 2015'!T116</f>
        <v>1</v>
      </c>
      <c r="E116" s="111">
        <f>+'ACUMULADO A DICIEMBRE 2015'!V116</f>
        <v>1</v>
      </c>
      <c r="F116" s="58">
        <f t="shared" si="20"/>
        <v>100</v>
      </c>
      <c r="G116" s="254"/>
      <c r="H116" s="63"/>
      <c r="I116" s="63">
        <f>+'ACUMULADO A DICIEMBRE 2015'!D116</f>
        <v>3</v>
      </c>
      <c r="J116" s="63">
        <f>+'ACUMULADO A DICIEMBRE 2015'!F116</f>
        <v>3</v>
      </c>
      <c r="K116" s="63">
        <f t="shared" si="22"/>
        <v>100</v>
      </c>
      <c r="L116" s="360">
        <v>0.012237004558939927</v>
      </c>
      <c r="M116" s="100">
        <f>+'ACUMULADO A DICIEMBRE 2015'!U116</f>
        <v>5020000</v>
      </c>
      <c r="N116" s="100">
        <f>+'ACUMULADO A DICIEMBRE 2015'!W116</f>
        <v>5020000</v>
      </c>
      <c r="O116" s="63">
        <f t="shared" si="23"/>
        <v>100</v>
      </c>
      <c r="P116" s="63">
        <f>+'ACUMULADO A DICIEMBRE 2015'!E116</f>
        <v>23292800</v>
      </c>
      <c r="Q116" s="63">
        <f>+'ACUMULADO A DICIEMBRE 2015'!G116</f>
        <v>23292800</v>
      </c>
      <c r="R116" s="437">
        <f t="shared" si="21"/>
        <v>1</v>
      </c>
      <c r="S116" s="137"/>
    </row>
    <row r="117" spans="1:19" ht="30" customHeight="1">
      <c r="A117" s="99"/>
      <c r="B117" s="139" t="s">
        <v>208</v>
      </c>
      <c r="C117" s="45" t="s">
        <v>337</v>
      </c>
      <c r="D117" s="58">
        <f>+'ACUMULADO A DICIEMBRE 2015'!T117</f>
        <v>2</v>
      </c>
      <c r="E117" s="111">
        <f>+'ACUMULADO A DICIEMBRE 2015'!V117</f>
        <v>2</v>
      </c>
      <c r="F117" s="58">
        <f t="shared" si="20"/>
        <v>100</v>
      </c>
      <c r="G117" s="254"/>
      <c r="H117" s="63"/>
      <c r="I117" s="63">
        <f>+'ACUMULADO A DICIEMBRE 2015'!D117</f>
        <v>13</v>
      </c>
      <c r="J117" s="63">
        <f>+'ACUMULADO A DICIEMBRE 2015'!F117</f>
        <v>13</v>
      </c>
      <c r="K117" s="63">
        <f t="shared" si="22"/>
        <v>100</v>
      </c>
      <c r="L117" s="360">
        <v>0.0704334680729104</v>
      </c>
      <c r="M117" s="100">
        <f>+'ACUMULADO A DICIEMBRE 2015'!U117</f>
        <v>28783610.619999997</v>
      </c>
      <c r="N117" s="100">
        <f>+'ACUMULADO A DICIEMBRE 2015'!W117</f>
        <v>28602677</v>
      </c>
      <c r="O117" s="63">
        <f t="shared" si="23"/>
        <v>99.37140054321651</v>
      </c>
      <c r="P117" s="63">
        <f>+'ACUMULADO A DICIEMBRE 2015'!E117</f>
        <v>74617059.62</v>
      </c>
      <c r="Q117" s="63">
        <f>+'ACUMULADO A DICIEMBRE 2015'!G117</f>
        <v>72412562</v>
      </c>
      <c r="R117" s="437">
        <f t="shared" si="21"/>
        <v>0.9704558497583959</v>
      </c>
      <c r="S117" s="137"/>
    </row>
    <row r="118" spans="1:19" ht="51" customHeight="1">
      <c r="A118" s="99"/>
      <c r="B118" s="139" t="s">
        <v>20</v>
      </c>
      <c r="C118" s="45" t="s">
        <v>209</v>
      </c>
      <c r="D118" s="58">
        <f>+'ACUMULADO A DICIEMBRE 2015'!T118</f>
        <v>1</v>
      </c>
      <c r="E118" s="111">
        <f>+'ACUMULADO A DICIEMBRE 2015'!V118</f>
        <v>1</v>
      </c>
      <c r="F118" s="58">
        <f t="shared" si="20"/>
        <v>100</v>
      </c>
      <c r="G118" s="254"/>
      <c r="H118" s="63"/>
      <c r="I118" s="63">
        <f>+'ACUMULADO A DICIEMBRE 2015'!D118</f>
        <v>6</v>
      </c>
      <c r="J118" s="63">
        <f>+'ACUMULADO A DICIEMBRE 2015'!F118</f>
        <v>6</v>
      </c>
      <c r="K118" s="63">
        <f t="shared" si="22"/>
        <v>100</v>
      </c>
      <c r="L118" s="360">
        <v>0.037541967227629564</v>
      </c>
      <c r="M118" s="100">
        <f>+'ACUMULADO A DICIEMBRE 2015'!U118</f>
        <v>15400883</v>
      </c>
      <c r="N118" s="100">
        <f>+'ACUMULADO A DICIEMBRE 2015'!W118</f>
        <v>15400883</v>
      </c>
      <c r="O118" s="63">
        <f t="shared" si="23"/>
        <v>100</v>
      </c>
      <c r="P118" s="63">
        <f>+'ACUMULADO A DICIEMBRE 2015'!E118</f>
        <v>36165683</v>
      </c>
      <c r="Q118" s="63">
        <f>+'ACUMULADO A DICIEMBRE 2015'!G118</f>
        <v>31665683</v>
      </c>
      <c r="R118" s="437">
        <f t="shared" si="21"/>
        <v>0.8755726526718712</v>
      </c>
      <c r="S118" s="137"/>
    </row>
    <row r="119" spans="1:19" ht="25.5">
      <c r="A119" s="99"/>
      <c r="B119" s="139" t="s">
        <v>21</v>
      </c>
      <c r="C119" s="45" t="s">
        <v>25</v>
      </c>
      <c r="D119" s="58">
        <f>+'ACUMULADO A DICIEMBRE 2015'!T119</f>
        <v>1</v>
      </c>
      <c r="E119" s="111">
        <f>+'ACUMULADO A DICIEMBRE 2015'!V119</f>
        <v>1</v>
      </c>
      <c r="F119" s="58">
        <f t="shared" si="20"/>
        <v>100</v>
      </c>
      <c r="G119" s="254"/>
      <c r="H119" s="63"/>
      <c r="I119" s="63">
        <f>+'ACUMULADO A DICIEMBRE 2015'!D119</f>
        <v>4</v>
      </c>
      <c r="J119" s="63">
        <f>+'ACUMULADO A DICIEMBRE 2015'!F119</f>
        <v>4</v>
      </c>
      <c r="K119" s="63">
        <f t="shared" si="22"/>
        <v>100</v>
      </c>
      <c r="L119" s="360">
        <v>0.41870759081113385</v>
      </c>
      <c r="M119" s="100">
        <f>+'ACUMULADO A DICIEMBRE 2015'!U119</f>
        <v>173997514.06</v>
      </c>
      <c r="N119" s="100">
        <f>+'ACUMULADO A DICIEMBRE 2015'!W119</f>
        <v>153914135</v>
      </c>
      <c r="O119" s="63">
        <f>+(N119/M119)*100</f>
        <v>88.45766322093854</v>
      </c>
      <c r="P119" s="63">
        <f>+'ACUMULADO A DICIEMBRE 2015'!E119</f>
        <v>308304602.06</v>
      </c>
      <c r="Q119" s="63">
        <f>+'ACUMULADO A DICIEMBRE 2015'!G119</f>
        <v>273362023</v>
      </c>
      <c r="R119" s="437">
        <f t="shared" si="21"/>
        <v>0.8866621554575441</v>
      </c>
      <c r="S119" s="137"/>
    </row>
    <row r="120" spans="1:19" ht="39.75" customHeight="1">
      <c r="A120" s="99"/>
      <c r="B120" s="139" t="s">
        <v>22</v>
      </c>
      <c r="C120" s="45" t="s">
        <v>26</v>
      </c>
      <c r="D120" s="58">
        <f>+'ACUMULADO A DICIEMBRE 2015'!T120</f>
        <v>1</v>
      </c>
      <c r="E120" s="111">
        <f>+'ACUMULADO A DICIEMBRE 2015'!V120</f>
        <v>1</v>
      </c>
      <c r="F120" s="58">
        <f t="shared" si="20"/>
        <v>100</v>
      </c>
      <c r="G120" s="254"/>
      <c r="H120" s="63"/>
      <c r="I120" s="63">
        <f>+'ACUMULADO A DICIEMBRE 2015'!D120</f>
        <v>0.75</v>
      </c>
      <c r="J120" s="63">
        <f>+'ACUMULADO A DICIEMBRE 2015'!F120</f>
        <v>0.75</v>
      </c>
      <c r="K120" s="63">
        <f t="shared" si="22"/>
        <v>100</v>
      </c>
      <c r="L120" s="360">
        <v>0.15528864091788183</v>
      </c>
      <c r="M120" s="100">
        <f>+'ACUMULADO A DICIEMBRE 2015'!U120</f>
        <v>45488321</v>
      </c>
      <c r="N120" s="100">
        <f>+'ACUMULADO A DICIEMBRE 2015'!W120</f>
        <v>43827509</v>
      </c>
      <c r="O120" s="63">
        <f t="shared" si="23"/>
        <v>96.34892657392213</v>
      </c>
      <c r="P120" s="63">
        <f>+'ACUMULADO A DICIEMBRE 2015'!E120</f>
        <v>123228041</v>
      </c>
      <c r="Q120" s="63">
        <f>+'ACUMULADO A DICIEMBRE 2015'!G120</f>
        <v>121567229</v>
      </c>
      <c r="R120" s="437">
        <f t="shared" si="21"/>
        <v>0.9865224506814971</v>
      </c>
      <c r="S120" s="154"/>
    </row>
    <row r="121" spans="1:19" ht="31.5" customHeight="1">
      <c r="A121" s="99"/>
      <c r="B121" s="139" t="s">
        <v>23</v>
      </c>
      <c r="C121" s="45" t="s">
        <v>338</v>
      </c>
      <c r="D121" s="58">
        <f>+'ACUMULADO A DICIEMBRE 2015'!T121</f>
        <v>1</v>
      </c>
      <c r="E121" s="111">
        <f>+'ACUMULADO A DICIEMBRE 2015'!V121</f>
        <v>1</v>
      </c>
      <c r="F121" s="58">
        <v>100</v>
      </c>
      <c r="G121" s="254"/>
      <c r="H121" s="63"/>
      <c r="I121" s="63">
        <f>+'ACUMULADO A DICIEMBRE 2015'!D121</f>
        <v>1</v>
      </c>
      <c r="J121" s="63">
        <f>+'ACUMULADO A DICIEMBRE 2015'!F121</f>
        <v>1</v>
      </c>
      <c r="K121" s="63">
        <f t="shared" si="22"/>
        <v>100</v>
      </c>
      <c r="L121" s="360">
        <v>0.17063552173820615</v>
      </c>
      <c r="M121" s="100">
        <f>+'ACUMULADO A DICIEMBRE 2015'!U121</f>
        <v>35441484.132</v>
      </c>
      <c r="N121" s="100">
        <f>+'ACUMULADO A DICIEMBRE 2015'!W121</f>
        <v>35163845</v>
      </c>
      <c r="O121" s="63">
        <f t="shared" si="23"/>
        <v>99.21662667690228</v>
      </c>
      <c r="P121" s="63">
        <f>+'ACUMULADO A DICIEMBRE 2015'!E121</f>
        <v>222454810.132</v>
      </c>
      <c r="Q121" s="63">
        <f>+'ACUMULADO A DICIEMBRE 2015'!G121</f>
        <v>218183365</v>
      </c>
      <c r="R121" s="437">
        <f t="shared" si="21"/>
        <v>0.9807985939730167</v>
      </c>
      <c r="S121" s="137"/>
    </row>
    <row r="122" spans="1:19" ht="30">
      <c r="A122" s="99"/>
      <c r="B122" s="139" t="s">
        <v>206</v>
      </c>
      <c r="C122" s="45" t="s">
        <v>308</v>
      </c>
      <c r="D122" s="58">
        <f>+'ACUMULADO A DICIEMBRE 2015'!T122</f>
        <v>100</v>
      </c>
      <c r="E122" s="111">
        <f>+'ACUMULADO A DICIEMBRE 2015'!V122</f>
        <v>98</v>
      </c>
      <c r="F122" s="58">
        <f t="shared" si="20"/>
        <v>98</v>
      </c>
      <c r="G122" s="254"/>
      <c r="H122" s="63"/>
      <c r="I122" s="63">
        <f>+'ACUMULADO A DICIEMBRE 2015'!D122</f>
        <v>100</v>
      </c>
      <c r="J122" s="63">
        <f>+'ACUMULADO A DICIEMBRE 2015'!F122</f>
        <v>99.33333333333333</v>
      </c>
      <c r="K122" s="63">
        <f t="shared" si="22"/>
        <v>99.33333333333333</v>
      </c>
      <c r="L122" s="360">
        <v>0.021693137643609202</v>
      </c>
      <c r="M122" s="100">
        <f>+'ACUMULADO A DICIEMBRE 2015'!U122</f>
        <v>8899200</v>
      </c>
      <c r="N122" s="100">
        <f>+'ACUMULADO A DICIEMBRE 2015'!W122</f>
        <v>8747961</v>
      </c>
      <c r="O122" s="63">
        <f>+(N122/M122)*100</f>
        <v>98.30053263214671</v>
      </c>
      <c r="P122" s="63">
        <f>+'ACUMULADO A DICIEMBRE 2015'!E122</f>
        <v>17842419</v>
      </c>
      <c r="Q122" s="63">
        <f>+'ACUMULADO A DICIEMBRE 2015'!G122</f>
        <v>17691180</v>
      </c>
      <c r="R122" s="437">
        <f t="shared" si="21"/>
        <v>0.9915236269252504</v>
      </c>
      <c r="S122" s="137"/>
    </row>
    <row r="123" spans="1:19" ht="54" customHeight="1">
      <c r="A123" s="99"/>
      <c r="B123" s="142" t="s">
        <v>27</v>
      </c>
      <c r="C123" s="92"/>
      <c r="D123" s="88"/>
      <c r="E123" s="93"/>
      <c r="F123" s="434">
        <f>AVERAGE(F124,F132)</f>
        <v>99.58571428571429</v>
      </c>
      <c r="G123" s="256"/>
      <c r="H123" s="64"/>
      <c r="I123" s="81"/>
      <c r="J123" s="88"/>
      <c r="K123" s="64">
        <f>AVERAGE(K124,K132)</f>
        <v>96.6</v>
      </c>
      <c r="L123" s="64"/>
      <c r="M123" s="82">
        <f>+M124+M132</f>
        <v>4499263108.0592</v>
      </c>
      <c r="N123" s="82">
        <f>+N124+N132</f>
        <v>3757614791</v>
      </c>
      <c r="O123" s="64">
        <f>+(N123/M123)*100</f>
        <v>83.51622700769066</v>
      </c>
      <c r="P123" s="82">
        <f>+P124+P132</f>
        <v>7025946689.0592</v>
      </c>
      <c r="Q123" s="82">
        <f>+Q124+Q132</f>
        <v>6240235850</v>
      </c>
      <c r="R123" s="64">
        <f>+Q123/P123*100</f>
        <v>88.81701109001142</v>
      </c>
      <c r="S123" s="137"/>
    </row>
    <row r="124" spans="1:19" ht="95.25" customHeight="1">
      <c r="A124" s="99"/>
      <c r="B124" s="134" t="s">
        <v>28</v>
      </c>
      <c r="C124" s="89"/>
      <c r="D124" s="70"/>
      <c r="E124" s="69"/>
      <c r="F124" s="432">
        <f>AVERAGE(F125:F131)</f>
        <v>99.57142857142857</v>
      </c>
      <c r="G124" s="253"/>
      <c r="H124" s="66"/>
      <c r="I124" s="69"/>
      <c r="J124" s="70"/>
      <c r="K124" s="66">
        <v>100</v>
      </c>
      <c r="L124" s="66"/>
      <c r="M124" s="78">
        <f>SUM(M125:M131)</f>
        <v>622694146.8552</v>
      </c>
      <c r="N124" s="78">
        <f>SUM(N125:N131)</f>
        <v>569855915</v>
      </c>
      <c r="O124" s="66">
        <f>(N124/M124)*100</f>
        <v>91.51457708057004</v>
      </c>
      <c r="P124" s="70">
        <f>+SUM(P125:P131)</f>
        <v>1881012524.8552</v>
      </c>
      <c r="Q124" s="70">
        <f>+SUM(Q125:Q131)</f>
        <v>1826706231</v>
      </c>
      <c r="R124" s="66">
        <f>+(Q124/P124)*100</f>
        <v>97.11292226194078</v>
      </c>
      <c r="S124" s="137"/>
    </row>
    <row r="125" spans="1:19" ht="45" customHeight="1">
      <c r="A125" s="99"/>
      <c r="B125" s="139" t="s">
        <v>29</v>
      </c>
      <c r="C125" s="45" t="s">
        <v>339</v>
      </c>
      <c r="D125" s="58">
        <f>+'ACUMULADO A DICIEMBRE 2015'!T125</f>
        <v>1</v>
      </c>
      <c r="E125" s="111">
        <f>+'ACUMULADO A DICIEMBRE 2015'!V125</f>
        <v>1</v>
      </c>
      <c r="F125" s="58">
        <f aca="true" t="shared" si="24" ref="F125:F131">+(E125/D125)*100</f>
        <v>100</v>
      </c>
      <c r="G125" s="254"/>
      <c r="H125" s="63"/>
      <c r="I125" s="63">
        <f>+'ACUMULADO A DICIEMBRE 2015'!D125</f>
        <v>1</v>
      </c>
      <c r="J125" s="63">
        <f>+'ACUMULADO A DICIEMBRE 2015'!F125</f>
        <v>1</v>
      </c>
      <c r="K125" s="63">
        <f aca="true" t="shared" si="25" ref="K125:K137">+(J125/I125)*100</f>
        <v>100</v>
      </c>
      <c r="L125" s="360">
        <v>0</v>
      </c>
      <c r="M125" s="100">
        <f>+'ACUMULADO A DICIEMBRE 2015'!U125</f>
        <v>0</v>
      </c>
      <c r="N125" s="124">
        <f>+'ACUMULADO A DICIEMBRE 2015'!W125</f>
        <v>0</v>
      </c>
      <c r="O125" s="63">
        <v>0</v>
      </c>
      <c r="P125" s="63">
        <f>+'ACUMULADO A DICIEMBRE 2015'!E125</f>
        <v>0</v>
      </c>
      <c r="Q125" s="63">
        <f>+'ACUMULADO A DICIEMBRE 2015'!G125</f>
        <v>0</v>
      </c>
      <c r="R125" s="437">
        <v>0</v>
      </c>
      <c r="S125" s="137"/>
    </row>
    <row r="126" spans="1:19" ht="75" customHeight="1">
      <c r="A126" s="99"/>
      <c r="B126" s="139" t="s">
        <v>30</v>
      </c>
      <c r="C126" s="45" t="s">
        <v>340</v>
      </c>
      <c r="D126" s="58">
        <f>+'ACUMULADO A DICIEMBRE 2015'!T126</f>
        <v>1</v>
      </c>
      <c r="E126" s="111">
        <f>+'ACUMULADO A DICIEMBRE 2015'!V126</f>
        <v>3</v>
      </c>
      <c r="F126" s="58">
        <v>100</v>
      </c>
      <c r="G126" s="254"/>
      <c r="H126" s="63"/>
      <c r="I126" s="63">
        <f>+'ACUMULADO A DICIEMBRE 2015'!D126</f>
        <v>4</v>
      </c>
      <c r="J126" s="63">
        <f>+'ACUMULADO A DICIEMBRE 2015'!F126</f>
        <v>7</v>
      </c>
      <c r="K126" s="63">
        <v>100</v>
      </c>
      <c r="L126" s="360">
        <v>0</v>
      </c>
      <c r="M126" s="100">
        <f>+'ACUMULADO A DICIEMBRE 2015'!U126</f>
        <v>0</v>
      </c>
      <c r="N126" s="124">
        <f>+'ACUMULADO A DICIEMBRE 2015'!W126</f>
        <v>0</v>
      </c>
      <c r="O126" s="63">
        <v>0</v>
      </c>
      <c r="P126" s="63">
        <f>+'ACUMULADO A DICIEMBRE 2015'!E126</f>
        <v>14924460</v>
      </c>
      <c r="Q126" s="63">
        <f>+'ACUMULADO A DICIEMBRE 2015'!G126</f>
        <v>14924460</v>
      </c>
      <c r="R126" s="437">
        <f aca="true" t="shared" si="26" ref="R126:R131">+Q126/P126</f>
        <v>1</v>
      </c>
      <c r="S126" s="137"/>
    </row>
    <row r="127" spans="1:19" ht="25.5">
      <c r="A127" s="99"/>
      <c r="B127" s="139" t="s">
        <v>31</v>
      </c>
      <c r="C127" s="45" t="s">
        <v>35</v>
      </c>
      <c r="D127" s="58">
        <f>+'ACUMULADO A DICIEMBRE 2015'!T127</f>
        <v>1</v>
      </c>
      <c r="E127" s="111">
        <f>+'ACUMULADO A DICIEMBRE 2015'!V127</f>
        <v>2</v>
      </c>
      <c r="F127" s="58">
        <v>100</v>
      </c>
      <c r="G127" s="254"/>
      <c r="H127" s="63"/>
      <c r="I127" s="63">
        <f>+'ACUMULADO A DICIEMBRE 2015'!D127</f>
        <v>1</v>
      </c>
      <c r="J127" s="63">
        <f>+'ACUMULADO A DICIEMBRE 2015'!F127</f>
        <v>1.25</v>
      </c>
      <c r="K127" s="63">
        <v>100</v>
      </c>
      <c r="L127" s="360">
        <v>0</v>
      </c>
      <c r="M127" s="100">
        <f>+'ACUMULADO A DICIEMBRE 2015'!U127</f>
        <v>0</v>
      </c>
      <c r="N127" s="124">
        <f>+'ACUMULADO A DICIEMBRE 2015'!W127</f>
        <v>0</v>
      </c>
      <c r="O127" s="76">
        <v>0</v>
      </c>
      <c r="P127" s="63">
        <f>+'ACUMULADO A DICIEMBRE 2015'!E127</f>
        <v>3993808</v>
      </c>
      <c r="Q127" s="63">
        <f>+'ACUMULADO A DICIEMBRE 2015'!G127</f>
        <v>3993808</v>
      </c>
      <c r="R127" s="437">
        <f t="shared" si="26"/>
        <v>1</v>
      </c>
      <c r="S127" s="137"/>
    </row>
    <row r="128" spans="1:19" ht="131.25" customHeight="1">
      <c r="A128" s="99"/>
      <c r="B128" s="139" t="s">
        <v>32</v>
      </c>
      <c r="C128" s="45" t="s">
        <v>341</v>
      </c>
      <c r="D128" s="58">
        <f>+'ACUMULADO A DICIEMBRE 2015'!T128</f>
        <v>1</v>
      </c>
      <c r="E128" s="111">
        <f>+'ACUMULADO A DICIEMBRE 2015'!V128</f>
        <v>1</v>
      </c>
      <c r="F128" s="58">
        <f>+(E128/D128)*100</f>
        <v>100</v>
      </c>
      <c r="G128" s="254"/>
      <c r="H128" s="63"/>
      <c r="I128" s="63">
        <f>+'ACUMULADO A DICIEMBRE 2015'!D128</f>
        <v>0.75</v>
      </c>
      <c r="J128" s="63">
        <f>+'ACUMULADO A DICIEMBRE 2015'!F128</f>
        <v>0.5</v>
      </c>
      <c r="K128" s="63">
        <f>+F128</f>
        <v>100</v>
      </c>
      <c r="L128" s="360">
        <v>0.9764492899298939</v>
      </c>
      <c r="M128" s="100">
        <f>+'ACUMULADO A DICIEMBRE 2015'!U128</f>
        <v>591415429.8552</v>
      </c>
      <c r="N128" s="124">
        <f>+'ACUMULADO A DICIEMBRE 2015'!W128</f>
        <v>547070270</v>
      </c>
      <c r="O128" s="63">
        <f>+(N128/M128)*100</f>
        <v>92.50185950237089</v>
      </c>
      <c r="P128" s="63">
        <f>+'ACUMULADO A DICIEMBRE 2015'!E128</f>
        <v>970022195.8552</v>
      </c>
      <c r="Q128" s="63">
        <f>+'ACUMULADO A DICIEMBRE 2015'!G128</f>
        <v>925041961</v>
      </c>
      <c r="R128" s="437">
        <f t="shared" si="26"/>
        <v>0.9536296849212361</v>
      </c>
      <c r="S128" s="137"/>
    </row>
    <row r="129" spans="1:19" ht="38.25">
      <c r="A129" s="99"/>
      <c r="B129" s="139" t="s">
        <v>33</v>
      </c>
      <c r="C129" s="45" t="s">
        <v>342</v>
      </c>
      <c r="D129" s="58">
        <f>+'ACUMULADO A DICIEMBRE 2015'!T129</f>
        <v>1</v>
      </c>
      <c r="E129" s="111">
        <f>+'ACUMULADO A DICIEMBRE 2015'!V129</f>
        <v>1</v>
      </c>
      <c r="F129" s="58">
        <f t="shared" si="24"/>
        <v>100</v>
      </c>
      <c r="G129" s="254"/>
      <c r="H129" s="63"/>
      <c r="I129" s="63">
        <f>+'ACUMULADO A DICIEMBRE 2015'!D129</f>
        <v>3</v>
      </c>
      <c r="J129" s="63">
        <f>+'ACUMULADO A DICIEMBRE 2015'!F129</f>
        <v>3</v>
      </c>
      <c r="K129" s="63">
        <f t="shared" si="25"/>
        <v>100</v>
      </c>
      <c r="L129" s="360">
        <v>0</v>
      </c>
      <c r="M129" s="100">
        <f>+'ACUMULADO A DICIEMBRE 2015'!U129</f>
        <v>0</v>
      </c>
      <c r="N129" s="124">
        <f>+'ACUMULADO A DICIEMBRE 2015'!W129</f>
        <v>0</v>
      </c>
      <c r="O129" s="63">
        <v>0</v>
      </c>
      <c r="P129" s="63">
        <f>+'ACUMULADO A DICIEMBRE 2015'!E129</f>
        <v>40160000</v>
      </c>
      <c r="Q129" s="63">
        <f>+'ACUMULADO A DICIEMBRE 2015'!G129</f>
        <v>40160000</v>
      </c>
      <c r="R129" s="437">
        <f t="shared" si="26"/>
        <v>1</v>
      </c>
      <c r="S129" s="137"/>
    </row>
    <row r="130" spans="1:19" ht="27.75" customHeight="1">
      <c r="A130" s="99"/>
      <c r="B130" s="139" t="s">
        <v>34</v>
      </c>
      <c r="C130" s="45" t="s">
        <v>343</v>
      </c>
      <c r="D130" s="58">
        <f>+'ACUMULADO A DICIEMBRE 2015'!T130</f>
        <v>1</v>
      </c>
      <c r="E130" s="111">
        <f>+'ACUMULADO A DICIEMBRE 2015'!V130</f>
        <v>1</v>
      </c>
      <c r="F130" s="58">
        <f t="shared" si="24"/>
        <v>100</v>
      </c>
      <c r="G130" s="254"/>
      <c r="H130" s="63"/>
      <c r="I130" s="63">
        <f>+'ACUMULADO A DICIEMBRE 2015'!D130</f>
        <v>1</v>
      </c>
      <c r="J130" s="63">
        <f>+'ACUMULADO A DICIEMBRE 2015'!F130</f>
        <v>1</v>
      </c>
      <c r="K130" s="63">
        <f t="shared" si="25"/>
        <v>100</v>
      </c>
      <c r="L130" s="360">
        <v>0.022038824933236268</v>
      </c>
      <c r="M130" s="100">
        <f>+'ACUMULADO A DICIEMBRE 2015'!U130</f>
        <v>29270717</v>
      </c>
      <c r="N130" s="124">
        <f>+'ACUMULADO A DICIEMBRE 2015'!W130</f>
        <v>20837116</v>
      </c>
      <c r="O130" s="76">
        <f>+(N130/M130)*100</f>
        <v>71.18758313983221</v>
      </c>
      <c r="P130" s="63">
        <f>+'ACUMULADO A DICIEMBRE 2015'!E130</f>
        <v>805940337</v>
      </c>
      <c r="Q130" s="63">
        <f>+'ACUMULADO A DICIEMBRE 2015'!G130</f>
        <v>796839189</v>
      </c>
      <c r="R130" s="437">
        <f t="shared" si="26"/>
        <v>0.9887074171844062</v>
      </c>
      <c r="S130" s="137"/>
    </row>
    <row r="131" spans="1:19" ht="28.5" customHeight="1">
      <c r="A131" s="99"/>
      <c r="B131" s="139" t="s">
        <v>206</v>
      </c>
      <c r="C131" s="45" t="s">
        <v>308</v>
      </c>
      <c r="D131" s="58">
        <f>+'ACUMULADO A DICIEMBRE 2015'!T131</f>
        <v>100</v>
      </c>
      <c r="E131" s="111">
        <f>+'ACUMULADO A DICIEMBRE 2015'!V131</f>
        <v>97</v>
      </c>
      <c r="F131" s="58">
        <f t="shared" si="24"/>
        <v>97</v>
      </c>
      <c r="G131" s="254"/>
      <c r="H131" s="63"/>
      <c r="I131" s="63">
        <f>+'ACUMULADO A DICIEMBRE 2015'!D131</f>
        <v>100</v>
      </c>
      <c r="J131" s="63">
        <f>+'ACUMULADO A DICIEMBRE 2015'!F131</f>
        <v>99</v>
      </c>
      <c r="K131" s="63">
        <f t="shared" si="25"/>
        <v>99</v>
      </c>
      <c r="L131" s="360">
        <v>0.0015118851368698472</v>
      </c>
      <c r="M131" s="100">
        <f>+'ACUMULADO A DICIEMBRE 2015'!U131</f>
        <v>2008000</v>
      </c>
      <c r="N131" s="124">
        <f>+'ACUMULADO A DICIEMBRE 2015'!W131</f>
        <v>1948529</v>
      </c>
      <c r="O131" s="76">
        <f>+(N131/M131)*100</f>
        <v>97.038296812749</v>
      </c>
      <c r="P131" s="63">
        <f>+'ACUMULADO A DICIEMBRE 2015'!E131</f>
        <v>45971724</v>
      </c>
      <c r="Q131" s="63">
        <f>+'ACUMULADO A DICIEMBRE 2015'!G131</f>
        <v>45746813</v>
      </c>
      <c r="R131" s="437">
        <f t="shared" si="26"/>
        <v>0.9951076231119808</v>
      </c>
      <c r="S131" s="137"/>
    </row>
    <row r="132" spans="1:19" ht="62.25" customHeight="1">
      <c r="A132" s="99"/>
      <c r="B132" s="134" t="s">
        <v>36</v>
      </c>
      <c r="C132" s="89"/>
      <c r="D132" s="70"/>
      <c r="E132" s="98"/>
      <c r="F132" s="432">
        <f>AVERAGE(F133:F137)</f>
        <v>99.6</v>
      </c>
      <c r="G132" s="253"/>
      <c r="H132" s="66"/>
      <c r="I132" s="69"/>
      <c r="J132" s="70"/>
      <c r="K132" s="66">
        <f>AVERAGE(K133:K137)</f>
        <v>93.2</v>
      </c>
      <c r="L132" s="66"/>
      <c r="M132" s="70">
        <f>SUM(M133:M137)</f>
        <v>3876568961.204</v>
      </c>
      <c r="N132" s="70">
        <f>SUM(N133:N137)</f>
        <v>3187758876</v>
      </c>
      <c r="O132" s="66">
        <f>(N132/M132)*100</f>
        <v>82.2314502309262</v>
      </c>
      <c r="P132" s="70">
        <f>+SUM(P133:P137)</f>
        <v>5144934164.204</v>
      </c>
      <c r="Q132" s="70">
        <f>+SUM(Q133:Q137)</f>
        <v>4413529619</v>
      </c>
      <c r="R132" s="66">
        <f>+(Q132/P132)*100</f>
        <v>85.7839863084592</v>
      </c>
      <c r="S132" s="137"/>
    </row>
    <row r="133" spans="1:19" ht="45" customHeight="1">
      <c r="A133" s="99"/>
      <c r="B133" s="139" t="s">
        <v>37</v>
      </c>
      <c r="C133" s="45" t="s">
        <v>344</v>
      </c>
      <c r="D133" s="58">
        <f>+'ACUMULADO A DICIEMBRE 2015'!T133</f>
        <v>1</v>
      </c>
      <c r="E133" s="111">
        <f>+'ACUMULADO A DICIEMBRE 2015'!V133</f>
        <v>2</v>
      </c>
      <c r="F133" s="58">
        <v>100</v>
      </c>
      <c r="G133" s="254"/>
      <c r="H133" s="63"/>
      <c r="I133" s="63">
        <f>+'ACUMULADO A DICIEMBRE 2015'!D133</f>
        <v>4</v>
      </c>
      <c r="J133" s="63">
        <f>+'ACUMULADO A DICIEMBRE 2015'!F133</f>
        <v>5</v>
      </c>
      <c r="K133" s="63">
        <v>100</v>
      </c>
      <c r="L133" s="94">
        <v>0.0005994978165920059</v>
      </c>
      <c r="M133" s="100">
        <f>+'ACUMULADO A DICIEMBRE 2015'!U133</f>
        <v>4016000</v>
      </c>
      <c r="N133" s="124">
        <f>+'ACUMULADO A DICIEMBRE 2015'!W133</f>
        <v>4016000</v>
      </c>
      <c r="O133" s="76">
        <f>+(N133/M133)*100</f>
        <v>100</v>
      </c>
      <c r="P133" s="63">
        <f>+'ACUMULADO A DICIEMBRE 2015'!E133</f>
        <v>10028000</v>
      </c>
      <c r="Q133" s="71">
        <f>+'ACUMULADO A DICIEMBRE 2015'!G133</f>
        <v>10027952</v>
      </c>
      <c r="R133" s="437">
        <f>+Q133/P133</f>
        <v>0.9999952134024731</v>
      </c>
      <c r="S133" s="137"/>
    </row>
    <row r="134" spans="1:19" ht="92.25" customHeight="1">
      <c r="A134" s="99"/>
      <c r="B134" s="136" t="s">
        <v>153</v>
      </c>
      <c r="C134" s="45" t="s">
        <v>1</v>
      </c>
      <c r="D134" s="58">
        <f>+'ACUMULADO A DICIEMBRE 2015'!T134</f>
        <v>80</v>
      </c>
      <c r="E134" s="111">
        <f>+'ACUMULADO A DICIEMBRE 2015'!V134</f>
        <v>80</v>
      </c>
      <c r="F134" s="58">
        <f>+(E134/D134)*100</f>
        <v>100</v>
      </c>
      <c r="G134" s="254"/>
      <c r="H134" s="63">
        <f>+(E134/D134)*100</f>
        <v>100</v>
      </c>
      <c r="I134" s="63">
        <f>+'ACUMULADO A DICIEMBRE 2015'!D134</f>
        <v>50</v>
      </c>
      <c r="J134" s="63">
        <f>+'ACUMULADO A DICIEMBRE 2015'!F134</f>
        <v>50</v>
      </c>
      <c r="K134" s="63">
        <f t="shared" si="25"/>
        <v>100</v>
      </c>
      <c r="L134" s="94">
        <v>0</v>
      </c>
      <c r="M134" s="100">
        <f>+'ACUMULADO A DICIEMBRE 2015'!U134</f>
        <v>0</v>
      </c>
      <c r="N134" s="124">
        <f>+'ACUMULADO A DICIEMBRE 2015'!W134</f>
        <v>0</v>
      </c>
      <c r="O134" s="76">
        <v>0</v>
      </c>
      <c r="P134" s="63">
        <f>+'ACUMULADO A DICIEMBRE 2015'!E134</f>
        <v>998356</v>
      </c>
      <c r="Q134" s="71">
        <f>+'ACUMULADO A DICIEMBRE 2015'!G134</f>
        <v>998356</v>
      </c>
      <c r="R134" s="437">
        <f>+Q134/P134</f>
        <v>1</v>
      </c>
      <c r="S134" s="137"/>
    </row>
    <row r="135" spans="1:19" ht="43.5" customHeight="1">
      <c r="A135" s="99"/>
      <c r="B135" s="139" t="s">
        <v>38</v>
      </c>
      <c r="C135" s="45" t="s">
        <v>343</v>
      </c>
      <c r="D135" s="58">
        <f>+'ACUMULADO A DICIEMBRE 2015'!T135</f>
        <v>1</v>
      </c>
      <c r="E135" s="111">
        <f>+'ACUMULADO A DICIEMBRE 2015'!V135</f>
        <v>1</v>
      </c>
      <c r="F135" s="58">
        <f>+(E135/D135)*100</f>
        <v>100</v>
      </c>
      <c r="G135" s="254"/>
      <c r="H135" s="63"/>
      <c r="I135" s="63">
        <f>+'ACUMULADO A DICIEMBRE 2015'!D135</f>
        <v>0.75</v>
      </c>
      <c r="J135" s="63">
        <f>+'ACUMULADO A DICIEMBRE 2015'!F135</f>
        <v>0.75</v>
      </c>
      <c r="K135" s="63">
        <f>+(J135/I135)*100</f>
        <v>100</v>
      </c>
      <c r="L135" s="94">
        <v>0.9943570103491778</v>
      </c>
      <c r="M135" s="100">
        <f>+'ACUMULADO A DICIEMBRE 2015'!U135</f>
        <v>3152162586.204</v>
      </c>
      <c r="N135" s="124">
        <f>+'ACUMULADO A DICIEMBRE 2015'!W135</f>
        <v>3150215258</v>
      </c>
      <c r="O135" s="76">
        <f>+(N135/M135)*100</f>
        <v>99.9382224694715</v>
      </c>
      <c r="P135" s="63">
        <f>+'ACUMULADO A DICIEMBRE 2015'!E135</f>
        <v>3310465221.204</v>
      </c>
      <c r="Q135" s="71">
        <f>+'ACUMULADO A DICIEMBRE 2015'!G135</f>
        <v>3271268487</v>
      </c>
      <c r="R135" s="437">
        <f>+Q135/P135</f>
        <v>0.9881597504927889</v>
      </c>
      <c r="S135" s="137"/>
    </row>
    <row r="136" spans="1:19" ht="51" customHeight="1">
      <c r="A136" s="99"/>
      <c r="B136" s="136" t="s">
        <v>39</v>
      </c>
      <c r="C136" s="45" t="s">
        <v>343</v>
      </c>
      <c r="D136" s="58">
        <f>+'ACUMULADO A DICIEMBRE 2015'!T136</f>
        <v>2</v>
      </c>
      <c r="E136" s="111">
        <f>+'ACUMULADO A DICIEMBRE 2015'!V136</f>
        <v>2</v>
      </c>
      <c r="F136" s="58">
        <f>+(E136/D136)*100</f>
        <v>100</v>
      </c>
      <c r="G136" s="254"/>
      <c r="H136" s="63"/>
      <c r="I136" s="63">
        <f>+'ACUMULADO A DICIEMBRE 2015'!D136</f>
        <v>1.75</v>
      </c>
      <c r="J136" s="63">
        <f>+'ACUMULADO A DICIEMBRE 2015'!F136</f>
        <v>1.75</v>
      </c>
      <c r="K136" s="63">
        <f t="shared" si="25"/>
        <v>100</v>
      </c>
      <c r="L136" s="94">
        <v>0.003394872838602148</v>
      </c>
      <c r="M136" s="100">
        <f>+'ACUMULADO A DICIEMBRE 2015'!U136</f>
        <v>709346375</v>
      </c>
      <c r="N136" s="124">
        <f>+'ACUMULADO A DICIEMBRE 2015'!W136</f>
        <v>22662031</v>
      </c>
      <c r="O136" s="76">
        <f>+(N136/M136)*100</f>
        <v>3.1947764588209817</v>
      </c>
      <c r="P136" s="63">
        <f>+'ACUMULADO A DICIEMBRE 2015'!E136</f>
        <v>1809206037</v>
      </c>
      <c r="Q136" s="71">
        <f>+'ACUMULADO A DICIEMBRE 2015'!G136</f>
        <v>1117176687</v>
      </c>
      <c r="R136" s="437">
        <f>+Q136/P136</f>
        <v>0.6174955555932627</v>
      </c>
      <c r="S136" s="137"/>
    </row>
    <row r="137" spans="1:19" ht="53.25" customHeight="1">
      <c r="A137" s="99"/>
      <c r="B137" s="139" t="s">
        <v>206</v>
      </c>
      <c r="C137" s="45" t="s">
        <v>308</v>
      </c>
      <c r="D137" s="58">
        <f>+'ACUMULADO A DICIEMBRE 2015'!T137</f>
        <v>100</v>
      </c>
      <c r="E137" s="111">
        <f>+'ACUMULADO A DICIEMBRE 2015'!V137</f>
        <v>98</v>
      </c>
      <c r="F137" s="58">
        <f>+(E137/D137)*100</f>
        <v>98</v>
      </c>
      <c r="G137" s="254"/>
      <c r="H137" s="63"/>
      <c r="I137" s="63">
        <f>+'ACUMULADO A DICIEMBRE 2015'!D137</f>
        <v>100</v>
      </c>
      <c r="J137" s="63">
        <f>+'ACUMULADO A DICIEMBRE 2015'!F137</f>
        <v>66</v>
      </c>
      <c r="K137" s="63">
        <f t="shared" si="25"/>
        <v>66</v>
      </c>
      <c r="L137" s="94">
        <v>0.001648618995628016</v>
      </c>
      <c r="M137" s="100">
        <f>+'ACUMULADO A DICIEMBRE 2015'!U137</f>
        <v>11044000</v>
      </c>
      <c r="N137" s="124">
        <f>+'ACUMULADO A DICIEMBRE 2015'!W137</f>
        <v>10865587</v>
      </c>
      <c r="O137" s="76">
        <f>+(N137/M137)*100</f>
        <v>98.38452553422673</v>
      </c>
      <c r="P137" s="63">
        <f>+'ACUMULADO A DICIEMBRE 2015'!E137</f>
        <v>14236550</v>
      </c>
      <c r="Q137" s="71">
        <f>+'ACUMULADO A DICIEMBRE 2015'!G137</f>
        <v>14058137</v>
      </c>
      <c r="R137" s="437">
        <f>+Q137/P137</f>
        <v>0.9874679609877393</v>
      </c>
      <c r="S137" s="137"/>
    </row>
    <row r="138" spans="1:19" ht="31.5" customHeight="1" thickBot="1">
      <c r="A138" s="99"/>
      <c r="B138" s="553" t="s">
        <v>118</v>
      </c>
      <c r="C138" s="554"/>
      <c r="D138" s="155"/>
      <c r="E138" s="156"/>
      <c r="F138" s="435">
        <f>+(F5+F32+F64+F80+F111+F123)/6</f>
        <v>98.82037603222506</v>
      </c>
      <c r="G138" s="158">
        <f>+(G5+G32+G64+G80+G111+G123)/6</f>
        <v>0</v>
      </c>
      <c r="H138" s="158"/>
      <c r="I138" s="159"/>
      <c r="J138" s="155"/>
      <c r="K138" s="158">
        <f>+(K5+K32+K64+K80+K111+K123)/6</f>
        <v>97.87423643696337</v>
      </c>
      <c r="L138" s="157"/>
      <c r="M138" s="159">
        <f>+M6+M19+M24+M33+M37+M46+M57+M65+M73+M81+M102+M112+M124+M132</f>
        <v>26845410016.9672</v>
      </c>
      <c r="N138" s="159">
        <f>+N6+N19+N24+N33+N37+N46+N57+N65+N73+N81+N102+N112+N124+N132</f>
        <v>25466293407.428</v>
      </c>
      <c r="O138" s="158">
        <f>+N138/M138*100</f>
        <v>94.86274708165176</v>
      </c>
      <c r="P138" s="159">
        <f>+P6+P19+P24+P33+P37+P46+P57+P65+P73+P81+P102+P112+P124+P132</f>
        <v>82040134688.36719</v>
      </c>
      <c r="Q138" s="159">
        <f>+Q6+Q19+Q24+Q33+Q37+Q46+Q57+Q65+Q73+Q81+Q102+Q112+Q124+Q132</f>
        <v>78599852944.42801</v>
      </c>
      <c r="R138" s="158">
        <f>+Q138/P138*100</f>
        <v>95.80658691382305</v>
      </c>
      <c r="S138" s="160"/>
    </row>
    <row r="139" spans="2:19" ht="19.5" customHeight="1">
      <c r="B139" s="552" t="s">
        <v>173</v>
      </c>
      <c r="C139" s="552"/>
      <c r="D139" s="552"/>
      <c r="E139" s="552"/>
      <c r="F139" s="552"/>
      <c r="G139" s="552"/>
      <c r="H139" s="552"/>
      <c r="I139" s="552"/>
      <c r="J139" s="552"/>
      <c r="K139" s="552"/>
      <c r="L139" s="552"/>
      <c r="M139" s="552"/>
      <c r="N139" s="552"/>
      <c r="O139" s="552"/>
      <c r="P139" s="552"/>
      <c r="Q139" s="552"/>
      <c r="R139" s="552"/>
      <c r="S139" s="552"/>
    </row>
    <row r="140" spans="9:17" ht="48" customHeight="1">
      <c r="I140" s="30"/>
      <c r="J140" s="30"/>
      <c r="K140" s="30"/>
      <c r="L140" s="30"/>
      <c r="N140" s="534"/>
      <c r="P140" s="30"/>
      <c r="Q140" s="31"/>
    </row>
    <row r="141" spans="9:17" ht="18">
      <c r="I141" s="30"/>
      <c r="J141" s="30"/>
      <c r="K141" s="30"/>
      <c r="L141" s="30"/>
      <c r="N141" s="534"/>
      <c r="P141" s="30"/>
      <c r="Q141" s="30"/>
    </row>
    <row r="142" spans="9:17" ht="18">
      <c r="I142" s="30"/>
      <c r="J142" s="30"/>
      <c r="K142" s="30"/>
      <c r="L142" s="30"/>
      <c r="N142" s="535"/>
      <c r="P142" s="30"/>
      <c r="Q142" s="536"/>
    </row>
    <row r="143" spans="9:17" ht="18">
      <c r="I143" s="30"/>
      <c r="J143" s="30"/>
      <c r="K143" s="30"/>
      <c r="L143" s="30"/>
      <c r="N143" s="535"/>
      <c r="P143" s="30"/>
      <c r="Q143" s="30"/>
    </row>
    <row r="144" spans="9:17" ht="18">
      <c r="I144" s="30"/>
      <c r="J144" s="30"/>
      <c r="K144" s="30"/>
      <c r="L144" s="30"/>
      <c r="P144" s="30"/>
      <c r="Q144" s="537"/>
    </row>
    <row r="145" spans="9:17" ht="18">
      <c r="I145" s="30"/>
      <c r="J145" s="30"/>
      <c r="K145" s="30"/>
      <c r="L145" s="30"/>
      <c r="P145" s="30"/>
      <c r="Q145" s="30"/>
    </row>
    <row r="146" spans="9:17" ht="18">
      <c r="I146" s="30"/>
      <c r="J146" s="30"/>
      <c r="K146" s="30"/>
      <c r="L146" s="30"/>
      <c r="P146" s="30"/>
      <c r="Q146" s="30"/>
    </row>
    <row r="147" spans="9:17" ht="18">
      <c r="I147" s="30"/>
      <c r="J147" s="30"/>
      <c r="K147" s="30"/>
      <c r="L147" s="30"/>
      <c r="P147" s="30"/>
      <c r="Q147" s="538"/>
    </row>
    <row r="148" spans="9:17" ht="18">
      <c r="I148" s="30"/>
      <c r="J148" s="30"/>
      <c r="K148" s="30"/>
      <c r="L148" s="30"/>
      <c r="P148" s="30"/>
      <c r="Q148" s="30"/>
    </row>
    <row r="149" spans="9:17" ht="18">
      <c r="I149" s="30"/>
      <c r="J149" s="30"/>
      <c r="K149" s="30"/>
      <c r="L149" s="30"/>
      <c r="P149" s="30"/>
      <c r="Q149" s="30"/>
    </row>
    <row r="150" spans="9:17" ht="18">
      <c r="I150" s="30"/>
      <c r="J150" s="30"/>
      <c r="K150" s="30"/>
      <c r="L150" s="30"/>
      <c r="P150" s="30"/>
      <c r="Q150" s="30"/>
    </row>
    <row r="151" spans="9:17" ht="18">
      <c r="I151" s="30"/>
      <c r="J151" s="30"/>
      <c r="K151" s="30"/>
      <c r="L151" s="30"/>
      <c r="P151" s="30"/>
      <c r="Q151" s="30"/>
    </row>
    <row r="152" spans="9:17" ht="18">
      <c r="I152" s="30"/>
      <c r="J152" s="30"/>
      <c r="K152" s="30"/>
      <c r="L152" s="30"/>
      <c r="P152" s="30"/>
      <c r="Q152" s="30"/>
    </row>
    <row r="153" spans="9:17" ht="18">
      <c r="I153" s="30"/>
      <c r="J153" s="30"/>
      <c r="K153" s="30"/>
      <c r="L153" s="30"/>
      <c r="P153" s="30"/>
      <c r="Q153" s="30"/>
    </row>
    <row r="154" spans="9:17" ht="18">
      <c r="I154" s="30"/>
      <c r="J154" s="30"/>
      <c r="K154" s="30"/>
      <c r="L154" s="30"/>
      <c r="P154" s="30"/>
      <c r="Q154" s="30"/>
    </row>
    <row r="155" spans="9:17" ht="18">
      <c r="I155" s="30"/>
      <c r="J155" s="30"/>
      <c r="K155" s="30"/>
      <c r="L155" s="30"/>
      <c r="P155" s="30"/>
      <c r="Q155" s="30"/>
    </row>
    <row r="156" spans="9:17" ht="18">
      <c r="I156" s="30"/>
      <c r="J156" s="30"/>
      <c r="K156" s="30"/>
      <c r="L156" s="30"/>
      <c r="P156" s="30"/>
      <c r="Q156" s="30"/>
    </row>
    <row r="157" spans="9:17" ht="18">
      <c r="I157" s="30"/>
      <c r="J157" s="30"/>
      <c r="K157" s="30"/>
      <c r="L157" s="30"/>
      <c r="P157" s="30"/>
      <c r="Q157" s="30"/>
    </row>
    <row r="158" spans="9:17" ht="18">
      <c r="I158" s="30"/>
      <c r="J158" s="30"/>
      <c r="K158" s="30"/>
      <c r="L158" s="30"/>
      <c r="P158" s="30"/>
      <c r="Q158" s="30"/>
    </row>
    <row r="159" spans="9:17" ht="18">
      <c r="I159" s="30"/>
      <c r="J159" s="30"/>
      <c r="K159" s="30"/>
      <c r="L159" s="30"/>
      <c r="P159" s="30"/>
      <c r="Q159" s="30"/>
    </row>
    <row r="160" spans="9:17" ht="18">
      <c r="I160" s="30"/>
      <c r="J160" s="30"/>
      <c r="K160" s="30"/>
      <c r="L160" s="30"/>
      <c r="P160" s="30"/>
      <c r="Q160" s="30"/>
    </row>
    <row r="161" spans="9:17" ht="18">
      <c r="I161" s="30"/>
      <c r="J161" s="30"/>
      <c r="K161" s="30"/>
      <c r="L161" s="30"/>
      <c r="P161" s="30"/>
      <c r="Q161" s="30"/>
    </row>
    <row r="162" spans="9:17" ht="18">
      <c r="I162" s="30"/>
      <c r="J162" s="30"/>
      <c r="K162" s="30"/>
      <c r="L162" s="30"/>
      <c r="P162" s="30"/>
      <c r="Q162" s="30"/>
    </row>
    <row r="163" spans="9:17" ht="18">
      <c r="I163" s="30"/>
      <c r="J163" s="30"/>
      <c r="K163" s="30"/>
      <c r="L163" s="30"/>
      <c r="P163" s="30"/>
      <c r="Q163" s="30"/>
    </row>
    <row r="164" spans="9:17" ht="18">
      <c r="I164" s="30"/>
      <c r="J164" s="30"/>
      <c r="K164" s="30"/>
      <c r="L164" s="30"/>
      <c r="P164" s="30"/>
      <c r="Q164" s="30"/>
    </row>
    <row r="165" spans="9:17" ht="18">
      <c r="I165" s="30"/>
      <c r="J165" s="30"/>
      <c r="K165" s="30"/>
      <c r="L165" s="30"/>
      <c r="P165" s="30"/>
      <c r="Q165" s="30"/>
    </row>
    <row r="166" spans="9:17" ht="18">
      <c r="I166" s="30"/>
      <c r="J166" s="30"/>
      <c r="K166" s="30"/>
      <c r="L166" s="30"/>
      <c r="P166" s="30"/>
      <c r="Q166" s="30"/>
    </row>
    <row r="167" spans="9:17" ht="18">
      <c r="I167" s="30"/>
      <c r="J167" s="30"/>
      <c r="K167" s="30"/>
      <c r="L167" s="30"/>
      <c r="P167" s="30"/>
      <c r="Q167" s="30"/>
    </row>
    <row r="168" spans="9:17" ht="18">
      <c r="I168" s="30"/>
      <c r="J168" s="30"/>
      <c r="K168" s="30"/>
      <c r="L168" s="30"/>
      <c r="P168" s="30"/>
      <c r="Q168" s="30"/>
    </row>
    <row r="169" spans="9:17" ht="18">
      <c r="I169" s="30"/>
      <c r="J169" s="30"/>
      <c r="K169" s="30"/>
      <c r="L169" s="30"/>
      <c r="P169" s="30"/>
      <c r="Q169" s="30"/>
    </row>
    <row r="170" spans="9:17" ht="18">
      <c r="I170" s="30"/>
      <c r="J170" s="30"/>
      <c r="K170" s="30"/>
      <c r="L170" s="30"/>
      <c r="P170" s="30"/>
      <c r="Q170" s="30"/>
    </row>
    <row r="171" spans="9:17" ht="18">
      <c r="I171" s="30"/>
      <c r="J171" s="30"/>
      <c r="K171" s="30"/>
      <c r="L171" s="30"/>
      <c r="P171" s="30"/>
      <c r="Q171" s="30"/>
    </row>
    <row r="172" spans="9:17" ht="18">
      <c r="I172" s="30"/>
      <c r="J172" s="30"/>
      <c r="K172" s="30"/>
      <c r="L172" s="30"/>
      <c r="P172" s="30"/>
      <c r="Q172" s="30"/>
    </row>
    <row r="173" spans="9:17" ht="18">
      <c r="I173" s="30"/>
      <c r="J173" s="30"/>
      <c r="K173" s="30"/>
      <c r="L173" s="30"/>
      <c r="P173" s="30"/>
      <c r="Q173" s="30"/>
    </row>
    <row r="174" spans="9:17" ht="18">
      <c r="I174" s="30"/>
      <c r="J174" s="30"/>
      <c r="K174" s="30"/>
      <c r="L174" s="30"/>
      <c r="P174" s="30"/>
      <c r="Q174" s="30"/>
    </row>
    <row r="175" spans="9:17" ht="18">
      <c r="I175" s="30"/>
      <c r="J175" s="30"/>
      <c r="K175" s="30"/>
      <c r="L175" s="30"/>
      <c r="P175" s="30"/>
      <c r="Q175" s="30"/>
    </row>
    <row r="176" spans="9:17" ht="18">
      <c r="I176" s="30"/>
      <c r="J176" s="30"/>
      <c r="K176" s="30"/>
      <c r="L176" s="30"/>
      <c r="P176" s="30"/>
      <c r="Q176" s="30"/>
    </row>
    <row r="177" spans="9:17" ht="18">
      <c r="I177" s="30"/>
      <c r="J177" s="30"/>
      <c r="K177" s="30"/>
      <c r="L177" s="30"/>
      <c r="P177" s="30"/>
      <c r="Q177" s="30"/>
    </row>
    <row r="178" spans="9:17" ht="18">
      <c r="I178" s="30"/>
      <c r="J178" s="30"/>
      <c r="K178" s="30"/>
      <c r="L178" s="30"/>
      <c r="P178" s="30"/>
      <c r="Q178" s="30"/>
    </row>
    <row r="179" spans="9:17" ht="18">
      <c r="I179" s="30"/>
      <c r="J179" s="30"/>
      <c r="K179" s="30"/>
      <c r="L179" s="30"/>
      <c r="P179" s="30"/>
      <c r="Q179" s="30"/>
    </row>
    <row r="180" spans="9:17" ht="18">
      <c r="I180" s="30"/>
      <c r="J180" s="30"/>
      <c r="K180" s="30"/>
      <c r="L180" s="30"/>
      <c r="P180" s="30"/>
      <c r="Q180" s="30"/>
    </row>
    <row r="181" spans="9:17" ht="18">
      <c r="I181" s="30"/>
      <c r="J181" s="30"/>
      <c r="K181" s="30"/>
      <c r="L181" s="30"/>
      <c r="P181" s="30"/>
      <c r="Q181" s="30"/>
    </row>
    <row r="182" spans="9:17" ht="18">
      <c r="I182" s="30"/>
      <c r="J182" s="30"/>
      <c r="K182" s="30"/>
      <c r="L182" s="30"/>
      <c r="P182" s="30"/>
      <c r="Q182" s="30"/>
    </row>
  </sheetData>
  <sheetProtection/>
  <mergeCells count="8">
    <mergeCell ref="B139:S139"/>
    <mergeCell ref="B138:C138"/>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1"/>
  <headerFooter alignWithMargins="0">
    <oddFooter>&amp;ROficina de Planeación
Diciembre 31/2014
</oddFooter>
  </headerFooter>
</worksheet>
</file>

<file path=xl/worksheets/sheet3.xml><?xml version="1.0" encoding="utf-8"?>
<worksheet xmlns="http://schemas.openxmlformats.org/spreadsheetml/2006/main" xmlns:r="http://schemas.openxmlformats.org/officeDocument/2006/relationships">
  <dimension ref="A1:R208"/>
  <sheetViews>
    <sheetView view="pageBreakPreview" zoomScale="70" zoomScaleNormal="70" zoomScaleSheetLayoutView="70" zoomScalePageLayoutView="0" workbookViewId="0" topLeftCell="A172">
      <selection activeCell="H182" sqref="H182:H183"/>
    </sheetView>
  </sheetViews>
  <sheetFormatPr defaultColWidth="11.421875" defaultRowHeight="12.75"/>
  <cols>
    <col min="1" max="1" width="28.8515625" style="176" customWidth="1"/>
    <col min="2" max="2" width="29.00390625" style="245" customWidth="1"/>
    <col min="3" max="3" width="66.57421875" style="176" customWidth="1"/>
    <col min="4" max="4" width="18.421875" style="176" customWidth="1"/>
    <col min="5" max="5" width="21.00390625" style="239" customWidth="1"/>
    <col min="6" max="6" width="17.57421875" style="239" customWidth="1"/>
    <col min="7" max="7" width="24.140625" style="240" customWidth="1"/>
    <col min="8" max="8" width="25.140625" style="241" customWidth="1"/>
    <col min="9" max="9" width="25.7109375" style="241" customWidth="1"/>
    <col min="10" max="10" width="18.421875" style="173" hidden="1" customWidth="1"/>
    <col min="11" max="11" width="17.00390625" style="174" hidden="1" customWidth="1"/>
    <col min="12" max="13" width="14.421875" style="193" hidden="1" customWidth="1"/>
    <col min="14" max="14" width="14.421875" style="194" hidden="1" customWidth="1"/>
    <col min="15" max="16" width="14.421875" style="175" hidden="1" customWidth="1"/>
    <col min="17" max="18" width="0" style="176" hidden="1" customWidth="1"/>
    <col min="19" max="16384" width="11.421875" style="176" customWidth="1"/>
  </cols>
  <sheetData>
    <row r="1" spans="1:16" s="96" customFormat="1" ht="34.5" customHeight="1">
      <c r="A1" s="568" t="s">
        <v>446</v>
      </c>
      <c r="B1" s="569"/>
      <c r="C1" s="569"/>
      <c r="D1" s="569"/>
      <c r="E1" s="569"/>
      <c r="F1" s="569"/>
      <c r="G1" s="569"/>
      <c r="H1" s="569"/>
      <c r="I1" s="161" t="s">
        <v>447</v>
      </c>
      <c r="J1" s="162"/>
      <c r="K1" s="163"/>
      <c r="L1" s="164"/>
      <c r="M1" s="164"/>
      <c r="N1" s="165"/>
      <c r="O1" s="166"/>
      <c r="P1" s="166"/>
    </row>
    <row r="2" spans="1:16" s="96" customFormat="1" ht="28.5" customHeight="1">
      <c r="A2" s="570"/>
      <c r="B2" s="571"/>
      <c r="C2" s="571"/>
      <c r="D2" s="571"/>
      <c r="E2" s="571"/>
      <c r="F2" s="571"/>
      <c r="G2" s="571"/>
      <c r="H2" s="571"/>
      <c r="I2" s="167" t="s">
        <v>448</v>
      </c>
      <c r="J2" s="162"/>
      <c r="K2" s="163"/>
      <c r="L2" s="164"/>
      <c r="M2" s="164"/>
      <c r="N2" s="165"/>
      <c r="O2" s="166"/>
      <c r="P2" s="166"/>
    </row>
    <row r="3" spans="1:16" s="96" customFormat="1" ht="55.5" customHeight="1" thickBot="1">
      <c r="A3" s="570"/>
      <c r="B3" s="571"/>
      <c r="C3" s="571"/>
      <c r="D3" s="571"/>
      <c r="E3" s="571"/>
      <c r="F3" s="571"/>
      <c r="G3" s="571"/>
      <c r="H3" s="571"/>
      <c r="I3" s="168" t="s">
        <v>449</v>
      </c>
      <c r="J3" s="162"/>
      <c r="K3" s="163"/>
      <c r="L3" s="164"/>
      <c r="M3" s="164"/>
      <c r="N3" s="165"/>
      <c r="O3" s="166"/>
      <c r="P3" s="166"/>
    </row>
    <row r="4" spans="1:16" s="96" customFormat="1" ht="8.25" customHeight="1">
      <c r="A4" s="169"/>
      <c r="B4" s="572"/>
      <c r="C4" s="572"/>
      <c r="D4" s="572"/>
      <c r="E4" s="572"/>
      <c r="F4" s="572"/>
      <c r="G4" s="572"/>
      <c r="H4" s="572"/>
      <c r="I4" s="573"/>
      <c r="J4" s="162"/>
      <c r="K4" s="163"/>
      <c r="L4" s="164"/>
      <c r="M4" s="164"/>
      <c r="N4" s="165"/>
      <c r="O4" s="166"/>
      <c r="P4" s="166"/>
    </row>
    <row r="5" spans="1:16" s="96" customFormat="1" ht="39" customHeight="1">
      <c r="A5" s="574" t="s">
        <v>450</v>
      </c>
      <c r="B5" s="575"/>
      <c r="C5" s="572">
        <v>2015</v>
      </c>
      <c r="D5" s="572"/>
      <c r="E5" s="170"/>
      <c r="F5" s="171" t="s">
        <v>451</v>
      </c>
      <c r="G5" s="572" t="s">
        <v>549</v>
      </c>
      <c r="H5" s="572"/>
      <c r="I5" s="573"/>
      <c r="J5" s="162"/>
      <c r="K5" s="163"/>
      <c r="L5" s="164"/>
      <c r="M5" s="164"/>
      <c r="N5" s="165"/>
      <c r="O5" s="166"/>
      <c r="P5" s="166"/>
    </row>
    <row r="6" spans="1:14" ht="8.25" customHeight="1">
      <c r="A6" s="172"/>
      <c r="B6" s="576"/>
      <c r="C6" s="576"/>
      <c r="D6" s="576"/>
      <c r="E6" s="576"/>
      <c r="F6" s="576"/>
      <c r="G6" s="576"/>
      <c r="H6" s="576"/>
      <c r="I6" s="577"/>
      <c r="L6" s="164"/>
      <c r="M6" s="164"/>
      <c r="N6" s="165"/>
    </row>
    <row r="7" spans="1:16" s="181" customFormat="1" ht="15.75" customHeight="1">
      <c r="A7" s="578" t="s">
        <v>452</v>
      </c>
      <c r="B7" s="579" t="s">
        <v>453</v>
      </c>
      <c r="C7" s="580" t="s">
        <v>454</v>
      </c>
      <c r="D7" s="581" t="s">
        <v>129</v>
      </c>
      <c r="E7" s="581" t="s">
        <v>455</v>
      </c>
      <c r="F7" s="581"/>
      <c r="G7" s="582" t="s">
        <v>456</v>
      </c>
      <c r="H7" s="582"/>
      <c r="I7" s="583"/>
      <c r="J7" s="179"/>
      <c r="K7" s="180"/>
      <c r="L7" s="164"/>
      <c r="M7" s="164"/>
      <c r="N7" s="165"/>
      <c r="O7" s="41"/>
      <c r="P7" s="41"/>
    </row>
    <row r="8" spans="1:16" s="189" customFormat="1" ht="45.75" customHeight="1">
      <c r="A8" s="578"/>
      <c r="B8" s="579"/>
      <c r="C8" s="580"/>
      <c r="D8" s="581"/>
      <c r="E8" s="182" t="s">
        <v>457</v>
      </c>
      <c r="F8" s="183" t="s">
        <v>458</v>
      </c>
      <c r="G8" s="184" t="s">
        <v>459</v>
      </c>
      <c r="H8" s="184" t="s">
        <v>460</v>
      </c>
      <c r="I8" s="178" t="s">
        <v>461</v>
      </c>
      <c r="J8" s="185"/>
      <c r="K8" s="186"/>
      <c r="L8" s="187" t="s">
        <v>462</v>
      </c>
      <c r="M8" s="187" t="s">
        <v>462</v>
      </c>
      <c r="N8" s="188" t="s">
        <v>463</v>
      </c>
      <c r="O8" s="39" t="s">
        <v>464</v>
      </c>
      <c r="P8" s="39" t="s">
        <v>464</v>
      </c>
    </row>
    <row r="9" spans="1:16" s="30" customFormat="1" ht="76.5" customHeight="1">
      <c r="A9" s="584" t="s">
        <v>465</v>
      </c>
      <c r="B9" s="587" t="s">
        <v>466</v>
      </c>
      <c r="C9" s="190" t="s">
        <v>467</v>
      </c>
      <c r="D9" s="45" t="s">
        <v>304</v>
      </c>
      <c r="E9" s="58">
        <v>3000</v>
      </c>
      <c r="F9" s="111">
        <f>+'ACUMULADO A DICIEMBRE 2015'!V7</f>
        <v>3000</v>
      </c>
      <c r="G9" s="120">
        <f>+'ACUMULADO A DICIEMBRE 2015'!U7</f>
        <v>25507624</v>
      </c>
      <c r="H9" s="101">
        <f>+'ACUMULADO A DICIEMBRE 2015'!W7</f>
        <v>25507624</v>
      </c>
      <c r="I9" s="191">
        <f>+G9-H9</f>
        <v>0</v>
      </c>
      <c r="J9" s="192"/>
      <c r="K9" s="31"/>
      <c r="L9" s="193"/>
      <c r="M9" s="193"/>
      <c r="N9" s="194"/>
      <c r="O9" s="175"/>
      <c r="P9" s="175"/>
    </row>
    <row r="10" spans="1:16" s="30" customFormat="1" ht="35.25" customHeight="1">
      <c r="A10" s="585"/>
      <c r="B10" s="587"/>
      <c r="C10" s="190" t="s">
        <v>468</v>
      </c>
      <c r="D10" s="45" t="s">
        <v>305</v>
      </c>
      <c r="E10" s="58">
        <v>330314</v>
      </c>
      <c r="F10" s="111">
        <f>+'ACUMULADO A DICIEMBRE 2015'!V8</f>
        <v>330314</v>
      </c>
      <c r="G10" s="120">
        <f>+'ACUMULADO A DICIEMBRE 2015'!U8</f>
        <v>645807618.8</v>
      </c>
      <c r="H10" s="101">
        <f>+'ACUMULADO A DICIEMBRE 2015'!W8</f>
        <v>622785456</v>
      </c>
      <c r="I10" s="191">
        <f aca="true" t="shared" si="0" ref="I10:I20">+G10-H10</f>
        <v>23022162.799999952</v>
      </c>
      <c r="J10" s="192"/>
      <c r="K10" s="31"/>
      <c r="L10" s="193"/>
      <c r="M10" s="193"/>
      <c r="N10" s="194"/>
      <c r="O10" s="175"/>
      <c r="P10" s="175"/>
    </row>
    <row r="11" spans="1:16" s="30" customFormat="1" ht="30" customHeight="1">
      <c r="A11" s="585"/>
      <c r="B11" s="587"/>
      <c r="C11" s="190" t="s">
        <v>469</v>
      </c>
      <c r="D11" s="45" t="s">
        <v>304</v>
      </c>
      <c r="E11" s="58">
        <v>30000</v>
      </c>
      <c r="F11" s="111">
        <f>+'ACUMULADO A DICIEMBRE 2015'!V9</f>
        <v>41228</v>
      </c>
      <c r="G11" s="120">
        <f>+'ACUMULADO A DICIEMBRE 2015'!U9</f>
        <v>38436921</v>
      </c>
      <c r="H11" s="101">
        <f>+'ACUMULADO A DICIEMBRE 2015'!W9</f>
        <v>38436921</v>
      </c>
      <c r="I11" s="191">
        <f t="shared" si="0"/>
        <v>0</v>
      </c>
      <c r="J11" s="192">
        <v>118606003</v>
      </c>
      <c r="K11" s="31"/>
      <c r="L11" s="193">
        <v>35046</v>
      </c>
      <c r="M11" s="193">
        <v>255412</v>
      </c>
      <c r="N11" s="194">
        <v>615140</v>
      </c>
      <c r="O11" s="175"/>
      <c r="P11" s="175"/>
    </row>
    <row r="12" spans="1:16" s="30" customFormat="1" ht="33.75" customHeight="1">
      <c r="A12" s="585"/>
      <c r="B12" s="587"/>
      <c r="C12" s="190" t="s">
        <v>470</v>
      </c>
      <c r="D12" s="45" t="s">
        <v>305</v>
      </c>
      <c r="E12" s="58">
        <v>4145</v>
      </c>
      <c r="F12" s="111">
        <f>+'ACUMULADO A DICIEMBRE 2015'!V10</f>
        <v>4145</v>
      </c>
      <c r="G12" s="120">
        <f>+'ACUMULADO A DICIEMBRE 2015'!U10</f>
        <v>38060475</v>
      </c>
      <c r="H12" s="101">
        <f>+'ACUMULADO A DICIEMBRE 2015'!W10</f>
        <v>38060475</v>
      </c>
      <c r="I12" s="191">
        <f t="shared" si="0"/>
        <v>0</v>
      </c>
      <c r="J12" s="192">
        <v>304866161</v>
      </c>
      <c r="K12" s="31"/>
      <c r="L12" s="193">
        <v>79222</v>
      </c>
      <c r="M12" s="193"/>
      <c r="N12" s="194">
        <v>165962</v>
      </c>
      <c r="O12" s="175"/>
      <c r="P12" s="175"/>
    </row>
    <row r="13" spans="1:16" s="30" customFormat="1" ht="34.5" customHeight="1">
      <c r="A13" s="585"/>
      <c r="B13" s="587"/>
      <c r="C13" s="190" t="s">
        <v>471</v>
      </c>
      <c r="D13" s="45" t="s">
        <v>306</v>
      </c>
      <c r="E13" s="58">
        <v>3</v>
      </c>
      <c r="F13" s="111">
        <f>+'ACUMULADO A DICIEMBRE 2015'!V11</f>
        <v>4</v>
      </c>
      <c r="G13" s="120">
        <f>+'ACUMULADO A DICIEMBRE 2015'!U11</f>
        <v>55020646</v>
      </c>
      <c r="H13" s="101">
        <f>+'ACUMULADO A DICIEMBRE 2015'!W11</f>
        <v>55020646</v>
      </c>
      <c r="I13" s="191">
        <f t="shared" si="0"/>
        <v>0</v>
      </c>
      <c r="J13" s="192">
        <f>SUM(J11:J12)</f>
        <v>423472164</v>
      </c>
      <c r="K13" s="31"/>
      <c r="L13" s="193">
        <v>255412</v>
      </c>
      <c r="M13" s="193"/>
      <c r="N13" s="194">
        <v>489303</v>
      </c>
      <c r="O13" s="175"/>
      <c r="P13" s="175"/>
    </row>
    <row r="14" spans="1:16" s="30" customFormat="1" ht="64.5" customHeight="1">
      <c r="A14" s="585"/>
      <c r="B14" s="587"/>
      <c r="C14" s="52" t="s">
        <v>472</v>
      </c>
      <c r="D14" s="45" t="s">
        <v>304</v>
      </c>
      <c r="E14" s="58">
        <v>2000</v>
      </c>
      <c r="F14" s="111">
        <f>+'ACUMULADO A DICIEMBRE 2015'!V12</f>
        <v>2000</v>
      </c>
      <c r="G14" s="120">
        <f>+'ACUMULADO A DICIEMBRE 2015'!U12</f>
        <v>33191121</v>
      </c>
      <c r="H14" s="101">
        <f>+'ACUMULADO A DICIEMBRE 2015'!W12</f>
        <v>33190181</v>
      </c>
      <c r="I14" s="191">
        <f t="shared" si="0"/>
        <v>940</v>
      </c>
      <c r="J14" s="195" t="s">
        <v>473</v>
      </c>
      <c r="K14" s="31"/>
      <c r="L14" s="193">
        <v>85137</v>
      </c>
      <c r="M14" s="193"/>
      <c r="N14" s="194">
        <v>341394</v>
      </c>
      <c r="O14" s="175"/>
      <c r="P14" s="175"/>
    </row>
    <row r="15" spans="1:16" s="30" customFormat="1" ht="42" customHeight="1">
      <c r="A15" s="585"/>
      <c r="B15" s="587"/>
      <c r="C15" s="52" t="s">
        <v>474</v>
      </c>
      <c r="D15" s="45" t="s">
        <v>163</v>
      </c>
      <c r="E15" s="58">
        <v>350</v>
      </c>
      <c r="F15" s="111">
        <f>+'ACUMULADO A DICIEMBRE 2015'!V13</f>
        <v>747</v>
      </c>
      <c r="G15" s="120">
        <f>+'ACUMULADO A DICIEMBRE 2015'!U13</f>
        <v>560560000</v>
      </c>
      <c r="H15" s="101">
        <f>+'ACUMULADO A DICIEMBRE 2015'!W13</f>
        <v>509797466</v>
      </c>
      <c r="I15" s="191">
        <f t="shared" si="0"/>
        <v>50762534</v>
      </c>
      <c r="J15" s="195"/>
      <c r="K15" s="31"/>
      <c r="L15" s="196" t="s">
        <v>475</v>
      </c>
      <c r="M15" s="193"/>
      <c r="N15" s="194"/>
      <c r="O15" s="175"/>
      <c r="P15" s="175"/>
    </row>
    <row r="16" spans="1:16" s="30" customFormat="1" ht="48" customHeight="1">
      <c r="A16" s="585"/>
      <c r="B16" s="587"/>
      <c r="C16" s="52" t="s">
        <v>476</v>
      </c>
      <c r="D16" s="45" t="s">
        <v>307</v>
      </c>
      <c r="E16" s="58">
        <v>3</v>
      </c>
      <c r="F16" s="111">
        <f>+'ACUMULADO A DICIEMBRE 2015'!V14</f>
        <v>3</v>
      </c>
      <c r="G16" s="120">
        <f>+'ACUMULADO A DICIEMBRE 2015'!U14</f>
        <v>78120000</v>
      </c>
      <c r="H16" s="101">
        <f>+'ACUMULADO A DICIEMBRE 2015'!W14</f>
        <v>78118594</v>
      </c>
      <c r="I16" s="191">
        <f t="shared" si="0"/>
        <v>1406</v>
      </c>
      <c r="J16" s="192">
        <v>474190061</v>
      </c>
      <c r="K16" s="31"/>
      <c r="L16" s="193">
        <v>425685</v>
      </c>
      <c r="M16" s="193"/>
      <c r="N16" s="194">
        <v>197989</v>
      </c>
      <c r="O16" s="175"/>
      <c r="P16" s="175"/>
    </row>
    <row r="17" spans="1:16" s="30" customFormat="1" ht="48" customHeight="1">
      <c r="A17" s="585"/>
      <c r="B17" s="587"/>
      <c r="C17" s="52" t="s">
        <v>477</v>
      </c>
      <c r="D17" s="45" t="s">
        <v>170</v>
      </c>
      <c r="E17" s="114">
        <v>2</v>
      </c>
      <c r="F17" s="111">
        <f>+'ACUMULADO A DICIEMBRE 2015'!V15</f>
        <v>2</v>
      </c>
      <c r="G17" s="120">
        <f>+'ACUMULADO A DICIEMBRE 2015'!U15</f>
        <v>12550000</v>
      </c>
      <c r="H17" s="101">
        <f>+'ACUMULADO A DICIEMBRE 2015'!W15</f>
        <v>12550000</v>
      </c>
      <c r="I17" s="191">
        <f t="shared" si="0"/>
        <v>0</v>
      </c>
      <c r="J17" s="192"/>
      <c r="K17" s="31"/>
      <c r="L17" s="193"/>
      <c r="M17" s="193"/>
      <c r="N17" s="194"/>
      <c r="O17" s="175"/>
      <c r="P17" s="175"/>
    </row>
    <row r="18" spans="1:16" s="30" customFormat="1" ht="48" customHeight="1">
      <c r="A18" s="585"/>
      <c r="B18" s="587"/>
      <c r="C18" s="52" t="s">
        <v>478</v>
      </c>
      <c r="D18" s="45" t="s">
        <v>304</v>
      </c>
      <c r="E18" s="58">
        <v>5774</v>
      </c>
      <c r="F18" s="111">
        <f>+'ACUMULADO A DICIEMBRE 2015'!V16</f>
        <v>29092</v>
      </c>
      <c r="G18" s="120">
        <f>+'ACUMULADO A DICIEMBRE 2015'!U16</f>
        <v>0</v>
      </c>
      <c r="H18" s="101">
        <f>+'ACUMULADO A DICIEMBRE 2015'!W16</f>
        <v>0</v>
      </c>
      <c r="I18" s="191">
        <f t="shared" si="0"/>
        <v>0</v>
      </c>
      <c r="J18" s="192"/>
      <c r="K18" s="31"/>
      <c r="L18" s="193"/>
      <c r="M18" s="193"/>
      <c r="N18" s="194"/>
      <c r="O18" s="175"/>
      <c r="P18" s="175"/>
    </row>
    <row r="19" spans="1:16" s="30" customFormat="1" ht="48" customHeight="1">
      <c r="A19" s="585"/>
      <c r="B19" s="587"/>
      <c r="C19" s="52" t="s">
        <v>479</v>
      </c>
      <c r="D19" s="45" t="s">
        <v>225</v>
      </c>
      <c r="E19" s="58">
        <v>6</v>
      </c>
      <c r="F19" s="111">
        <f>+'ACUMULADO A DICIEMBRE 2015'!V17</f>
        <v>6</v>
      </c>
      <c r="G19" s="120">
        <f>+'ACUMULADO A DICIEMBRE 2015'!U17</f>
        <v>149829980</v>
      </c>
      <c r="H19" s="101">
        <f>+'ACUMULADO A DICIEMBRE 2015'!W17</f>
        <v>149829980</v>
      </c>
      <c r="I19" s="191">
        <f t="shared" si="0"/>
        <v>0</v>
      </c>
      <c r="J19" s="192"/>
      <c r="K19" s="31"/>
      <c r="L19" s="193"/>
      <c r="M19" s="193"/>
      <c r="N19" s="194"/>
      <c r="O19" s="175"/>
      <c r="P19" s="175"/>
    </row>
    <row r="20" spans="1:16" s="30" customFormat="1" ht="33" customHeight="1">
      <c r="A20" s="585"/>
      <c r="B20" s="587"/>
      <c r="C20" s="52" t="s">
        <v>206</v>
      </c>
      <c r="D20" s="45" t="s">
        <v>308</v>
      </c>
      <c r="E20" s="58">
        <v>100</v>
      </c>
      <c r="F20" s="111">
        <f>+'ACUMULADO A DICIEMBRE 2015'!V18</f>
        <v>99.99186507827189</v>
      </c>
      <c r="G20" s="120">
        <f>+'ACUMULADO A DICIEMBRE 2015'!U18</f>
        <v>24683704</v>
      </c>
      <c r="H20" s="101">
        <f>+'ACUMULADO A DICIEMBRE 2015'!W18</f>
        <v>24681696</v>
      </c>
      <c r="I20" s="191">
        <f t="shared" si="0"/>
        <v>2008</v>
      </c>
      <c r="J20" s="195">
        <f>SUM(J16:J16)</f>
        <v>474190061</v>
      </c>
      <c r="K20" s="31"/>
      <c r="L20" s="193">
        <v>1097149</v>
      </c>
      <c r="M20" s="193"/>
      <c r="N20" s="194">
        <v>278352</v>
      </c>
      <c r="O20" s="175"/>
      <c r="P20" s="175"/>
    </row>
    <row r="21" spans="1:16" s="30" customFormat="1" ht="18" customHeight="1">
      <c r="A21" s="585"/>
      <c r="B21" s="587"/>
      <c r="C21" s="588" t="s">
        <v>480</v>
      </c>
      <c r="D21" s="588"/>
      <c r="E21" s="588"/>
      <c r="F21" s="588"/>
      <c r="G21" s="114">
        <f>SUM(G9:G20)</f>
        <v>1661768089.8</v>
      </c>
      <c r="H21" s="198"/>
      <c r="I21" s="589">
        <f>SUM(I9:I20)</f>
        <v>73789050.79999995</v>
      </c>
      <c r="J21" s="199">
        <f>675436154-J20</f>
        <v>201246093</v>
      </c>
      <c r="K21" s="31"/>
      <c r="L21" s="193">
        <v>210274</v>
      </c>
      <c r="M21" s="193"/>
      <c r="N21" s="194"/>
      <c r="O21" s="175"/>
      <c r="P21" s="175"/>
    </row>
    <row r="22" spans="1:16" s="30" customFormat="1" ht="18" customHeight="1">
      <c r="A22" s="585"/>
      <c r="B22" s="587"/>
      <c r="C22" s="588" t="s">
        <v>481</v>
      </c>
      <c r="D22" s="588"/>
      <c r="E22" s="588"/>
      <c r="F22" s="588"/>
      <c r="G22" s="588"/>
      <c r="H22" s="197">
        <f>SUM(H9:H21)</f>
        <v>1587979039</v>
      </c>
      <c r="I22" s="590"/>
      <c r="J22" s="200">
        <v>11</v>
      </c>
      <c r="K22" s="31"/>
      <c r="L22" s="193">
        <v>105137</v>
      </c>
      <c r="M22" s="193"/>
      <c r="N22" s="194"/>
      <c r="O22" s="175"/>
      <c r="P22" s="175"/>
    </row>
    <row r="23" spans="1:16" s="30" customFormat="1" ht="18.75" customHeight="1">
      <c r="A23" s="585"/>
      <c r="B23" s="587"/>
      <c r="C23" s="588" t="s">
        <v>482</v>
      </c>
      <c r="D23" s="588"/>
      <c r="E23" s="588"/>
      <c r="F23" s="588"/>
      <c r="G23" s="588"/>
      <c r="H23" s="201">
        <f>+H22/G21</f>
        <v>0.9555960598516001</v>
      </c>
      <c r="I23" s="590"/>
      <c r="J23" s="185"/>
      <c r="K23" s="31"/>
      <c r="L23" s="202"/>
      <c r="M23" s="202">
        <f>SUM(L11:M22)</f>
        <v>2548474</v>
      </c>
      <c r="N23" s="194"/>
      <c r="O23" s="175"/>
      <c r="P23" s="175"/>
    </row>
    <row r="24" spans="1:16" s="30" customFormat="1" ht="24" customHeight="1">
      <c r="A24" s="585"/>
      <c r="B24" s="591" t="s">
        <v>453</v>
      </c>
      <c r="C24" s="592" t="s">
        <v>454</v>
      </c>
      <c r="D24" s="592" t="s">
        <v>129</v>
      </c>
      <c r="E24" s="592" t="s">
        <v>455</v>
      </c>
      <c r="F24" s="592"/>
      <c r="G24" s="593" t="s">
        <v>456</v>
      </c>
      <c r="H24" s="593"/>
      <c r="I24" s="594"/>
      <c r="J24" s="185"/>
      <c r="K24" s="31"/>
      <c r="L24" s="202"/>
      <c r="M24" s="202"/>
      <c r="N24" s="194"/>
      <c r="O24" s="175"/>
      <c r="P24" s="175"/>
    </row>
    <row r="25" spans="1:16" s="30" customFormat="1" ht="57" customHeight="1">
      <c r="A25" s="585"/>
      <c r="B25" s="591"/>
      <c r="C25" s="592"/>
      <c r="D25" s="592"/>
      <c r="E25" s="205" t="s">
        <v>457</v>
      </c>
      <c r="F25" s="205" t="s">
        <v>458</v>
      </c>
      <c r="G25" s="206" t="s">
        <v>459</v>
      </c>
      <c r="H25" s="203" t="s">
        <v>460</v>
      </c>
      <c r="I25" s="204" t="s">
        <v>461</v>
      </c>
      <c r="J25" s="185"/>
      <c r="K25" s="31"/>
      <c r="L25" s="202"/>
      <c r="M25" s="202"/>
      <c r="N25" s="194"/>
      <c r="O25" s="175"/>
      <c r="P25" s="175"/>
    </row>
    <row r="26" spans="1:16" s="30" customFormat="1" ht="33" customHeight="1">
      <c r="A26" s="585"/>
      <c r="B26" s="587" t="s">
        <v>483</v>
      </c>
      <c r="C26" s="190" t="s">
        <v>484</v>
      </c>
      <c r="D26" s="45" t="s">
        <v>305</v>
      </c>
      <c r="E26" s="58">
        <v>35356</v>
      </c>
      <c r="F26" s="111">
        <f>+'ACUMULADO A DICIEMBRE 2015'!V20</f>
        <v>35356</v>
      </c>
      <c r="G26" s="100">
        <f>+'ACUMULADO A DICIEMBRE 2015'!U20+1</f>
        <v>213504985</v>
      </c>
      <c r="H26" s="100">
        <f>+'ACUMULADO A DICIEMBRE 2015'!W20</f>
        <v>196666947</v>
      </c>
      <c r="I26" s="191">
        <f>+G26-H26</f>
        <v>16838038</v>
      </c>
      <c r="J26" s="185"/>
      <c r="K26" s="31"/>
      <c r="L26" s="202"/>
      <c r="M26" s="202"/>
      <c r="N26" s="194"/>
      <c r="O26" s="175"/>
      <c r="P26" s="175"/>
    </row>
    <row r="27" spans="1:16" s="30" customFormat="1" ht="33" customHeight="1">
      <c r="A27" s="585"/>
      <c r="B27" s="587"/>
      <c r="C27" s="52" t="s">
        <v>485</v>
      </c>
      <c r="D27" s="45" t="s">
        <v>304</v>
      </c>
      <c r="E27" s="58">
        <v>13000</v>
      </c>
      <c r="F27" s="111">
        <f>+'ACUMULADO A DICIEMBRE 2015'!V21</f>
        <v>26000</v>
      </c>
      <c r="G27" s="100">
        <f>+'ACUMULADO A DICIEMBRE 2015'!U21</f>
        <v>101621363</v>
      </c>
      <c r="H27" s="100">
        <f>+'ACUMULADO A DICIEMBRE 2015'!W21</f>
        <v>101621362</v>
      </c>
      <c r="I27" s="191">
        <f>+G27-H27</f>
        <v>1</v>
      </c>
      <c r="J27" s="185"/>
      <c r="K27" s="31"/>
      <c r="L27" s="202"/>
      <c r="M27" s="202"/>
      <c r="N27" s="194"/>
      <c r="O27" s="175"/>
      <c r="P27" s="175"/>
    </row>
    <row r="28" spans="1:16" s="30" customFormat="1" ht="53.25" customHeight="1">
      <c r="A28" s="585"/>
      <c r="B28" s="587"/>
      <c r="C28" s="52" t="s">
        <v>486</v>
      </c>
      <c r="D28" s="45" t="s">
        <v>305</v>
      </c>
      <c r="E28" s="58">
        <v>49000</v>
      </c>
      <c r="F28" s="111">
        <f>+'ACUMULADO A DICIEMBRE 2015'!V22</f>
        <v>49000</v>
      </c>
      <c r="G28" s="100">
        <f>+'ACUMULADO A DICIEMBRE 2015'!U22</f>
        <v>0</v>
      </c>
      <c r="H28" s="100">
        <f>+'ACUMULADO A DICIEMBRE 2015'!W22</f>
        <v>0</v>
      </c>
      <c r="I28" s="191">
        <f>+G28-H28</f>
        <v>0</v>
      </c>
      <c r="J28" s="185"/>
      <c r="K28" s="31"/>
      <c r="L28" s="202"/>
      <c r="M28" s="202"/>
      <c r="N28" s="194"/>
      <c r="O28" s="175"/>
      <c r="P28" s="175"/>
    </row>
    <row r="29" spans="1:16" s="30" customFormat="1" ht="30" customHeight="1">
      <c r="A29" s="585"/>
      <c r="B29" s="587"/>
      <c r="C29" s="52" t="s">
        <v>206</v>
      </c>
      <c r="D29" s="45" t="s">
        <v>308</v>
      </c>
      <c r="E29" s="58">
        <v>100</v>
      </c>
      <c r="F29" s="111">
        <f>+'ACUMULADO A DICIEMBRE 2015'!V23</f>
        <v>100</v>
      </c>
      <c r="G29" s="100">
        <f>+'ACUMULADO A DICIEMBRE 2015'!U23</f>
        <v>5412453</v>
      </c>
      <c r="H29" s="100">
        <f>+'ACUMULADO A DICIEMBRE 2015'!W23</f>
        <v>5412453</v>
      </c>
      <c r="I29" s="191">
        <f>+G29-H29</f>
        <v>0</v>
      </c>
      <c r="J29" s="185"/>
      <c r="K29" s="31"/>
      <c r="L29" s="202"/>
      <c r="M29" s="202"/>
      <c r="N29" s="194"/>
      <c r="O29" s="175"/>
      <c r="P29" s="175"/>
    </row>
    <row r="30" spans="1:16" s="30" customFormat="1" ht="24" customHeight="1">
      <c r="A30" s="585"/>
      <c r="B30" s="587"/>
      <c r="C30" s="588" t="s">
        <v>480</v>
      </c>
      <c r="D30" s="588"/>
      <c r="E30" s="588"/>
      <c r="F30" s="588"/>
      <c r="G30" s="197">
        <f>SUM(G26:G29)-1</f>
        <v>320538800</v>
      </c>
      <c r="H30" s="100"/>
      <c r="I30" s="589">
        <f>+I29+I28+I27+I26</f>
        <v>16838039</v>
      </c>
      <c r="J30" s="185"/>
      <c r="K30" s="31"/>
      <c r="L30" s="202"/>
      <c r="M30" s="202"/>
      <c r="N30" s="194"/>
      <c r="O30" s="175"/>
      <c r="P30" s="175"/>
    </row>
    <row r="31" spans="1:16" s="30" customFormat="1" ht="18" customHeight="1">
      <c r="A31" s="585"/>
      <c r="B31" s="587"/>
      <c r="C31" s="588" t="s">
        <v>481</v>
      </c>
      <c r="D31" s="588"/>
      <c r="E31" s="588"/>
      <c r="F31" s="588"/>
      <c r="G31" s="588"/>
      <c r="H31" s="197">
        <f>SUM(H26:H30)</f>
        <v>303700762</v>
      </c>
      <c r="I31" s="590"/>
      <c r="J31" s="185"/>
      <c r="K31" s="31"/>
      <c r="L31" s="202"/>
      <c r="M31" s="202"/>
      <c r="N31" s="194"/>
      <c r="O31" s="175"/>
      <c r="P31" s="175"/>
    </row>
    <row r="32" spans="1:16" s="30" customFormat="1" ht="18" customHeight="1">
      <c r="A32" s="585"/>
      <c r="B32" s="587"/>
      <c r="C32" s="588" t="s">
        <v>482</v>
      </c>
      <c r="D32" s="588"/>
      <c r="E32" s="588"/>
      <c r="F32" s="588"/>
      <c r="G32" s="588"/>
      <c r="H32" s="201">
        <f>+H31/G30</f>
        <v>0.9474695793457766</v>
      </c>
      <c r="I32" s="590"/>
      <c r="J32" s="185"/>
      <c r="K32" s="31"/>
      <c r="L32" s="202"/>
      <c r="M32" s="202"/>
      <c r="N32" s="194"/>
      <c r="O32" s="175"/>
      <c r="P32" s="175"/>
    </row>
    <row r="33" spans="1:16" s="30" customFormat="1" ht="47.25" customHeight="1">
      <c r="A33" s="585"/>
      <c r="B33" s="591" t="s">
        <v>453</v>
      </c>
      <c r="C33" s="592" t="s">
        <v>454</v>
      </c>
      <c r="D33" s="592" t="s">
        <v>129</v>
      </c>
      <c r="E33" s="592" t="s">
        <v>455</v>
      </c>
      <c r="F33" s="592"/>
      <c r="G33" s="593" t="s">
        <v>456</v>
      </c>
      <c r="H33" s="593"/>
      <c r="I33" s="594"/>
      <c r="J33" s="185"/>
      <c r="K33" s="31"/>
      <c r="L33" s="202"/>
      <c r="M33" s="202"/>
      <c r="N33" s="194"/>
      <c r="O33" s="175"/>
      <c r="P33" s="175"/>
    </row>
    <row r="34" spans="1:16" s="30" customFormat="1" ht="47.25" customHeight="1">
      <c r="A34" s="585"/>
      <c r="B34" s="591"/>
      <c r="C34" s="592"/>
      <c r="D34" s="592"/>
      <c r="E34" s="205" t="s">
        <v>457</v>
      </c>
      <c r="F34" s="205" t="s">
        <v>458</v>
      </c>
      <c r="G34" s="206" t="s">
        <v>459</v>
      </c>
      <c r="H34" s="203" t="s">
        <v>460</v>
      </c>
      <c r="I34" s="204" t="s">
        <v>461</v>
      </c>
      <c r="J34" s="185"/>
      <c r="K34" s="31"/>
      <c r="L34" s="202"/>
      <c r="M34" s="202"/>
      <c r="N34" s="194"/>
      <c r="O34" s="175"/>
      <c r="P34" s="175"/>
    </row>
    <row r="35" spans="1:16" s="30" customFormat="1" ht="83.25" customHeight="1">
      <c r="A35" s="585"/>
      <c r="B35" s="587" t="s">
        <v>487</v>
      </c>
      <c r="C35" s="190" t="s">
        <v>488</v>
      </c>
      <c r="D35" s="45" t="s">
        <v>309</v>
      </c>
      <c r="E35" s="58">
        <v>2</v>
      </c>
      <c r="F35" s="208">
        <f>+'ACUMULADO A DICIEMBRE 2015'!V25</f>
        <v>2</v>
      </c>
      <c r="G35" s="100">
        <f>+'ACUMULADO A DICIEMBRE 2015'!U25</f>
        <v>0</v>
      </c>
      <c r="H35" s="100">
        <f>+'ACUMULADO A DICIEMBRE 2015'!W25</f>
        <v>0</v>
      </c>
      <c r="I35" s="191">
        <f aca="true" t="shared" si="1" ref="I35:I41">+G35-H35</f>
        <v>0</v>
      </c>
      <c r="J35" s="185"/>
      <c r="K35" s="31"/>
      <c r="L35" s="202"/>
      <c r="M35" s="202"/>
      <c r="N35" s="194"/>
      <c r="O35" s="175"/>
      <c r="P35" s="175"/>
    </row>
    <row r="36" spans="1:16" s="30" customFormat="1" ht="33" customHeight="1">
      <c r="A36" s="585"/>
      <c r="B36" s="587"/>
      <c r="C36" s="52" t="s">
        <v>489</v>
      </c>
      <c r="D36" s="45" t="s">
        <v>310</v>
      </c>
      <c r="E36" s="58">
        <v>2</v>
      </c>
      <c r="F36" s="208">
        <f>+'ACUMULADO A DICIEMBRE 2015'!V26</f>
        <v>2</v>
      </c>
      <c r="G36" s="100">
        <f>+'ACUMULADO A DICIEMBRE 2015'!U26</f>
        <v>0</v>
      </c>
      <c r="H36" s="100">
        <f>+'ACUMULADO A DICIEMBRE 2015'!W26</f>
        <v>0</v>
      </c>
      <c r="I36" s="191">
        <f t="shared" si="1"/>
        <v>0</v>
      </c>
      <c r="J36" s="185"/>
      <c r="K36" s="31"/>
      <c r="L36" s="202"/>
      <c r="M36" s="202"/>
      <c r="N36" s="194"/>
      <c r="O36" s="175"/>
      <c r="P36" s="175"/>
    </row>
    <row r="37" spans="1:16" s="30" customFormat="1" ht="45.75" customHeight="1">
      <c r="A37" s="585"/>
      <c r="B37" s="587"/>
      <c r="C37" s="52" t="s">
        <v>490</v>
      </c>
      <c r="D37" s="45" t="s">
        <v>311</v>
      </c>
      <c r="E37" s="58">
        <v>2</v>
      </c>
      <c r="F37" s="208">
        <f>+'ACUMULADO A DICIEMBRE 2015'!V27</f>
        <v>2</v>
      </c>
      <c r="G37" s="100">
        <f>+'ACUMULADO A DICIEMBRE 2015'!U27</f>
        <v>21781579</v>
      </c>
      <c r="H37" s="100">
        <f>+'ACUMULADO A DICIEMBRE 2015'!W27</f>
        <v>21781579</v>
      </c>
      <c r="I37" s="191">
        <f t="shared" si="1"/>
        <v>0</v>
      </c>
      <c r="J37" s="185"/>
      <c r="K37" s="31"/>
      <c r="L37" s="202"/>
      <c r="M37" s="202"/>
      <c r="N37" s="194"/>
      <c r="O37" s="175"/>
      <c r="P37" s="175"/>
    </row>
    <row r="38" spans="1:16" s="30" customFormat="1" ht="49.5" customHeight="1">
      <c r="A38" s="585"/>
      <c r="B38" s="587"/>
      <c r="C38" s="52" t="s">
        <v>491</v>
      </c>
      <c r="D38" s="45" t="s">
        <v>307</v>
      </c>
      <c r="E38" s="58">
        <v>2</v>
      </c>
      <c r="F38" s="208">
        <f>+'ACUMULADO A DICIEMBRE 2015'!V28</f>
        <v>2</v>
      </c>
      <c r="G38" s="100">
        <f>+'ACUMULADO A DICIEMBRE 2015'!U28</f>
        <v>189245831.728</v>
      </c>
      <c r="H38" s="100">
        <f>+'ACUMULADO A DICIEMBRE 2015'!W28</f>
        <v>189245805</v>
      </c>
      <c r="I38" s="191">
        <f t="shared" si="1"/>
        <v>26.727999985218048</v>
      </c>
      <c r="J38" s="185"/>
      <c r="K38" s="31"/>
      <c r="L38" s="202"/>
      <c r="M38" s="202"/>
      <c r="N38" s="194"/>
      <c r="O38" s="175"/>
      <c r="P38" s="175"/>
    </row>
    <row r="39" spans="1:16" s="30" customFormat="1" ht="36" customHeight="1">
      <c r="A39" s="585"/>
      <c r="B39" s="587"/>
      <c r="C39" s="52" t="s">
        <v>492</v>
      </c>
      <c r="D39" s="45" t="s">
        <v>307</v>
      </c>
      <c r="E39" s="58">
        <v>2</v>
      </c>
      <c r="F39" s="208">
        <f>+'ACUMULADO A DICIEMBRE 2015'!V29</f>
        <v>2</v>
      </c>
      <c r="G39" s="100">
        <f>+'ACUMULADO A DICIEMBRE 2015'!U29</f>
        <v>0</v>
      </c>
      <c r="H39" s="100">
        <f>+'ACUMULADO A DICIEMBRE 2015'!W29</f>
        <v>0</v>
      </c>
      <c r="I39" s="191">
        <f t="shared" si="1"/>
        <v>0</v>
      </c>
      <c r="J39" s="185"/>
      <c r="K39" s="31"/>
      <c r="L39" s="202"/>
      <c r="M39" s="202"/>
      <c r="N39" s="194"/>
      <c r="O39" s="175"/>
      <c r="P39" s="175"/>
    </row>
    <row r="40" spans="1:16" s="30" customFormat="1" ht="45.75" customHeight="1">
      <c r="A40" s="585"/>
      <c r="B40" s="587"/>
      <c r="C40" s="52" t="s">
        <v>493</v>
      </c>
      <c r="D40" s="45" t="s">
        <v>312</v>
      </c>
      <c r="E40" s="58">
        <v>6</v>
      </c>
      <c r="F40" s="208">
        <f>+'ACUMULADO A DICIEMBRE 2015'!V30</f>
        <v>6</v>
      </c>
      <c r="G40" s="100">
        <f>+'ACUMULADO A DICIEMBRE 2015'!U30</f>
        <v>11716680</v>
      </c>
      <c r="H40" s="100">
        <f>+'ACUMULADO A DICIEMBRE 2015'!W30</f>
        <v>11716680</v>
      </c>
      <c r="I40" s="191">
        <f t="shared" si="1"/>
        <v>0</v>
      </c>
      <c r="J40" s="185"/>
      <c r="K40" s="31"/>
      <c r="L40" s="202"/>
      <c r="M40" s="202"/>
      <c r="N40" s="194"/>
      <c r="O40" s="175"/>
      <c r="P40" s="175"/>
    </row>
    <row r="41" spans="1:16" s="30" customFormat="1" ht="33.75" customHeight="1">
      <c r="A41" s="585"/>
      <c r="B41" s="587"/>
      <c r="C41" s="52" t="s">
        <v>206</v>
      </c>
      <c r="D41" s="45" t="s">
        <v>308</v>
      </c>
      <c r="E41" s="58">
        <v>100</v>
      </c>
      <c r="F41" s="208">
        <f>+'ACUMULADO A DICIEMBRE 2015'!V31</f>
        <v>100</v>
      </c>
      <c r="G41" s="100">
        <f>+'ACUMULADO A DICIEMBRE 2015'!U31</f>
        <v>2255909</v>
      </c>
      <c r="H41" s="100">
        <f>+'ACUMULADO A DICIEMBRE 2015'!W31</f>
        <v>2255909</v>
      </c>
      <c r="I41" s="191">
        <f t="shared" si="1"/>
        <v>0</v>
      </c>
      <c r="J41" s="185"/>
      <c r="K41" s="31"/>
      <c r="L41" s="202"/>
      <c r="M41" s="202"/>
      <c r="N41" s="194"/>
      <c r="O41" s="175"/>
      <c r="P41" s="175"/>
    </row>
    <row r="42" spans="1:16" s="30" customFormat="1" ht="27" customHeight="1">
      <c r="A42" s="585"/>
      <c r="B42" s="587"/>
      <c r="C42" s="588" t="s">
        <v>480</v>
      </c>
      <c r="D42" s="588"/>
      <c r="E42" s="588"/>
      <c r="F42" s="588"/>
      <c r="G42" s="197">
        <f>SUM(G35:G41)</f>
        <v>224999999.728</v>
      </c>
      <c r="H42" s="207">
        <v>0</v>
      </c>
      <c r="I42" s="589">
        <f>+I35+I36+I37+I38+I39+I40+I41</f>
        <v>26.727999985218048</v>
      </c>
      <c r="J42" s="185"/>
      <c r="K42" s="31"/>
      <c r="L42" s="202"/>
      <c r="M42" s="202"/>
      <c r="N42" s="194"/>
      <c r="O42" s="175"/>
      <c r="P42" s="175"/>
    </row>
    <row r="43" spans="1:16" s="30" customFormat="1" ht="24.75" customHeight="1">
      <c r="A43" s="585"/>
      <c r="B43" s="587"/>
      <c r="C43" s="588" t="s">
        <v>481</v>
      </c>
      <c r="D43" s="588"/>
      <c r="E43" s="588"/>
      <c r="F43" s="588"/>
      <c r="G43" s="588"/>
      <c r="H43" s="197">
        <f>SUM(H35:H42)</f>
        <v>224999973</v>
      </c>
      <c r="I43" s="590"/>
      <c r="J43" s="185"/>
      <c r="K43" s="31"/>
      <c r="L43" s="202"/>
      <c r="M43" s="202"/>
      <c r="N43" s="194"/>
      <c r="O43" s="175"/>
      <c r="P43" s="175"/>
    </row>
    <row r="44" spans="1:16" s="30" customFormat="1" ht="18.75" customHeight="1">
      <c r="A44" s="586"/>
      <c r="B44" s="587"/>
      <c r="C44" s="588" t="s">
        <v>482</v>
      </c>
      <c r="D44" s="588"/>
      <c r="E44" s="588"/>
      <c r="F44" s="588"/>
      <c r="G44" s="588"/>
      <c r="H44" s="201">
        <f>+H43/G42</f>
        <v>0.9999998812088888</v>
      </c>
      <c r="I44" s="590"/>
      <c r="J44" s="185"/>
      <c r="K44" s="31"/>
      <c r="L44" s="202"/>
      <c r="M44" s="202"/>
      <c r="N44" s="194"/>
      <c r="O44" s="175"/>
      <c r="P44" s="175"/>
    </row>
    <row r="45" spans="1:16" s="30" customFormat="1" ht="17.25" customHeight="1">
      <c r="A45" s="595" t="s">
        <v>452</v>
      </c>
      <c r="B45" s="596" t="s">
        <v>453</v>
      </c>
      <c r="C45" s="581" t="s">
        <v>454</v>
      </c>
      <c r="D45" s="581" t="s">
        <v>129</v>
      </c>
      <c r="E45" s="581" t="s">
        <v>455</v>
      </c>
      <c r="F45" s="581"/>
      <c r="G45" s="582" t="s">
        <v>456</v>
      </c>
      <c r="H45" s="582"/>
      <c r="I45" s="583"/>
      <c r="J45" s="185"/>
      <c r="K45" s="31"/>
      <c r="L45" s="193"/>
      <c r="M45" s="193"/>
      <c r="N45" s="194"/>
      <c r="O45" s="175"/>
      <c r="P45" s="175"/>
    </row>
    <row r="46" spans="1:16" s="30" customFormat="1" ht="51.75" customHeight="1">
      <c r="A46" s="595"/>
      <c r="B46" s="596"/>
      <c r="C46" s="581"/>
      <c r="D46" s="581"/>
      <c r="E46" s="182" t="s">
        <v>457</v>
      </c>
      <c r="F46" s="182" t="s">
        <v>458</v>
      </c>
      <c r="G46" s="184" t="s">
        <v>459</v>
      </c>
      <c r="H46" s="177" t="s">
        <v>460</v>
      </c>
      <c r="I46" s="178" t="s">
        <v>461</v>
      </c>
      <c r="J46" s="185"/>
      <c r="K46" s="31"/>
      <c r="L46" s="193"/>
      <c r="M46" s="193"/>
      <c r="N46" s="194"/>
      <c r="O46" s="175"/>
      <c r="P46" s="175"/>
    </row>
    <row r="47" spans="1:16" s="30" customFormat="1" ht="119.25" customHeight="1">
      <c r="A47" s="584" t="s">
        <v>494</v>
      </c>
      <c r="B47" s="587" t="s">
        <v>495</v>
      </c>
      <c r="C47" s="190" t="s">
        <v>496</v>
      </c>
      <c r="D47" s="45" t="s">
        <v>241</v>
      </c>
      <c r="E47" s="60">
        <v>1</v>
      </c>
      <c r="F47" s="111">
        <f>+'ACUMULADO A DICIEMBRE 2015'!V34</f>
        <v>1</v>
      </c>
      <c r="G47" s="117"/>
      <c r="H47" s="117">
        <f>+'ACUMULADO A DICIEMBRE 2015'!W34</f>
        <v>0</v>
      </c>
      <c r="I47" s="191">
        <f>+G47-H47</f>
        <v>0</v>
      </c>
      <c r="J47" s="185"/>
      <c r="K47" s="31"/>
      <c r="L47" s="209">
        <f>75206</f>
        <v>75206</v>
      </c>
      <c r="M47" s="193">
        <v>340671</v>
      </c>
      <c r="N47" s="194"/>
      <c r="O47" s="175"/>
      <c r="P47" s="175"/>
    </row>
    <row r="48" spans="1:16" s="30" customFormat="1" ht="30.75" customHeight="1">
      <c r="A48" s="585"/>
      <c r="B48" s="587"/>
      <c r="C48" s="190" t="s">
        <v>497</v>
      </c>
      <c r="D48" s="45" t="s">
        <v>498</v>
      </c>
      <c r="E48" s="60">
        <v>6</v>
      </c>
      <c r="F48" s="111">
        <f>+'ACUMULADO A DICIEMBRE 2015'!V35</f>
        <v>6</v>
      </c>
      <c r="G48" s="117">
        <f>+'Anexo 1 Matriz SINA Inf Gestión'!M35</f>
        <v>2811698804</v>
      </c>
      <c r="H48" s="117">
        <f>+'ACUMULADO A DICIEMBRE 2015'!W35</f>
        <v>2693119473</v>
      </c>
      <c r="I48" s="191">
        <f>+G48-H48</f>
        <v>118579331</v>
      </c>
      <c r="J48" s="185"/>
      <c r="K48" s="31"/>
      <c r="L48" s="209"/>
      <c r="M48" s="193"/>
      <c r="N48" s="194"/>
      <c r="O48" s="175"/>
      <c r="P48" s="175"/>
    </row>
    <row r="49" spans="1:16" s="30" customFormat="1" ht="30.75" customHeight="1">
      <c r="A49" s="585"/>
      <c r="B49" s="587"/>
      <c r="C49" s="52" t="s">
        <v>499</v>
      </c>
      <c r="D49" s="210" t="s">
        <v>500</v>
      </c>
      <c r="E49" s="60">
        <v>1</v>
      </c>
      <c r="F49" s="111">
        <f>+'ACUMULADO A DICIEMBRE 2015'!V36</f>
        <v>1</v>
      </c>
      <c r="G49" s="117">
        <f>+'Anexo 1 Matriz SINA Inf Gestión'!M36</f>
        <v>0</v>
      </c>
      <c r="H49" s="117">
        <f>+'ACUMULADO A DICIEMBRE 2015'!U36</f>
        <v>0</v>
      </c>
      <c r="I49" s="191">
        <f>+G49-H49</f>
        <v>0</v>
      </c>
      <c r="J49" s="185"/>
      <c r="K49" s="31"/>
      <c r="L49" s="209"/>
      <c r="M49" s="193"/>
      <c r="N49" s="194"/>
      <c r="O49" s="175"/>
      <c r="P49" s="175"/>
    </row>
    <row r="50" spans="1:16" s="30" customFormat="1" ht="17.25" customHeight="1">
      <c r="A50" s="585"/>
      <c r="B50" s="587"/>
      <c r="C50" s="597" t="s">
        <v>480</v>
      </c>
      <c r="D50" s="597"/>
      <c r="E50" s="597"/>
      <c r="F50" s="597"/>
      <c r="G50" s="197">
        <f>SUM(G47:G49)</f>
        <v>2811698804</v>
      </c>
      <c r="H50" s="63"/>
      <c r="I50" s="589">
        <f>+I47+I48+I49</f>
        <v>118579331</v>
      </c>
      <c r="J50" s="200"/>
      <c r="K50" s="31"/>
      <c r="L50" s="193"/>
      <c r="M50" s="193"/>
      <c r="N50" s="194"/>
      <c r="O50" s="175"/>
      <c r="P50" s="175"/>
    </row>
    <row r="51" spans="1:16" s="30" customFormat="1" ht="16.5" customHeight="1">
      <c r="A51" s="585"/>
      <c r="B51" s="587"/>
      <c r="C51" s="597" t="s">
        <v>481</v>
      </c>
      <c r="D51" s="597"/>
      <c r="E51" s="597"/>
      <c r="F51" s="597"/>
      <c r="G51" s="597"/>
      <c r="H51" s="197">
        <f>SUM(H47:H50)</f>
        <v>2693119473</v>
      </c>
      <c r="I51" s="589"/>
      <c r="J51" s="200"/>
      <c r="K51" s="31"/>
      <c r="L51" s="193"/>
      <c r="M51" s="193"/>
      <c r="N51" s="194"/>
      <c r="O51" s="175"/>
      <c r="P51" s="175"/>
    </row>
    <row r="52" spans="1:16" s="30" customFormat="1" ht="33.75" customHeight="1">
      <c r="A52" s="585"/>
      <c r="B52" s="587"/>
      <c r="C52" s="598" t="s">
        <v>482</v>
      </c>
      <c r="D52" s="588"/>
      <c r="E52" s="588"/>
      <c r="F52" s="588"/>
      <c r="G52" s="588"/>
      <c r="H52" s="201">
        <f>+H51/G50</f>
        <v>0.9578264461217162</v>
      </c>
      <c r="I52" s="589"/>
      <c r="J52" s="185"/>
      <c r="K52" s="31"/>
      <c r="L52" s="193"/>
      <c r="M52" s="193"/>
      <c r="N52" s="194"/>
      <c r="O52" s="175"/>
      <c r="P52" s="175"/>
    </row>
    <row r="53" spans="1:16" s="30" customFormat="1" ht="33.75" customHeight="1">
      <c r="A53" s="585"/>
      <c r="B53" s="591" t="s">
        <v>453</v>
      </c>
      <c r="C53" s="592" t="s">
        <v>454</v>
      </c>
      <c r="D53" s="592" t="s">
        <v>129</v>
      </c>
      <c r="E53" s="592" t="s">
        <v>455</v>
      </c>
      <c r="F53" s="592"/>
      <c r="G53" s="593" t="s">
        <v>445</v>
      </c>
      <c r="H53" s="593"/>
      <c r="I53" s="594"/>
      <c r="J53" s="185"/>
      <c r="K53" s="31"/>
      <c r="L53" s="193"/>
      <c r="M53" s="193"/>
      <c r="N53" s="194"/>
      <c r="O53" s="175"/>
      <c r="P53" s="175"/>
    </row>
    <row r="54" spans="1:16" s="30" customFormat="1" ht="33.75" customHeight="1">
      <c r="A54" s="585"/>
      <c r="B54" s="591"/>
      <c r="C54" s="592"/>
      <c r="D54" s="592"/>
      <c r="E54" s="205" t="s">
        <v>457</v>
      </c>
      <c r="F54" s="205" t="s">
        <v>458</v>
      </c>
      <c r="G54" s="206" t="s">
        <v>459</v>
      </c>
      <c r="H54" s="203" t="s">
        <v>460</v>
      </c>
      <c r="I54" s="204" t="s">
        <v>461</v>
      </c>
      <c r="J54" s="185"/>
      <c r="K54" s="31"/>
      <c r="L54" s="193"/>
      <c r="M54" s="193"/>
      <c r="N54" s="194"/>
      <c r="O54" s="175"/>
      <c r="P54" s="175"/>
    </row>
    <row r="55" spans="1:16" s="30" customFormat="1" ht="34.5" customHeight="1">
      <c r="A55" s="585"/>
      <c r="B55" s="599" t="s">
        <v>501</v>
      </c>
      <c r="C55" s="211" t="s">
        <v>502</v>
      </c>
      <c r="D55" s="45" t="s">
        <v>304</v>
      </c>
      <c r="E55" s="60">
        <v>80</v>
      </c>
      <c r="F55" s="60">
        <f>+'ACUMULADO A DICIEMBRE 2015'!V38</f>
        <v>15</v>
      </c>
      <c r="G55" s="117">
        <f>+'ACUMULADO A DICIEMBRE 2015'!U38</f>
        <v>440816874</v>
      </c>
      <c r="H55" s="117">
        <f>+'ACUMULADO A DICIEMBRE 2015'!W38</f>
        <v>439875569</v>
      </c>
      <c r="I55" s="191">
        <f aca="true" t="shared" si="2" ref="I55:I62">+G55-H55</f>
        <v>941305</v>
      </c>
      <c r="J55" s="185"/>
      <c r="K55" s="31"/>
      <c r="L55" s="193"/>
      <c r="M55" s="193"/>
      <c r="N55" s="194"/>
      <c r="O55" s="175"/>
      <c r="P55" s="175"/>
    </row>
    <row r="56" spans="1:16" s="30" customFormat="1" ht="32.25" customHeight="1">
      <c r="A56" s="585"/>
      <c r="B56" s="599"/>
      <c r="C56" s="211" t="s">
        <v>503</v>
      </c>
      <c r="D56" s="45" t="s">
        <v>304</v>
      </c>
      <c r="E56" s="60">
        <v>280</v>
      </c>
      <c r="F56" s="60">
        <f>+'ACUMULADO A DICIEMBRE 2015'!V39</f>
        <v>0</v>
      </c>
      <c r="G56" s="117">
        <f>+'ACUMULADO A DICIEMBRE 2015'!U39</f>
        <v>209935788.26</v>
      </c>
      <c r="H56" s="117">
        <f>+'ACUMULADO A DICIEMBRE 2015'!W39</f>
        <v>209294756</v>
      </c>
      <c r="I56" s="191">
        <f t="shared" si="2"/>
        <v>641032.2599999905</v>
      </c>
      <c r="J56" s="185"/>
      <c r="K56" s="31"/>
      <c r="L56" s="193"/>
      <c r="M56" s="193"/>
      <c r="N56" s="194"/>
      <c r="O56" s="175"/>
      <c r="P56" s="175"/>
    </row>
    <row r="57" spans="1:16" s="30" customFormat="1" ht="32.25" customHeight="1">
      <c r="A57" s="585"/>
      <c r="B57" s="599"/>
      <c r="C57" s="211" t="s">
        <v>244</v>
      </c>
      <c r="D57" s="45" t="s">
        <v>304</v>
      </c>
      <c r="E57" s="60">
        <v>800</v>
      </c>
      <c r="F57" s="60">
        <f>+'ACUMULADO A DICIEMBRE 2015'!V40</f>
        <v>3656</v>
      </c>
      <c r="G57" s="117">
        <f>+'ACUMULADO A DICIEMBRE 2015'!U40</f>
        <v>1617211271</v>
      </c>
      <c r="H57" s="117">
        <f>+'ACUMULADO A DICIEMBRE 2015'!W40</f>
        <v>1448178609</v>
      </c>
      <c r="I57" s="191">
        <f t="shared" si="2"/>
        <v>169032662</v>
      </c>
      <c r="J57" s="185"/>
      <c r="K57" s="31"/>
      <c r="L57" s="193"/>
      <c r="M57" s="193"/>
      <c r="N57" s="194"/>
      <c r="O57" s="175"/>
      <c r="P57" s="175"/>
    </row>
    <row r="58" spans="1:16" s="30" customFormat="1" ht="36" customHeight="1">
      <c r="A58" s="585"/>
      <c r="B58" s="599"/>
      <c r="C58" s="211" t="s">
        <v>245</v>
      </c>
      <c r="D58" s="45" t="s">
        <v>304</v>
      </c>
      <c r="E58" s="60">
        <v>800</v>
      </c>
      <c r="F58" s="264">
        <f>+'ACUMULADO A DICIEMBRE 2015'!V41</f>
        <v>646.6125766871165</v>
      </c>
      <c r="G58" s="117">
        <f>+'ACUMULADO A DICIEMBRE 2015'!U41</f>
        <v>958548134</v>
      </c>
      <c r="H58" s="117">
        <f>+'ACUMULADO A DICIEMBRE 2015'!W41</f>
        <v>948333030</v>
      </c>
      <c r="I58" s="191">
        <f t="shared" si="2"/>
        <v>10215104</v>
      </c>
      <c r="J58" s="185"/>
      <c r="K58" s="31"/>
      <c r="L58" s="193"/>
      <c r="M58" s="193"/>
      <c r="N58" s="194"/>
      <c r="O58" s="175"/>
      <c r="P58" s="175"/>
    </row>
    <row r="59" spans="1:16" s="30" customFormat="1" ht="60">
      <c r="A59" s="585"/>
      <c r="B59" s="599"/>
      <c r="C59" s="212" t="s">
        <v>246</v>
      </c>
      <c r="D59" s="45" t="s">
        <v>304</v>
      </c>
      <c r="E59" s="60">
        <v>300</v>
      </c>
      <c r="F59" s="60">
        <f>+'ACUMULADO A DICIEMBRE 2015'!V42</f>
        <v>361.29</v>
      </c>
      <c r="G59" s="117">
        <f>+'ACUMULADO A DICIEMBRE 2015'!U42</f>
        <v>469068800</v>
      </c>
      <c r="H59" s="117">
        <f>+'ACUMULADO A DICIEMBRE 2015'!W42</f>
        <v>469068799</v>
      </c>
      <c r="I59" s="191">
        <f t="shared" si="2"/>
        <v>1</v>
      </c>
      <c r="J59" s="185"/>
      <c r="K59" s="31"/>
      <c r="L59" s="193"/>
      <c r="M59" s="193"/>
      <c r="N59" s="194"/>
      <c r="O59" s="175"/>
      <c r="P59" s="175"/>
    </row>
    <row r="60" spans="1:16" s="30" customFormat="1" ht="82.5" customHeight="1">
      <c r="A60" s="585"/>
      <c r="B60" s="599"/>
      <c r="C60" s="212" t="s">
        <v>247</v>
      </c>
      <c r="D60" s="210" t="s">
        <v>313</v>
      </c>
      <c r="E60" s="60">
        <v>1</v>
      </c>
      <c r="F60" s="60">
        <v>1</v>
      </c>
      <c r="G60" s="117">
        <f>+'ACUMULADO A DICIEMBRE 2015'!U43</f>
        <v>7500000</v>
      </c>
      <c r="H60" s="117">
        <f>+'ACUMULADO A DICIEMBRE 2015'!W43</f>
        <v>7498635</v>
      </c>
      <c r="I60" s="191">
        <f t="shared" si="2"/>
        <v>1365</v>
      </c>
      <c r="J60" s="185"/>
      <c r="K60" s="31"/>
      <c r="L60" s="193"/>
      <c r="M60" s="193"/>
      <c r="N60" s="194"/>
      <c r="O60" s="175"/>
      <c r="P60" s="175"/>
    </row>
    <row r="61" spans="1:16" s="30" customFormat="1" ht="30">
      <c r="A61" s="585"/>
      <c r="B61" s="599"/>
      <c r="C61" s="212" t="s">
        <v>504</v>
      </c>
      <c r="D61" s="210" t="s">
        <v>26</v>
      </c>
      <c r="E61" s="60">
        <v>1</v>
      </c>
      <c r="F61" s="60">
        <v>1</v>
      </c>
      <c r="G61" s="117">
        <f>+'ACUMULADO A DICIEMBRE 2015'!U44</f>
        <v>10040000</v>
      </c>
      <c r="H61" s="117">
        <f>+'ACUMULADO A DICIEMBRE 2015'!W44</f>
        <v>9993728</v>
      </c>
      <c r="I61" s="191">
        <f t="shared" si="2"/>
        <v>46272</v>
      </c>
      <c r="J61" s="185"/>
      <c r="K61" s="31"/>
      <c r="L61" s="193"/>
      <c r="M61" s="193"/>
      <c r="N61" s="194"/>
      <c r="O61" s="175"/>
      <c r="P61" s="175"/>
    </row>
    <row r="62" spans="1:16" s="30" customFormat="1" ht="30">
      <c r="A62" s="585"/>
      <c r="B62" s="599"/>
      <c r="C62" s="52" t="s">
        <v>206</v>
      </c>
      <c r="D62" s="45" t="s">
        <v>308</v>
      </c>
      <c r="E62" s="58">
        <v>100</v>
      </c>
      <c r="F62" s="58">
        <f>+'ACUMULADO A DICIEMBRE 2015'!V45</f>
        <v>100</v>
      </c>
      <c r="G62" s="117">
        <f>+'ACUMULADO A DICIEMBRE 2015'!U45</f>
        <v>9893922</v>
      </c>
      <c r="H62" s="117">
        <f>+'ACUMULADO A DICIEMBRE 2015'!W45</f>
        <v>9893922</v>
      </c>
      <c r="I62" s="191">
        <f t="shared" si="2"/>
        <v>0</v>
      </c>
      <c r="J62" s="185"/>
      <c r="K62" s="31"/>
      <c r="L62" s="193"/>
      <c r="M62" s="193"/>
      <c r="N62" s="194"/>
      <c r="O62" s="175"/>
      <c r="P62" s="175"/>
    </row>
    <row r="63" spans="1:16" s="30" customFormat="1" ht="20.25" customHeight="1">
      <c r="A63" s="585"/>
      <c r="B63" s="587"/>
      <c r="C63" s="597" t="s">
        <v>480</v>
      </c>
      <c r="D63" s="597"/>
      <c r="E63" s="597"/>
      <c r="F63" s="597"/>
      <c r="G63" s="197">
        <f>SUM(G55:G62)</f>
        <v>3723014789.26</v>
      </c>
      <c r="H63" s="213"/>
      <c r="I63" s="589">
        <f>+G63-H64</f>
        <v>180877741.26000023</v>
      </c>
      <c r="J63" s="185"/>
      <c r="K63" s="31"/>
      <c r="L63" s="193"/>
      <c r="M63" s="193"/>
      <c r="N63" s="194"/>
      <c r="O63" s="175"/>
      <c r="P63" s="175"/>
    </row>
    <row r="64" spans="1:16" s="30" customFormat="1" ht="20.25" customHeight="1">
      <c r="A64" s="585"/>
      <c r="B64" s="587"/>
      <c r="C64" s="597" t="s">
        <v>481</v>
      </c>
      <c r="D64" s="597"/>
      <c r="E64" s="597"/>
      <c r="F64" s="597"/>
      <c r="G64" s="597"/>
      <c r="H64" s="214">
        <f>SUM(H55:H62)</f>
        <v>3542137048</v>
      </c>
      <c r="I64" s="589"/>
      <c r="J64" s="185"/>
      <c r="K64" s="31"/>
      <c r="L64" s="193"/>
      <c r="M64" s="193"/>
      <c r="N64" s="194"/>
      <c r="O64" s="175"/>
      <c r="P64" s="175"/>
    </row>
    <row r="65" spans="1:16" s="30" customFormat="1" ht="20.25" customHeight="1">
      <c r="A65" s="585"/>
      <c r="B65" s="600"/>
      <c r="C65" s="598" t="s">
        <v>482</v>
      </c>
      <c r="D65" s="598"/>
      <c r="E65" s="598"/>
      <c r="F65" s="598"/>
      <c r="G65" s="598"/>
      <c r="H65" s="215">
        <f>+H64/G63</f>
        <v>0.9514163248070384</v>
      </c>
      <c r="I65" s="589"/>
      <c r="J65" s="185"/>
      <c r="K65" s="31"/>
      <c r="L65" s="193"/>
      <c r="M65" s="193"/>
      <c r="N65" s="194"/>
      <c r="O65" s="175"/>
      <c r="P65" s="175"/>
    </row>
    <row r="66" spans="1:16" s="30" customFormat="1" ht="25.5" customHeight="1">
      <c r="A66" s="585"/>
      <c r="B66" s="591" t="s">
        <v>453</v>
      </c>
      <c r="C66" s="592" t="s">
        <v>454</v>
      </c>
      <c r="D66" s="592" t="s">
        <v>129</v>
      </c>
      <c r="E66" s="592" t="s">
        <v>455</v>
      </c>
      <c r="F66" s="592"/>
      <c r="G66" s="593" t="s">
        <v>456</v>
      </c>
      <c r="H66" s="593"/>
      <c r="I66" s="594"/>
      <c r="J66" s="185"/>
      <c r="K66" s="31"/>
      <c r="L66" s="193"/>
      <c r="M66" s="193"/>
      <c r="N66" s="194"/>
      <c r="O66" s="175"/>
      <c r="P66" s="175"/>
    </row>
    <row r="67" spans="1:16" s="30" customFormat="1" ht="34.5" customHeight="1">
      <c r="A67" s="585"/>
      <c r="B67" s="591"/>
      <c r="C67" s="592"/>
      <c r="D67" s="592"/>
      <c r="E67" s="205" t="s">
        <v>457</v>
      </c>
      <c r="F67" s="205" t="s">
        <v>458</v>
      </c>
      <c r="G67" s="206" t="s">
        <v>459</v>
      </c>
      <c r="H67" s="203" t="s">
        <v>460</v>
      </c>
      <c r="I67" s="204" t="s">
        <v>461</v>
      </c>
      <c r="J67" s="185"/>
      <c r="K67" s="31"/>
      <c r="L67" s="193"/>
      <c r="M67" s="193"/>
      <c r="N67" s="194"/>
      <c r="O67" s="175"/>
      <c r="P67" s="175"/>
    </row>
    <row r="68" spans="1:16" s="30" customFormat="1" ht="33" customHeight="1">
      <c r="A68" s="585"/>
      <c r="B68" s="587" t="s">
        <v>505</v>
      </c>
      <c r="C68" s="211" t="s">
        <v>142</v>
      </c>
      <c r="D68" s="45" t="s">
        <v>314</v>
      </c>
      <c r="E68" s="58">
        <v>68</v>
      </c>
      <c r="F68" s="111">
        <f>+'ACUMULADO A DICIEMBRE 2015'!V47</f>
        <v>74</v>
      </c>
      <c r="G68" s="117">
        <f>+'ACUMULADO A DICIEMBRE 2015'!U47</f>
        <v>0</v>
      </c>
      <c r="H68" s="118">
        <f>+'ACUMULADO A DICIEMBRE 2015'!W47</f>
        <v>0</v>
      </c>
      <c r="I68" s="216">
        <v>0</v>
      </c>
      <c r="J68" s="185"/>
      <c r="K68" s="31"/>
      <c r="L68" s="193"/>
      <c r="M68" s="193"/>
      <c r="N68" s="194"/>
      <c r="O68" s="175"/>
      <c r="P68" s="175"/>
    </row>
    <row r="69" spans="1:16" s="30" customFormat="1" ht="46.5" customHeight="1">
      <c r="A69" s="585"/>
      <c r="B69" s="587"/>
      <c r="C69" s="217" t="s">
        <v>542</v>
      </c>
      <c r="D69" s="210" t="s">
        <v>543</v>
      </c>
      <c r="E69" s="60">
        <v>8</v>
      </c>
      <c r="F69" s="111">
        <f>+'ACUMULADO A DICIEMBRE 2015'!V48</f>
        <v>8</v>
      </c>
      <c r="G69" s="117">
        <f>+'ACUMULADO A DICIEMBRE 2015'!U48</f>
        <v>124700000</v>
      </c>
      <c r="H69" s="118">
        <f>+'ACUMULADO A DICIEMBRE 2015'!W48</f>
        <v>124258335</v>
      </c>
      <c r="I69" s="216">
        <f>+G69-H69</f>
        <v>441665</v>
      </c>
      <c r="J69" s="185"/>
      <c r="K69" s="31"/>
      <c r="L69" s="193"/>
      <c r="M69" s="193"/>
      <c r="N69" s="194"/>
      <c r="O69" s="175"/>
      <c r="P69" s="175"/>
    </row>
    <row r="70" spans="1:16" s="30" customFormat="1" ht="42" customHeight="1">
      <c r="A70" s="585"/>
      <c r="B70" s="587"/>
      <c r="C70" s="217" t="s">
        <v>544</v>
      </c>
      <c r="D70" s="210" t="s">
        <v>545</v>
      </c>
      <c r="E70" s="58">
        <v>3</v>
      </c>
      <c r="F70" s="111">
        <f>+'ACUMULADO A DICIEMBRE 2015'!V50</f>
        <v>3</v>
      </c>
      <c r="G70" s="117">
        <f>+'ACUMULADO A DICIEMBRE 2015'!U49</f>
        <v>0</v>
      </c>
      <c r="H70" s="118">
        <f>+'ACUMULADO A DICIEMBRE 2015'!W49</f>
        <v>0</v>
      </c>
      <c r="I70" s="216">
        <f>+G70-H70</f>
        <v>0</v>
      </c>
      <c r="J70" s="185"/>
      <c r="K70" s="31"/>
      <c r="L70" s="193"/>
      <c r="M70" s="193"/>
      <c r="N70" s="194"/>
      <c r="O70" s="175"/>
      <c r="P70" s="175"/>
    </row>
    <row r="71" spans="1:16" s="30" customFormat="1" ht="39" customHeight="1">
      <c r="A71" s="585"/>
      <c r="B71" s="587"/>
      <c r="C71" s="217" t="s">
        <v>250</v>
      </c>
      <c r="D71" s="210" t="s">
        <v>316</v>
      </c>
      <c r="E71" s="58">
        <v>1</v>
      </c>
      <c r="F71" s="111">
        <f>+'ACUMULADO A DICIEMBRE 2015'!V51</f>
        <v>1</v>
      </c>
      <c r="G71" s="117">
        <f>+'ACUMULADO A DICIEMBRE 2015'!U50</f>
        <v>982731452</v>
      </c>
      <c r="H71" s="118">
        <f>+'ACUMULADO A DICIEMBRE 2015'!W50</f>
        <v>921199395</v>
      </c>
      <c r="I71" s="216">
        <f aca="true" t="shared" si="3" ref="I71:I76">+G71-H71</f>
        <v>61532057</v>
      </c>
      <c r="J71" s="185"/>
      <c r="K71" s="31"/>
      <c r="L71" s="193"/>
      <c r="M71" s="193"/>
      <c r="N71" s="194"/>
      <c r="O71" s="175"/>
      <c r="P71" s="175"/>
    </row>
    <row r="72" spans="1:16" s="30" customFormat="1" ht="24.75" customHeight="1">
      <c r="A72" s="585"/>
      <c r="B72" s="587"/>
      <c r="C72" s="212" t="s">
        <v>251</v>
      </c>
      <c r="D72" s="45" t="s">
        <v>317</v>
      </c>
      <c r="E72" s="58">
        <v>37</v>
      </c>
      <c r="F72" s="111">
        <f>+'ACUMULADO A DICIEMBRE 2015'!V52</f>
        <v>37</v>
      </c>
      <c r="G72" s="117">
        <f>+'ACUMULADO A DICIEMBRE 2015'!U51</f>
        <v>100000000</v>
      </c>
      <c r="H72" s="118">
        <f>+'ACUMULADO A DICIEMBRE 2015'!W51</f>
        <v>99148213</v>
      </c>
      <c r="I72" s="216">
        <f t="shared" si="3"/>
        <v>851787</v>
      </c>
      <c r="J72" s="185"/>
      <c r="K72" s="31"/>
      <c r="L72" s="193"/>
      <c r="M72" s="193"/>
      <c r="N72" s="194"/>
      <c r="O72" s="175"/>
      <c r="P72" s="175"/>
    </row>
    <row r="73" spans="1:16" s="30" customFormat="1" ht="60.75" customHeight="1">
      <c r="A73" s="585"/>
      <c r="B73" s="587"/>
      <c r="C73" s="212" t="s">
        <v>252</v>
      </c>
      <c r="D73" s="45" t="s">
        <v>445</v>
      </c>
      <c r="E73" s="58">
        <v>1</v>
      </c>
      <c r="F73" s="111">
        <f>+'ACUMULADO A DICIEMBRE 2015'!V53</f>
        <v>1</v>
      </c>
      <c r="G73" s="117">
        <f>+'ACUMULADO A DICIEMBRE 2015'!U52</f>
        <v>265900000</v>
      </c>
      <c r="H73" s="118">
        <f>+'ACUMULADO A DICIEMBRE 2015'!W52</f>
        <v>255845689</v>
      </c>
      <c r="I73" s="216">
        <f t="shared" si="3"/>
        <v>10054311</v>
      </c>
      <c r="J73" s="185"/>
      <c r="K73" s="31"/>
      <c r="L73" s="193"/>
      <c r="M73" s="193"/>
      <c r="N73" s="194"/>
      <c r="O73" s="175"/>
      <c r="P73" s="175"/>
    </row>
    <row r="74" spans="1:16" s="30" customFormat="1" ht="36.75" customHeight="1">
      <c r="A74" s="585"/>
      <c r="B74" s="587"/>
      <c r="C74" s="212" t="s">
        <v>253</v>
      </c>
      <c r="D74" s="45" t="s">
        <v>319</v>
      </c>
      <c r="E74" s="58">
        <v>41</v>
      </c>
      <c r="F74" s="111">
        <f>+'ACUMULADO A DICIEMBRE 2015'!V54</f>
        <v>41</v>
      </c>
      <c r="G74" s="117">
        <f>+'ACUMULADO A DICIEMBRE 2015'!U53</f>
        <v>315866630</v>
      </c>
      <c r="H74" s="118">
        <f>+'ACUMULADO A DICIEMBRE 2015'!W53</f>
        <v>303051996</v>
      </c>
      <c r="I74" s="216">
        <f t="shared" si="3"/>
        <v>12814634</v>
      </c>
      <c r="J74" s="185"/>
      <c r="K74" s="31"/>
      <c r="L74" s="193"/>
      <c r="M74" s="193"/>
      <c r="N74" s="194"/>
      <c r="O74" s="175"/>
      <c r="P74" s="175"/>
    </row>
    <row r="75" spans="1:16" s="30" customFormat="1" ht="48.75" customHeight="1">
      <c r="A75" s="585"/>
      <c r="B75" s="587"/>
      <c r="C75" s="211" t="s">
        <v>140</v>
      </c>
      <c r="D75" s="45" t="s">
        <v>320</v>
      </c>
      <c r="E75" s="58">
        <v>37</v>
      </c>
      <c r="F75" s="111">
        <f>+'ACUMULADO A DICIEMBRE 2015'!V55</f>
        <v>37</v>
      </c>
      <c r="G75" s="117">
        <f>+'ACUMULADO A DICIEMBRE 2015'!U54</f>
        <v>404207386</v>
      </c>
      <c r="H75" s="118">
        <f>+'ACUMULADO A DICIEMBRE 2015'!W54</f>
        <v>373863764</v>
      </c>
      <c r="I75" s="216">
        <f t="shared" si="3"/>
        <v>30343622</v>
      </c>
      <c r="J75" s="185"/>
      <c r="K75" s="31"/>
      <c r="L75" s="193"/>
      <c r="M75" s="193"/>
      <c r="N75" s="194"/>
      <c r="O75" s="175"/>
      <c r="P75" s="175"/>
    </row>
    <row r="76" spans="1:16" s="30" customFormat="1" ht="49.5" customHeight="1">
      <c r="A76" s="585"/>
      <c r="B76" s="587"/>
      <c r="C76" s="212" t="s">
        <v>254</v>
      </c>
      <c r="D76" s="45" t="s">
        <v>321</v>
      </c>
      <c r="E76" s="58">
        <v>37</v>
      </c>
      <c r="F76" s="111">
        <f>+'ACUMULADO A DICIEMBRE 2015'!V56</f>
        <v>37</v>
      </c>
      <c r="G76" s="117">
        <v>18100000</v>
      </c>
      <c r="H76" s="118">
        <f>+'ACUMULADO A DICIEMBRE 2015'!W56</f>
        <v>18063581</v>
      </c>
      <c r="I76" s="216">
        <f t="shared" si="3"/>
        <v>36419</v>
      </c>
      <c r="J76" s="185"/>
      <c r="K76" s="31"/>
      <c r="L76" s="193"/>
      <c r="M76" s="193"/>
      <c r="N76" s="194"/>
      <c r="O76" s="175"/>
      <c r="P76" s="175"/>
    </row>
    <row r="77" spans="1:16" s="30" customFormat="1" ht="18">
      <c r="A77" s="585"/>
      <c r="B77" s="587"/>
      <c r="C77" s="597" t="s">
        <v>480</v>
      </c>
      <c r="D77" s="597"/>
      <c r="E77" s="597"/>
      <c r="F77" s="597"/>
      <c r="G77" s="197">
        <f>SUM(G68:G76)</f>
        <v>2211505468</v>
      </c>
      <c r="H77" s="218"/>
      <c r="I77" s="589">
        <f>SUM(I68:I76)</f>
        <v>116074495</v>
      </c>
      <c r="J77" s="185"/>
      <c r="K77" s="31"/>
      <c r="L77" s="193"/>
      <c r="M77" s="193"/>
      <c r="N77" s="194"/>
      <c r="O77" s="175"/>
      <c r="P77" s="175"/>
    </row>
    <row r="78" spans="1:16" s="30" customFormat="1" ht="18">
      <c r="A78" s="585"/>
      <c r="B78" s="587"/>
      <c r="C78" s="597" t="s">
        <v>481</v>
      </c>
      <c r="D78" s="597"/>
      <c r="E78" s="597"/>
      <c r="F78" s="597"/>
      <c r="G78" s="597"/>
      <c r="H78" s="214">
        <f>SUM(H68:H77)</f>
        <v>2095430973</v>
      </c>
      <c r="I78" s="589"/>
      <c r="J78" s="185"/>
      <c r="K78" s="31"/>
      <c r="L78" s="193"/>
      <c r="M78" s="193"/>
      <c r="N78" s="194"/>
      <c r="O78" s="175"/>
      <c r="P78" s="175"/>
    </row>
    <row r="79" spans="1:16" s="30" customFormat="1" ht="18">
      <c r="A79" s="585"/>
      <c r="B79" s="587"/>
      <c r="C79" s="588" t="s">
        <v>482</v>
      </c>
      <c r="D79" s="588"/>
      <c r="E79" s="588"/>
      <c r="F79" s="588"/>
      <c r="G79" s="588"/>
      <c r="H79" s="215">
        <f>+H78/G77</f>
        <v>0.9475133583526821</v>
      </c>
      <c r="I79" s="589"/>
      <c r="J79" s="185"/>
      <c r="K79" s="31"/>
      <c r="L79" s="193"/>
      <c r="M79" s="193"/>
      <c r="N79" s="194"/>
      <c r="O79" s="175"/>
      <c r="P79" s="175"/>
    </row>
    <row r="80" spans="1:16" s="30" customFormat="1" ht="15.75">
      <c r="A80" s="585"/>
      <c r="B80" s="591" t="s">
        <v>453</v>
      </c>
      <c r="C80" s="592" t="s">
        <v>454</v>
      </c>
      <c r="D80" s="592" t="s">
        <v>129</v>
      </c>
      <c r="E80" s="592" t="s">
        <v>455</v>
      </c>
      <c r="F80" s="592"/>
      <c r="G80" s="593" t="s">
        <v>456</v>
      </c>
      <c r="H80" s="593"/>
      <c r="I80" s="594"/>
      <c r="J80" s="185"/>
      <c r="K80" s="31"/>
      <c r="L80" s="193"/>
      <c r="M80" s="193"/>
      <c r="N80" s="194"/>
      <c r="O80" s="175"/>
      <c r="P80" s="175"/>
    </row>
    <row r="81" spans="1:16" s="30" customFormat="1" ht="31.5">
      <c r="A81" s="585"/>
      <c r="B81" s="601"/>
      <c r="C81" s="602"/>
      <c r="D81" s="602"/>
      <c r="E81" s="219" t="s">
        <v>457</v>
      </c>
      <c r="F81" s="219" t="s">
        <v>458</v>
      </c>
      <c r="G81" s="220" t="s">
        <v>459</v>
      </c>
      <c r="H81" s="203" t="s">
        <v>460</v>
      </c>
      <c r="I81" s="204" t="s">
        <v>461</v>
      </c>
      <c r="J81" s="185"/>
      <c r="K81" s="31"/>
      <c r="L81" s="193"/>
      <c r="M81" s="193"/>
      <c r="N81" s="194"/>
      <c r="O81" s="175"/>
      <c r="P81" s="175"/>
    </row>
    <row r="82" spans="1:16" s="30" customFormat="1" ht="58.5" customHeight="1">
      <c r="A82" s="585"/>
      <c r="B82" s="587" t="s">
        <v>506</v>
      </c>
      <c r="C82" s="190" t="s">
        <v>257</v>
      </c>
      <c r="D82" s="45" t="s">
        <v>314</v>
      </c>
      <c r="E82" s="58">
        <v>14</v>
      </c>
      <c r="F82" s="111">
        <f>+'ACUMULADO A DICIEMBRE 2015'!V58</f>
        <v>14</v>
      </c>
      <c r="G82" s="117">
        <v>0</v>
      </c>
      <c r="H82" s="117">
        <f>'[9]EJECUCION FINANCIERA'!$I$6</f>
        <v>0</v>
      </c>
      <c r="I82" s="216">
        <f>+G82-H82</f>
        <v>0</v>
      </c>
      <c r="J82" s="185"/>
      <c r="K82" s="31"/>
      <c r="L82" s="193"/>
      <c r="M82" s="193"/>
      <c r="N82" s="194"/>
      <c r="O82" s="175"/>
      <c r="P82" s="175"/>
    </row>
    <row r="83" spans="1:16" s="30" customFormat="1" ht="60" customHeight="1">
      <c r="A83" s="585"/>
      <c r="B83" s="587"/>
      <c r="C83" s="190" t="s">
        <v>171</v>
      </c>
      <c r="D83" s="45" t="s">
        <v>314</v>
      </c>
      <c r="E83" s="58">
        <v>13</v>
      </c>
      <c r="F83" s="111">
        <f>+'ACUMULADO A DICIEMBRE 2015'!V59</f>
        <v>13</v>
      </c>
      <c r="G83" s="117">
        <v>0</v>
      </c>
      <c r="H83" s="117">
        <f>'[9]EJECUCION FINANCIERA'!$I$9</f>
        <v>0</v>
      </c>
      <c r="I83" s="216">
        <f>+G83-H83</f>
        <v>0</v>
      </c>
      <c r="J83" s="185"/>
      <c r="K83" s="31"/>
      <c r="L83" s="193"/>
      <c r="M83" s="193"/>
      <c r="N83" s="194"/>
      <c r="O83" s="175"/>
      <c r="P83" s="175"/>
    </row>
    <row r="84" spans="1:16" s="30" customFormat="1" ht="33.75" customHeight="1">
      <c r="A84" s="585"/>
      <c r="B84" s="587"/>
      <c r="C84" s="190" t="s">
        <v>141</v>
      </c>
      <c r="D84" s="45" t="s">
        <v>314</v>
      </c>
      <c r="E84" s="58">
        <v>87</v>
      </c>
      <c r="F84" s="111">
        <f>+'ACUMULADO A DICIEMBRE 2015'!V60</f>
        <v>100</v>
      </c>
      <c r="G84" s="117">
        <v>0</v>
      </c>
      <c r="H84" s="117">
        <f>'[9]EJECUCION FINANCIERA'!$I$11</f>
        <v>0</v>
      </c>
      <c r="I84" s="216">
        <f>+G84-H84</f>
        <v>0</v>
      </c>
      <c r="J84" s="185"/>
      <c r="K84" s="31"/>
      <c r="L84" s="193"/>
      <c r="M84" s="193"/>
      <c r="N84" s="194"/>
      <c r="O84" s="175"/>
      <c r="P84" s="175"/>
    </row>
    <row r="85" spans="1:16" s="30" customFormat="1" ht="45">
      <c r="A85" s="585"/>
      <c r="B85" s="587"/>
      <c r="C85" s="221" t="s">
        <v>258</v>
      </c>
      <c r="D85" s="210" t="s">
        <v>167</v>
      </c>
      <c r="E85" s="58">
        <v>1</v>
      </c>
      <c r="F85" s="111">
        <f>+'ACUMULADO A DICIEMBRE 2015'!V61</f>
        <v>4</v>
      </c>
      <c r="G85" s="117">
        <v>926647642</v>
      </c>
      <c r="H85" s="120">
        <f>'[9]EJECUCION FINANCIERA'!$I$14</f>
        <v>926647642</v>
      </c>
      <c r="I85" s="216">
        <f>+G85-H85</f>
        <v>0</v>
      </c>
      <c r="J85" s="185"/>
      <c r="K85" s="31"/>
      <c r="L85" s="193"/>
      <c r="M85" s="193"/>
      <c r="N85" s="194"/>
      <c r="O85" s="175"/>
      <c r="P85" s="175"/>
    </row>
    <row r="86" spans="1:16" s="30" customFormat="1" ht="30">
      <c r="A86" s="585"/>
      <c r="B86" s="587"/>
      <c r="C86" s="52" t="s">
        <v>507</v>
      </c>
      <c r="D86" s="210" t="s">
        <v>259</v>
      </c>
      <c r="E86" s="58">
        <v>1</v>
      </c>
      <c r="F86" s="111">
        <f>+'ACUMULADO A DICIEMBRE 2015'!V63</f>
        <v>1</v>
      </c>
      <c r="G86" s="117">
        <v>117307360</v>
      </c>
      <c r="H86" s="117">
        <f>+'ACUMULADO A DICIEMBRE 2015'!W63</f>
        <v>117307360</v>
      </c>
      <c r="I86" s="216">
        <f>+G86-H86</f>
        <v>0</v>
      </c>
      <c r="J86" s="185"/>
      <c r="K86" s="31"/>
      <c r="L86" s="193"/>
      <c r="M86" s="193"/>
      <c r="N86" s="194"/>
      <c r="O86" s="175"/>
      <c r="P86" s="175"/>
    </row>
    <row r="87" spans="1:16" s="30" customFormat="1" ht="18">
      <c r="A87" s="585"/>
      <c r="B87" s="587"/>
      <c r="C87" s="597" t="s">
        <v>480</v>
      </c>
      <c r="D87" s="597"/>
      <c r="E87" s="597"/>
      <c r="F87" s="597"/>
      <c r="G87" s="197">
        <f>SUM(G82:G86)</f>
        <v>1043955002</v>
      </c>
      <c r="H87" s="63"/>
      <c r="I87" s="589">
        <f>SUM(I82:I86)</f>
        <v>0</v>
      </c>
      <c r="J87" s="185"/>
      <c r="K87" s="31"/>
      <c r="L87" s="193"/>
      <c r="M87" s="193"/>
      <c r="N87" s="194"/>
      <c r="O87" s="175"/>
      <c r="P87" s="175"/>
    </row>
    <row r="88" spans="1:16" s="30" customFormat="1" ht="18">
      <c r="A88" s="585"/>
      <c r="B88" s="587"/>
      <c r="C88" s="597" t="s">
        <v>481</v>
      </c>
      <c r="D88" s="597"/>
      <c r="E88" s="597"/>
      <c r="F88" s="597"/>
      <c r="G88" s="597"/>
      <c r="H88" s="197">
        <f>SUM(H82:H86)</f>
        <v>1043955002</v>
      </c>
      <c r="I88" s="589"/>
      <c r="J88" s="185"/>
      <c r="K88" s="31"/>
      <c r="L88" s="193"/>
      <c r="M88" s="193"/>
      <c r="N88" s="194"/>
      <c r="O88" s="175"/>
      <c r="P88" s="175"/>
    </row>
    <row r="89" spans="1:16" s="30" customFormat="1" ht="18">
      <c r="A89" s="586"/>
      <c r="B89" s="587"/>
      <c r="C89" s="588" t="s">
        <v>482</v>
      </c>
      <c r="D89" s="588"/>
      <c r="E89" s="588"/>
      <c r="F89" s="588"/>
      <c r="G89" s="588"/>
      <c r="H89" s="201">
        <f>+H88/G87</f>
        <v>1</v>
      </c>
      <c r="I89" s="589"/>
      <c r="J89" s="185"/>
      <c r="K89" s="31"/>
      <c r="L89" s="193"/>
      <c r="M89" s="193"/>
      <c r="N89" s="194"/>
      <c r="O89" s="175"/>
      <c r="P89" s="175"/>
    </row>
    <row r="90" spans="1:16" s="30" customFormat="1" ht="16.5" customHeight="1">
      <c r="A90" s="603" t="s">
        <v>452</v>
      </c>
      <c r="B90" s="591" t="s">
        <v>453</v>
      </c>
      <c r="C90" s="592" t="s">
        <v>454</v>
      </c>
      <c r="D90" s="592" t="s">
        <v>129</v>
      </c>
      <c r="E90" s="592" t="s">
        <v>455</v>
      </c>
      <c r="F90" s="592"/>
      <c r="G90" s="593" t="s">
        <v>456</v>
      </c>
      <c r="H90" s="593"/>
      <c r="I90" s="594"/>
      <c r="J90" s="185"/>
      <c r="K90" s="31"/>
      <c r="L90" s="193"/>
      <c r="M90" s="193"/>
      <c r="N90" s="194"/>
      <c r="O90" s="175"/>
      <c r="P90" s="175"/>
    </row>
    <row r="91" spans="1:16" s="30" customFormat="1" ht="51" customHeight="1">
      <c r="A91" s="603"/>
      <c r="B91" s="591"/>
      <c r="C91" s="602"/>
      <c r="D91" s="592"/>
      <c r="E91" s="205" t="s">
        <v>457</v>
      </c>
      <c r="F91" s="205" t="s">
        <v>458</v>
      </c>
      <c r="G91" s="206" t="s">
        <v>459</v>
      </c>
      <c r="H91" s="203" t="s">
        <v>460</v>
      </c>
      <c r="I91" s="204" t="s">
        <v>461</v>
      </c>
      <c r="J91" s="185"/>
      <c r="K91" s="31"/>
      <c r="L91" s="193"/>
      <c r="M91" s="193"/>
      <c r="N91" s="194"/>
      <c r="O91" s="175"/>
      <c r="P91" s="175"/>
    </row>
    <row r="92" spans="1:16" s="30" customFormat="1" ht="64.5" customHeight="1">
      <c r="A92" s="604" t="s">
        <v>508</v>
      </c>
      <c r="B92" s="599" t="s">
        <v>509</v>
      </c>
      <c r="C92" s="190" t="s">
        <v>262</v>
      </c>
      <c r="D92" s="45" t="s">
        <v>322</v>
      </c>
      <c r="E92" s="58">
        <v>37</v>
      </c>
      <c r="F92" s="111">
        <f>+'ACUMULADO A DICIEMBRE 2015'!V66</f>
        <v>37</v>
      </c>
      <c r="G92" s="100"/>
      <c r="H92" s="101">
        <f>'[10]EJECUCION FINANCIERA'!$I$7</f>
        <v>0</v>
      </c>
      <c r="I92" s="191">
        <f>+G92-H92</f>
        <v>0</v>
      </c>
      <c r="J92" s="185"/>
      <c r="K92" s="31"/>
      <c r="L92" s="193">
        <v>175228</v>
      </c>
      <c r="M92" s="193">
        <v>45086</v>
      </c>
      <c r="N92" s="194">
        <v>334406</v>
      </c>
      <c r="O92" s="175"/>
      <c r="P92" s="175"/>
    </row>
    <row r="93" spans="1:16" s="30" customFormat="1" ht="34.5" customHeight="1">
      <c r="A93" s="604"/>
      <c r="B93" s="599"/>
      <c r="C93" s="52" t="s">
        <v>263</v>
      </c>
      <c r="D93" s="45" t="s">
        <v>323</v>
      </c>
      <c r="E93" s="60">
        <v>37</v>
      </c>
      <c r="F93" s="111">
        <f>+'ACUMULADO A DICIEMBRE 2015'!V68</f>
        <v>37</v>
      </c>
      <c r="G93" s="100">
        <f>+'ACUMULADO A DICIEMBRE 2015'!U68</f>
        <v>63205472</v>
      </c>
      <c r="H93" s="100">
        <f>'[10]EJECUCION FINANCIERA'!$I$11</f>
        <v>63205472</v>
      </c>
      <c r="I93" s="191">
        <f>+G93-H93</f>
        <v>0</v>
      </c>
      <c r="J93" s="185"/>
      <c r="K93" s="31"/>
      <c r="L93" s="193"/>
      <c r="M93" s="193"/>
      <c r="N93" s="194"/>
      <c r="O93" s="175"/>
      <c r="P93" s="175"/>
    </row>
    <row r="94" spans="1:16" s="30" customFormat="1" ht="34.5" customHeight="1">
      <c r="A94" s="604"/>
      <c r="B94" s="599"/>
      <c r="C94" s="52" t="s">
        <v>326</v>
      </c>
      <c r="D94" s="45" t="s">
        <v>324</v>
      </c>
      <c r="E94" s="60">
        <v>1</v>
      </c>
      <c r="F94" s="111">
        <f>+'ACUMULADO A DICIEMBRE 2015'!V69</f>
        <v>1</v>
      </c>
      <c r="G94" s="100">
        <f>+'ACUMULADO A DICIEMBRE 2015'!U69</f>
        <v>57134786</v>
      </c>
      <c r="H94" s="100">
        <f>+'ACUMULADO A DICIEMBRE 2015'!W69</f>
        <v>57068056</v>
      </c>
      <c r="I94" s="191">
        <f>+G94-H94</f>
        <v>66730</v>
      </c>
      <c r="J94" s="185"/>
      <c r="K94" s="31"/>
      <c r="L94" s="193"/>
      <c r="M94" s="193"/>
      <c r="N94" s="194"/>
      <c r="O94" s="175"/>
      <c r="P94" s="175"/>
    </row>
    <row r="95" spans="1:16" s="30" customFormat="1" ht="33.75" customHeight="1">
      <c r="A95" s="604"/>
      <c r="B95" s="599"/>
      <c r="C95" s="52" t="s">
        <v>264</v>
      </c>
      <c r="D95" s="45" t="s">
        <v>325</v>
      </c>
      <c r="E95" s="58">
        <v>1</v>
      </c>
      <c r="F95" s="111">
        <f>+'ACUMULADO A DICIEMBRE 2015'!V70</f>
        <v>2</v>
      </c>
      <c r="G95" s="100">
        <f>+'ACUMULADO A DICIEMBRE 2015'!U70</f>
        <v>169992887</v>
      </c>
      <c r="H95" s="100">
        <f>'[10]EJECUCION FINANCIERA'!$I$22</f>
        <v>169992887</v>
      </c>
      <c r="I95" s="191">
        <f>+G95-H95</f>
        <v>0</v>
      </c>
      <c r="J95" s="185"/>
      <c r="K95" s="31"/>
      <c r="L95" s="193"/>
      <c r="M95" s="193"/>
      <c r="N95" s="194"/>
      <c r="O95" s="175"/>
      <c r="P95" s="175"/>
    </row>
    <row r="96" spans="1:16" s="30" customFormat="1" ht="30">
      <c r="A96" s="604"/>
      <c r="B96" s="605"/>
      <c r="C96" s="52" t="s">
        <v>206</v>
      </c>
      <c r="D96" s="45" t="s">
        <v>308</v>
      </c>
      <c r="E96" s="58">
        <v>100</v>
      </c>
      <c r="F96" s="111">
        <f>+'ACUMULADO A DICIEMBRE 2015'!V72</f>
        <v>98</v>
      </c>
      <c r="G96" s="100">
        <f>+'ACUMULADO A DICIEMBRE 2015'!U72</f>
        <v>29666855</v>
      </c>
      <c r="H96" s="100">
        <f>'[10]EJECUCION FINANCIERA'!$I$26</f>
        <v>29062984</v>
      </c>
      <c r="I96" s="191">
        <f>+G96-H96</f>
        <v>603871</v>
      </c>
      <c r="J96" s="185"/>
      <c r="K96" s="31"/>
      <c r="L96" s="193"/>
      <c r="M96" s="193"/>
      <c r="N96" s="194"/>
      <c r="O96" s="175"/>
      <c r="P96" s="175"/>
    </row>
    <row r="97" spans="1:16" s="30" customFormat="1" ht="18">
      <c r="A97" s="604"/>
      <c r="B97" s="606"/>
      <c r="C97" s="608" t="s">
        <v>480</v>
      </c>
      <c r="D97" s="597"/>
      <c r="E97" s="597"/>
      <c r="F97" s="597"/>
      <c r="G97" s="197">
        <f>SUM(G92:G96)</f>
        <v>320000000</v>
      </c>
      <c r="H97" s="63"/>
      <c r="I97" s="589">
        <f>+G97-H98</f>
        <v>670601</v>
      </c>
      <c r="J97" s="222"/>
      <c r="K97" s="31"/>
      <c r="L97" s="193">
        <v>630821</v>
      </c>
      <c r="M97" s="193"/>
      <c r="N97" s="194"/>
      <c r="O97" s="175"/>
      <c r="P97" s="175"/>
    </row>
    <row r="98" spans="1:16" s="30" customFormat="1" ht="18">
      <c r="A98" s="604"/>
      <c r="B98" s="606"/>
      <c r="C98" s="597" t="s">
        <v>481</v>
      </c>
      <c r="D98" s="597"/>
      <c r="E98" s="597"/>
      <c r="F98" s="597"/>
      <c r="G98" s="597"/>
      <c r="H98" s="197">
        <f>SUM(H92:H97)</f>
        <v>319329399</v>
      </c>
      <c r="I98" s="589"/>
      <c r="J98" s="200"/>
      <c r="K98" s="31"/>
      <c r="L98" s="193">
        <v>4107244</v>
      </c>
      <c r="M98" s="193"/>
      <c r="N98" s="194"/>
      <c r="O98" s="175"/>
      <c r="P98" s="175"/>
    </row>
    <row r="99" spans="1:16" s="30" customFormat="1" ht="18">
      <c r="A99" s="604"/>
      <c r="B99" s="607"/>
      <c r="C99" s="598" t="s">
        <v>482</v>
      </c>
      <c r="D99" s="598"/>
      <c r="E99" s="598"/>
      <c r="F99" s="598"/>
      <c r="G99" s="598"/>
      <c r="H99" s="201">
        <f>+H98/G97</f>
        <v>0.997904371875</v>
      </c>
      <c r="I99" s="589"/>
      <c r="J99" s="185">
        <v>80</v>
      </c>
      <c r="K99" s="31"/>
      <c r="L99" s="223"/>
      <c r="M99" s="202">
        <f>SUM(L92:M98)</f>
        <v>4958379</v>
      </c>
      <c r="N99" s="224">
        <f>SUM(N92:N98)</f>
        <v>334406</v>
      </c>
      <c r="O99" s="175"/>
      <c r="P99" s="175"/>
    </row>
    <row r="100" spans="1:16" s="30" customFormat="1" ht="23.25" customHeight="1">
      <c r="A100" s="604"/>
      <c r="B100" s="591" t="s">
        <v>453</v>
      </c>
      <c r="C100" s="592" t="s">
        <v>454</v>
      </c>
      <c r="D100" s="592" t="s">
        <v>129</v>
      </c>
      <c r="E100" s="592" t="s">
        <v>455</v>
      </c>
      <c r="F100" s="592"/>
      <c r="G100" s="593" t="s">
        <v>456</v>
      </c>
      <c r="H100" s="593"/>
      <c r="I100" s="594"/>
      <c r="J100" s="185"/>
      <c r="K100" s="31"/>
      <c r="L100" s="223"/>
      <c r="M100" s="202"/>
      <c r="N100" s="224"/>
      <c r="O100" s="175"/>
      <c r="P100" s="175"/>
    </row>
    <row r="101" spans="1:16" s="30" customFormat="1" ht="44.25" customHeight="1">
      <c r="A101" s="604"/>
      <c r="B101" s="591"/>
      <c r="C101" s="602"/>
      <c r="D101" s="592"/>
      <c r="E101" s="205" t="s">
        <v>457</v>
      </c>
      <c r="F101" s="205" t="s">
        <v>458</v>
      </c>
      <c r="G101" s="206" t="s">
        <v>459</v>
      </c>
      <c r="H101" s="203" t="s">
        <v>460</v>
      </c>
      <c r="I101" s="204" t="s">
        <v>461</v>
      </c>
      <c r="J101" s="185"/>
      <c r="K101" s="31"/>
      <c r="L101" s="223"/>
      <c r="M101" s="202"/>
      <c r="N101" s="224"/>
      <c r="O101" s="175"/>
      <c r="P101" s="175"/>
    </row>
    <row r="102" spans="1:16" s="30" customFormat="1" ht="50.25" customHeight="1">
      <c r="A102" s="604"/>
      <c r="B102" s="587" t="s">
        <v>510</v>
      </c>
      <c r="C102" s="190" t="s">
        <v>266</v>
      </c>
      <c r="D102" s="45" t="s">
        <v>327</v>
      </c>
      <c r="E102" s="58">
        <v>37</v>
      </c>
      <c r="F102" s="58">
        <f>+'ACUMULADO A DICIEMBRE 2015'!V74</f>
        <v>37</v>
      </c>
      <c r="G102" s="100">
        <f>+'ACUMULADO A DICIEMBRE 2015'!U74</f>
        <v>0</v>
      </c>
      <c r="H102" s="100">
        <f>+'ACUMULADO A DICIEMBRE 2015'!W74</f>
        <v>0</v>
      </c>
      <c r="I102" s="191">
        <f aca="true" t="shared" si="4" ref="I102:I107">+G102-H102</f>
        <v>0</v>
      </c>
      <c r="J102" s="185"/>
      <c r="K102" s="31"/>
      <c r="L102" s="223"/>
      <c r="M102" s="202"/>
      <c r="N102" s="224"/>
      <c r="O102" s="175"/>
      <c r="P102" s="175"/>
    </row>
    <row r="103" spans="1:16" s="30" customFormat="1" ht="45">
      <c r="A103" s="604"/>
      <c r="B103" s="587"/>
      <c r="C103" s="225" t="s">
        <v>267</v>
      </c>
      <c r="D103" s="45" t="s">
        <v>328</v>
      </c>
      <c r="E103" s="58">
        <v>38</v>
      </c>
      <c r="F103" s="58">
        <f>+'ACUMULADO A DICIEMBRE 2015'!V75</f>
        <v>38</v>
      </c>
      <c r="G103" s="100">
        <f>+'ACUMULADO A DICIEMBRE 2015'!U75</f>
        <v>99550000</v>
      </c>
      <c r="H103" s="100">
        <f>+'ACUMULADO A DICIEMBRE 2015'!W75</f>
        <v>98727761</v>
      </c>
      <c r="I103" s="191">
        <f t="shared" si="4"/>
        <v>822239</v>
      </c>
      <c r="J103" s="185"/>
      <c r="K103" s="31"/>
      <c r="L103" s="223"/>
      <c r="M103" s="202"/>
      <c r="N103" s="224"/>
      <c r="O103" s="175"/>
      <c r="P103" s="175"/>
    </row>
    <row r="104" spans="1:16" s="30" customFormat="1" ht="45">
      <c r="A104" s="604"/>
      <c r="B104" s="587"/>
      <c r="C104" s="225" t="s">
        <v>268</v>
      </c>
      <c r="D104" s="45" t="s">
        <v>315</v>
      </c>
      <c r="E104" s="58">
        <v>2</v>
      </c>
      <c r="F104" s="58">
        <f>+'ACUMULADO A DICIEMBRE 2015'!V76</f>
        <v>2</v>
      </c>
      <c r="G104" s="100">
        <f>+'ACUMULADO A DICIEMBRE 2015'!U76</f>
        <v>1240270200</v>
      </c>
      <c r="H104" s="100">
        <f>+'ACUMULADO A DICIEMBRE 2015'!W76</f>
        <v>1239855020</v>
      </c>
      <c r="I104" s="191">
        <f t="shared" si="4"/>
        <v>415180</v>
      </c>
      <c r="J104" s="185"/>
      <c r="K104" s="31"/>
      <c r="L104" s="223"/>
      <c r="M104" s="202"/>
      <c r="N104" s="224"/>
      <c r="O104" s="175"/>
      <c r="P104" s="175"/>
    </row>
    <row r="105" spans="1:16" s="30" customFormat="1" ht="105.75" customHeight="1">
      <c r="A105" s="604"/>
      <c r="B105" s="587"/>
      <c r="C105" s="212" t="s">
        <v>269</v>
      </c>
      <c r="D105" s="45" t="s">
        <v>272</v>
      </c>
      <c r="E105" s="58">
        <v>6</v>
      </c>
      <c r="F105" s="58">
        <f>+'ACUMULADO A DICIEMBRE 2015'!V77</f>
        <v>6</v>
      </c>
      <c r="G105" s="100">
        <f>+'ACUMULADO A DICIEMBRE 2015'!U77</f>
        <v>2559315013</v>
      </c>
      <c r="H105" s="100">
        <f>+'ACUMULADO A DICIEMBRE 2015'!W77</f>
        <v>2557227688</v>
      </c>
      <c r="I105" s="191">
        <f t="shared" si="4"/>
        <v>2087325</v>
      </c>
      <c r="J105" s="185"/>
      <c r="K105" s="31"/>
      <c r="L105" s="223"/>
      <c r="M105" s="202"/>
      <c r="N105" s="224"/>
      <c r="O105" s="175"/>
      <c r="P105" s="175"/>
    </row>
    <row r="106" spans="1:16" s="30" customFormat="1" ht="46.5" customHeight="1">
      <c r="A106" s="604"/>
      <c r="B106" s="587"/>
      <c r="C106" s="212" t="s">
        <v>511</v>
      </c>
      <c r="D106" s="45" t="s">
        <v>329</v>
      </c>
      <c r="E106" s="58">
        <v>6</v>
      </c>
      <c r="F106" s="58">
        <f>+'ACUMULADO A DICIEMBRE 2015'!V78</f>
        <v>8</v>
      </c>
      <c r="G106" s="100">
        <f>+'ACUMULADO A DICIEMBRE 2015'!U78</f>
        <v>343335438</v>
      </c>
      <c r="H106" s="100">
        <f>+'ACUMULADO A DICIEMBRE 2015'!W78</f>
        <v>343335435</v>
      </c>
      <c r="I106" s="191">
        <f t="shared" si="4"/>
        <v>3</v>
      </c>
      <c r="J106" s="185"/>
      <c r="K106" s="31"/>
      <c r="L106" s="223"/>
      <c r="M106" s="202"/>
      <c r="N106" s="224"/>
      <c r="O106" s="175"/>
      <c r="P106" s="175"/>
    </row>
    <row r="107" spans="1:16" s="30" customFormat="1" ht="82.5" customHeight="1">
      <c r="A107" s="604"/>
      <c r="B107" s="587"/>
      <c r="C107" s="212" t="s">
        <v>271</v>
      </c>
      <c r="D107" s="45" t="s">
        <v>330</v>
      </c>
      <c r="E107" s="58">
        <v>37</v>
      </c>
      <c r="F107" s="58">
        <f>+'ACUMULADO A DICIEMBRE 2015'!V79</f>
        <v>37</v>
      </c>
      <c r="G107" s="100">
        <f>+'ACUMULADO A DICIEMBRE 2015'!U79</f>
        <v>0</v>
      </c>
      <c r="H107" s="100">
        <f>+'ACUMULADO A DICIEMBRE 2015'!W79</f>
        <v>0</v>
      </c>
      <c r="I107" s="191">
        <f t="shared" si="4"/>
        <v>0</v>
      </c>
      <c r="J107" s="185"/>
      <c r="K107" s="31"/>
      <c r="L107" s="223"/>
      <c r="M107" s="202"/>
      <c r="N107" s="224"/>
      <c r="O107" s="175"/>
      <c r="P107" s="175"/>
    </row>
    <row r="108" spans="1:16" s="30" customFormat="1" ht="23.25" customHeight="1">
      <c r="A108" s="604"/>
      <c r="B108" s="606"/>
      <c r="C108" s="597" t="s">
        <v>480</v>
      </c>
      <c r="D108" s="597"/>
      <c r="E108" s="597"/>
      <c r="F108" s="597"/>
      <c r="G108" s="197">
        <f>SUM(G102:G107)</f>
        <v>4242470651</v>
      </c>
      <c r="H108" s="226"/>
      <c r="I108" s="609">
        <f>+G108-H109</f>
        <v>3324747</v>
      </c>
      <c r="J108" s="185"/>
      <c r="K108" s="31"/>
      <c r="L108" s="223"/>
      <c r="M108" s="202"/>
      <c r="N108" s="224"/>
      <c r="O108" s="175"/>
      <c r="P108" s="175"/>
    </row>
    <row r="109" spans="1:16" s="30" customFormat="1" ht="25.5" customHeight="1">
      <c r="A109" s="604"/>
      <c r="B109" s="606"/>
      <c r="C109" s="597" t="s">
        <v>481</v>
      </c>
      <c r="D109" s="597"/>
      <c r="E109" s="597"/>
      <c r="F109" s="597"/>
      <c r="G109" s="597"/>
      <c r="H109" s="197">
        <f>SUM(H102:H108)</f>
        <v>4239145904</v>
      </c>
      <c r="I109" s="609"/>
      <c r="J109" s="185"/>
      <c r="K109" s="31"/>
      <c r="L109" s="223"/>
      <c r="M109" s="202"/>
      <c r="N109" s="224"/>
      <c r="O109" s="175"/>
      <c r="P109" s="175"/>
    </row>
    <row r="110" spans="1:16" s="30" customFormat="1" ht="24.75" customHeight="1">
      <c r="A110" s="604"/>
      <c r="B110" s="606"/>
      <c r="C110" s="588" t="s">
        <v>482</v>
      </c>
      <c r="D110" s="588"/>
      <c r="E110" s="588"/>
      <c r="F110" s="588"/>
      <c r="G110" s="588"/>
      <c r="H110" s="417">
        <f>+H109/G108</f>
        <v>0.9992163182085382</v>
      </c>
      <c r="I110" s="609"/>
      <c r="J110" s="185"/>
      <c r="K110" s="31"/>
      <c r="L110" s="223"/>
      <c r="M110" s="202"/>
      <c r="N110" s="224"/>
      <c r="O110" s="175"/>
      <c r="P110" s="175"/>
    </row>
    <row r="111" spans="1:16" s="30" customFormat="1" ht="19.5" customHeight="1">
      <c r="A111" s="603" t="s">
        <v>452</v>
      </c>
      <c r="B111" s="591" t="s">
        <v>453</v>
      </c>
      <c r="C111" s="592" t="s">
        <v>454</v>
      </c>
      <c r="D111" s="592" t="s">
        <v>129</v>
      </c>
      <c r="E111" s="592" t="s">
        <v>455</v>
      </c>
      <c r="F111" s="592"/>
      <c r="G111" s="593" t="s">
        <v>456</v>
      </c>
      <c r="H111" s="593"/>
      <c r="I111" s="594"/>
      <c r="J111" s="185"/>
      <c r="K111" s="31"/>
      <c r="L111" s="193"/>
      <c r="M111" s="193"/>
      <c r="N111" s="194"/>
      <c r="O111" s="175"/>
      <c r="P111" s="175"/>
    </row>
    <row r="112" spans="1:16" s="30" customFormat="1" ht="45.75" customHeight="1">
      <c r="A112" s="603"/>
      <c r="B112" s="591"/>
      <c r="C112" s="602"/>
      <c r="D112" s="592"/>
      <c r="E112" s="205" t="s">
        <v>457</v>
      </c>
      <c r="F112" s="205" t="s">
        <v>458</v>
      </c>
      <c r="G112" s="227" t="s">
        <v>459</v>
      </c>
      <c r="H112" s="205" t="s">
        <v>460</v>
      </c>
      <c r="I112" s="228" t="s">
        <v>461</v>
      </c>
      <c r="J112" s="185"/>
      <c r="K112" s="31"/>
      <c r="L112" s="193"/>
      <c r="M112" s="193"/>
      <c r="N112" s="194"/>
      <c r="O112" s="175"/>
      <c r="P112" s="175"/>
    </row>
    <row r="113" spans="1:16" s="30" customFormat="1" ht="111" customHeight="1">
      <c r="A113" s="584" t="s">
        <v>512</v>
      </c>
      <c r="B113" s="599" t="s">
        <v>513</v>
      </c>
      <c r="C113" s="190" t="s">
        <v>144</v>
      </c>
      <c r="D113" s="45" t="s">
        <v>327</v>
      </c>
      <c r="E113" s="58">
        <v>37</v>
      </c>
      <c r="F113" s="121">
        <f>+'ACUMULADO A DICIEMBRE 2015'!V82</f>
        <v>37</v>
      </c>
      <c r="G113" s="100">
        <f>+'ACUMULADO A DICIEMBRE 2015'!U82</f>
        <v>0</v>
      </c>
      <c r="H113" s="100">
        <f>+'ACUMULADO A DICIEMBRE 2015'!W82</f>
        <v>0</v>
      </c>
      <c r="I113" s="191">
        <f aca="true" t="shared" si="5" ref="I113:I130">+G113-H113</f>
        <v>0</v>
      </c>
      <c r="J113" s="185"/>
      <c r="K113" s="31"/>
      <c r="L113" s="229">
        <v>951912</v>
      </c>
      <c r="M113" s="193">
        <v>69813</v>
      </c>
      <c r="N113" s="194">
        <v>412670</v>
      </c>
      <c r="O113" s="175"/>
      <c r="P113" s="175"/>
    </row>
    <row r="114" spans="1:16" s="30" customFormat="1" ht="50.25" customHeight="1">
      <c r="A114" s="585"/>
      <c r="B114" s="599"/>
      <c r="C114" s="190" t="s">
        <v>275</v>
      </c>
      <c r="D114" s="45" t="s">
        <v>1</v>
      </c>
      <c r="E114" s="58">
        <v>70</v>
      </c>
      <c r="F114" s="121">
        <f>+'ACUMULADO A DICIEMBRE 2015'!V83</f>
        <v>71</v>
      </c>
      <c r="G114" s="100">
        <f>+'ACUMULADO A DICIEMBRE 2015'!U83</f>
        <v>0</v>
      </c>
      <c r="H114" s="100">
        <f>+'ACUMULADO A DICIEMBRE 2015'!W83</f>
        <v>0</v>
      </c>
      <c r="I114" s="191">
        <f t="shared" si="5"/>
        <v>0</v>
      </c>
      <c r="J114" s="185"/>
      <c r="K114" s="31"/>
      <c r="L114" s="229"/>
      <c r="M114" s="193"/>
      <c r="N114" s="194"/>
      <c r="O114" s="175"/>
      <c r="P114" s="175"/>
    </row>
    <row r="115" spans="1:16" s="30" customFormat="1" ht="48" customHeight="1">
      <c r="A115" s="585"/>
      <c r="B115" s="599"/>
      <c r="C115" s="190" t="s">
        <v>276</v>
      </c>
      <c r="D115" s="45" t="s">
        <v>1</v>
      </c>
      <c r="E115" s="58">
        <v>90</v>
      </c>
      <c r="F115" s="121">
        <f>+'ACUMULADO A DICIEMBRE 2015'!V84</f>
        <v>94</v>
      </c>
      <c r="G115" s="100">
        <f>+'ACUMULADO A DICIEMBRE 2015'!U84</f>
        <v>37466870.4</v>
      </c>
      <c r="H115" s="100">
        <f>+'ACUMULADO A DICIEMBRE 2015'!W84</f>
        <v>37466870.4</v>
      </c>
      <c r="I115" s="191">
        <f t="shared" si="5"/>
        <v>0</v>
      </c>
      <c r="J115" s="185"/>
      <c r="K115" s="31"/>
      <c r="L115" s="229"/>
      <c r="M115" s="193"/>
      <c r="N115" s="194"/>
      <c r="O115" s="175"/>
      <c r="P115" s="175"/>
    </row>
    <row r="116" spans="1:16" s="30" customFormat="1" ht="48.75" customHeight="1">
      <c r="A116" s="585"/>
      <c r="B116" s="599"/>
      <c r="C116" s="52" t="s">
        <v>277</v>
      </c>
      <c r="D116" s="45" t="s">
        <v>327</v>
      </c>
      <c r="E116" s="58">
        <v>37</v>
      </c>
      <c r="F116" s="121">
        <f>+'ACUMULADO A DICIEMBRE 2015'!V85</f>
        <v>37</v>
      </c>
      <c r="G116" s="100">
        <f>+'ACUMULADO A DICIEMBRE 2015'!U85</f>
        <v>30223269.432</v>
      </c>
      <c r="H116" s="100">
        <f>+'ACUMULADO A DICIEMBRE 2015'!W85</f>
        <v>30223269</v>
      </c>
      <c r="I116" s="191">
        <f t="shared" si="5"/>
        <v>0.4320000000298023</v>
      </c>
      <c r="J116" s="185"/>
      <c r="K116" s="31"/>
      <c r="L116" s="229"/>
      <c r="M116" s="193"/>
      <c r="N116" s="194"/>
      <c r="O116" s="175"/>
      <c r="P116" s="175"/>
    </row>
    <row r="117" spans="1:16" s="30" customFormat="1" ht="47.25" customHeight="1">
      <c r="A117" s="585"/>
      <c r="B117" s="599"/>
      <c r="C117" s="190" t="s">
        <v>278</v>
      </c>
      <c r="D117" s="45" t="s">
        <v>331</v>
      </c>
      <c r="E117" s="58">
        <v>1</v>
      </c>
      <c r="F117" s="121">
        <f>+'ACUMULADO A DICIEMBRE 2015'!V86</f>
        <v>1</v>
      </c>
      <c r="G117" s="100">
        <f>+'ACUMULADO A DICIEMBRE 2015'!U86</f>
        <v>18331094</v>
      </c>
      <c r="H117" s="100">
        <f>+'ACUMULADO A DICIEMBRE 2015'!W86</f>
        <v>18072000</v>
      </c>
      <c r="I117" s="191">
        <f t="shared" si="5"/>
        <v>259094</v>
      </c>
      <c r="J117" s="185"/>
      <c r="K117" s="31"/>
      <c r="L117" s="229"/>
      <c r="M117" s="193"/>
      <c r="N117" s="194"/>
      <c r="O117" s="175"/>
      <c r="P117" s="175"/>
    </row>
    <row r="118" spans="1:16" s="30" customFormat="1" ht="36" customHeight="1">
      <c r="A118" s="585"/>
      <c r="B118" s="599"/>
      <c r="C118" s="52" t="s">
        <v>280</v>
      </c>
      <c r="D118" s="45" t="s">
        <v>332</v>
      </c>
      <c r="E118" s="58">
        <v>771</v>
      </c>
      <c r="F118" s="122">
        <f>+'ACUMULADO A DICIEMBRE 2015'!V88</f>
        <v>781</v>
      </c>
      <c r="G118" s="100">
        <f>+'ACUMULADO A DICIEMBRE 2015'!U88</f>
        <v>30120000</v>
      </c>
      <c r="H118" s="100">
        <f>+'ACUMULADO A DICIEMBRE 2015'!W88</f>
        <v>30105944</v>
      </c>
      <c r="I118" s="191">
        <f t="shared" si="5"/>
        <v>14056</v>
      </c>
      <c r="J118" s="185"/>
      <c r="K118" s="31"/>
      <c r="L118" s="229"/>
      <c r="M118" s="193"/>
      <c r="N118" s="194"/>
      <c r="O118" s="175"/>
      <c r="P118" s="175"/>
    </row>
    <row r="119" spans="1:16" s="30" customFormat="1" ht="99" customHeight="1">
      <c r="A119" s="585"/>
      <c r="B119" s="599"/>
      <c r="C119" s="190" t="s">
        <v>156</v>
      </c>
      <c r="D119" s="45" t="s">
        <v>1</v>
      </c>
      <c r="E119" s="58">
        <v>50</v>
      </c>
      <c r="F119" s="122">
        <f>+'ACUMULADO A DICIEMBRE 2015'!V89</f>
        <v>50</v>
      </c>
      <c r="G119" s="100">
        <f>+'ACUMULADO A DICIEMBRE 2015'!U89</f>
        <v>70732315</v>
      </c>
      <c r="H119" s="100">
        <f>+'ACUMULADO A DICIEMBRE 2015'!W89</f>
        <v>63880906</v>
      </c>
      <c r="I119" s="191">
        <f>+G119-H119</f>
        <v>6851409</v>
      </c>
      <c r="J119" s="185"/>
      <c r="K119" s="31"/>
      <c r="L119" s="229"/>
      <c r="M119" s="193"/>
      <c r="N119" s="194"/>
      <c r="O119" s="175"/>
      <c r="P119" s="175"/>
    </row>
    <row r="120" spans="1:16" s="30" customFormat="1" ht="44.25" customHeight="1">
      <c r="A120" s="585"/>
      <c r="B120" s="599"/>
      <c r="C120" s="52" t="s">
        <v>281</v>
      </c>
      <c r="D120" s="45" t="s">
        <v>333</v>
      </c>
      <c r="E120" s="58">
        <v>90</v>
      </c>
      <c r="F120" s="122">
        <f>+'ACUMULADO A DICIEMBRE 2015'!V90</f>
        <v>90</v>
      </c>
      <c r="G120" s="100">
        <f>+'ACUMULADO A DICIEMBRE 2015'!U90</f>
        <v>0</v>
      </c>
      <c r="H120" s="100">
        <f>+'ACUMULADO A DICIEMBRE 2015'!U90</f>
        <v>0</v>
      </c>
      <c r="I120" s="191">
        <f t="shared" si="5"/>
        <v>0</v>
      </c>
      <c r="J120" s="185"/>
      <c r="K120" s="31"/>
      <c r="L120" s="229">
        <f>280554*2</f>
        <v>561108</v>
      </c>
      <c r="M120" s="193">
        <f>105137*2</f>
        <v>210274</v>
      </c>
      <c r="N120" s="194"/>
      <c r="O120" s="175"/>
      <c r="P120" s="175"/>
    </row>
    <row r="121" spans="1:16" s="30" customFormat="1" ht="55.5" customHeight="1">
      <c r="A121" s="585"/>
      <c r="B121" s="599"/>
      <c r="C121" s="190" t="s">
        <v>282</v>
      </c>
      <c r="D121" s="45" t="s">
        <v>333</v>
      </c>
      <c r="E121" s="58">
        <v>60</v>
      </c>
      <c r="F121" s="122">
        <f>+'ACUMULADO A DICIEMBRE 2015'!V91</f>
        <v>60</v>
      </c>
      <c r="G121" s="100">
        <f>+'ACUMULADO A DICIEMBRE 2015'!U91</f>
        <v>0</v>
      </c>
      <c r="H121" s="100">
        <f>+'ACUMULADO A DICIEMBRE 2015'!U91</f>
        <v>0</v>
      </c>
      <c r="I121" s="191">
        <f t="shared" si="5"/>
        <v>0</v>
      </c>
      <c r="J121" s="185"/>
      <c r="K121" s="31"/>
      <c r="L121" s="229">
        <v>425686</v>
      </c>
      <c r="M121" s="193">
        <v>63158</v>
      </c>
      <c r="N121" s="194"/>
      <c r="O121" s="175"/>
      <c r="P121" s="175"/>
    </row>
    <row r="122" spans="1:16" s="30" customFormat="1" ht="45">
      <c r="A122" s="585"/>
      <c r="B122" s="599"/>
      <c r="C122" s="52" t="s">
        <v>283</v>
      </c>
      <c r="D122" s="123" t="s">
        <v>26</v>
      </c>
      <c r="E122" s="58">
        <v>1</v>
      </c>
      <c r="F122" s="122">
        <f>+'ACUMULADO A DICIEMBRE 2015'!V92</f>
        <v>1</v>
      </c>
      <c r="G122" s="100">
        <f>+'ACUMULADO A DICIEMBRE 2015'!U92</f>
        <v>658073758.44</v>
      </c>
      <c r="H122" s="100">
        <f>+'ACUMULADO A DICIEMBRE 2015'!W92</f>
        <v>650923272</v>
      </c>
      <c r="I122" s="191">
        <f t="shared" si="5"/>
        <v>7150486.440000057</v>
      </c>
      <c r="J122" s="185"/>
      <c r="K122" s="31"/>
      <c r="L122" s="229"/>
      <c r="M122" s="193"/>
      <c r="N122" s="194"/>
      <c r="O122" s="175"/>
      <c r="P122" s="175"/>
    </row>
    <row r="123" spans="1:16" s="30" customFormat="1" ht="60">
      <c r="A123" s="585"/>
      <c r="B123" s="599"/>
      <c r="C123" s="52" t="s">
        <v>284</v>
      </c>
      <c r="D123" s="45" t="s">
        <v>314</v>
      </c>
      <c r="E123" s="58">
        <v>100</v>
      </c>
      <c r="F123" s="122">
        <f>+'ACUMULADO A DICIEMBRE 2015'!V93</f>
        <v>100</v>
      </c>
      <c r="G123" s="100">
        <f>+'ACUMULADO A DICIEMBRE 2015'!U93</f>
        <v>0</v>
      </c>
      <c r="H123" s="100">
        <f>+'ACUMULADO A DICIEMBRE 2015'!U93</f>
        <v>0</v>
      </c>
      <c r="I123" s="191">
        <f t="shared" si="5"/>
        <v>0</v>
      </c>
      <c r="J123" s="185"/>
      <c r="K123" s="31"/>
      <c r="L123" s="229"/>
      <c r="M123" s="193"/>
      <c r="N123" s="194"/>
      <c r="O123" s="175"/>
      <c r="P123" s="175"/>
    </row>
    <row r="124" spans="1:16" s="30" customFormat="1" ht="45">
      <c r="A124" s="585"/>
      <c r="B124" s="599"/>
      <c r="C124" s="52" t="s">
        <v>285</v>
      </c>
      <c r="D124" s="45" t="s">
        <v>1</v>
      </c>
      <c r="E124" s="58">
        <v>80</v>
      </c>
      <c r="F124" s="122">
        <f>+'ACUMULADO A DICIEMBRE 2015'!V94</f>
        <v>80</v>
      </c>
      <c r="G124" s="100">
        <f>+'ACUMULADO A DICIEMBRE 2015'!U94</f>
        <v>0</v>
      </c>
      <c r="H124" s="100">
        <f>+'ACUMULADO A DICIEMBRE 2015'!U94</f>
        <v>0</v>
      </c>
      <c r="I124" s="191">
        <f t="shared" si="5"/>
        <v>0</v>
      </c>
      <c r="J124" s="185"/>
      <c r="K124" s="31"/>
      <c r="L124" s="229"/>
      <c r="M124" s="193"/>
      <c r="N124" s="194"/>
      <c r="O124" s="175"/>
      <c r="P124" s="175"/>
    </row>
    <row r="125" spans="1:16" s="30" customFormat="1" ht="30">
      <c r="A125" s="585"/>
      <c r="B125" s="599"/>
      <c r="C125" s="52" t="s">
        <v>286</v>
      </c>
      <c r="D125" s="45" t="s">
        <v>1</v>
      </c>
      <c r="E125" s="58">
        <v>80</v>
      </c>
      <c r="F125" s="122">
        <f>+'ACUMULADO A DICIEMBRE 2015'!V95</f>
        <v>80</v>
      </c>
      <c r="G125" s="100">
        <f>+'ACUMULADO A DICIEMBRE 2015'!U95</f>
        <v>4016000</v>
      </c>
      <c r="H125" s="100">
        <f>+'ACUMULADO A DICIEMBRE 2015'!W95</f>
        <v>3797810</v>
      </c>
      <c r="I125" s="191">
        <f t="shared" si="5"/>
        <v>218190</v>
      </c>
      <c r="J125" s="185"/>
      <c r="K125" s="31"/>
      <c r="L125" s="229"/>
      <c r="M125" s="193"/>
      <c r="N125" s="194"/>
      <c r="O125" s="175"/>
      <c r="P125" s="175"/>
    </row>
    <row r="126" spans="1:16" s="30" customFormat="1" ht="67.5" customHeight="1">
      <c r="A126" s="585"/>
      <c r="B126" s="599"/>
      <c r="C126" s="190" t="s">
        <v>546</v>
      </c>
      <c r="D126" s="45" t="s">
        <v>298</v>
      </c>
      <c r="E126" s="58">
        <v>25</v>
      </c>
      <c r="F126" s="122">
        <f>+'ACUMULADO A DICIEMBRE 2015'!V96</f>
        <v>25</v>
      </c>
      <c r="G126" s="100">
        <f>+'ACUMULADO A DICIEMBRE 2015'!U96</f>
        <v>1813517043.768</v>
      </c>
      <c r="H126" s="100">
        <f>+'ACUMULADO A DICIEMBRE 2015'!W96</f>
        <v>1798947397</v>
      </c>
      <c r="I126" s="191">
        <f t="shared" si="5"/>
        <v>14569646.767999887</v>
      </c>
      <c r="J126" s="185"/>
      <c r="K126" s="31"/>
      <c r="L126" s="229"/>
      <c r="M126" s="193"/>
      <c r="N126" s="194"/>
      <c r="O126" s="175"/>
      <c r="P126" s="175"/>
    </row>
    <row r="127" spans="1:16" s="30" customFormat="1" ht="45">
      <c r="A127" s="585"/>
      <c r="B127" s="599"/>
      <c r="C127" s="52" t="s">
        <v>287</v>
      </c>
      <c r="D127" s="45" t="s">
        <v>259</v>
      </c>
      <c r="E127" s="58">
        <v>1</v>
      </c>
      <c r="F127" s="122">
        <f>+'ACUMULADO A DICIEMBRE 2015'!V97</f>
        <v>1</v>
      </c>
      <c r="G127" s="100">
        <f>+'ACUMULADO A DICIEMBRE 2015'!U97</f>
        <v>18560000</v>
      </c>
      <c r="H127" s="100">
        <f>+'ACUMULADO A DICIEMBRE 2015'!W97</f>
        <v>17342148</v>
      </c>
      <c r="I127" s="191">
        <f t="shared" si="5"/>
        <v>1217852</v>
      </c>
      <c r="J127" s="185"/>
      <c r="K127" s="31"/>
      <c r="L127" s="229"/>
      <c r="M127" s="193"/>
      <c r="N127" s="194"/>
      <c r="O127" s="175"/>
      <c r="P127" s="175"/>
    </row>
    <row r="128" spans="1:16" s="30" customFormat="1" ht="74.25" customHeight="1">
      <c r="A128" s="585"/>
      <c r="B128" s="599"/>
      <c r="C128" s="52" t="s">
        <v>288</v>
      </c>
      <c r="D128" s="45" t="s">
        <v>322</v>
      </c>
      <c r="E128" s="58">
        <v>37</v>
      </c>
      <c r="F128" s="122">
        <f>+'ACUMULADO A DICIEMBRE 2015'!V98</f>
        <v>37</v>
      </c>
      <c r="G128" s="100">
        <f>+'ACUMULADO A DICIEMBRE 2015'!U98</f>
        <v>101497709.568</v>
      </c>
      <c r="H128" s="100">
        <f>+'ACUMULADO A DICIEMBRE 2015'!W98</f>
        <v>100840023</v>
      </c>
      <c r="I128" s="191">
        <f t="shared" si="5"/>
        <v>657686.5680000037</v>
      </c>
      <c r="J128" s="185"/>
      <c r="K128" s="31"/>
      <c r="L128" s="229"/>
      <c r="M128" s="193"/>
      <c r="N128" s="194"/>
      <c r="O128" s="175"/>
      <c r="P128" s="175"/>
    </row>
    <row r="129" spans="1:16" s="30" customFormat="1" ht="33" customHeight="1">
      <c r="A129" s="585"/>
      <c r="B129" s="599"/>
      <c r="C129" s="52" t="s">
        <v>0</v>
      </c>
      <c r="D129" s="45" t="s">
        <v>2</v>
      </c>
      <c r="E129" s="58">
        <v>100</v>
      </c>
      <c r="F129" s="122">
        <f>+'ACUMULADO A DICIEMBRE 2015'!V99</f>
        <v>100</v>
      </c>
      <c r="G129" s="100">
        <f>+'ACUMULADO A DICIEMBRE 2015'!U99</f>
        <v>113272036.28</v>
      </c>
      <c r="H129" s="100">
        <f>+'ACUMULADO A DICIEMBRE 2015'!W99</f>
        <v>110989774</v>
      </c>
      <c r="I129" s="191">
        <f t="shared" si="5"/>
        <v>2282262.280000001</v>
      </c>
      <c r="J129" s="185"/>
      <c r="K129" s="31"/>
      <c r="L129" s="229"/>
      <c r="M129" s="193"/>
      <c r="N129" s="194"/>
      <c r="O129" s="175"/>
      <c r="P129" s="175"/>
    </row>
    <row r="130" spans="1:16" s="30" customFormat="1" ht="75">
      <c r="A130" s="585"/>
      <c r="B130" s="599"/>
      <c r="C130" s="52" t="s">
        <v>420</v>
      </c>
      <c r="D130" s="45" t="s">
        <v>331</v>
      </c>
      <c r="E130" s="58">
        <v>1</v>
      </c>
      <c r="F130" s="122">
        <f>+'ACUMULADO A DICIEMBRE 2015'!V100</f>
        <v>1</v>
      </c>
      <c r="G130" s="100">
        <f>+'ACUMULADO A DICIEMBRE 2015'!U100</f>
        <v>954543037.2800001</v>
      </c>
      <c r="H130" s="100">
        <f>+'ACUMULADO A DICIEMBRE 2015'!W100</f>
        <v>930108907</v>
      </c>
      <c r="I130" s="191">
        <f t="shared" si="5"/>
        <v>24434130.28000009</v>
      </c>
      <c r="J130" s="185"/>
      <c r="K130" s="31"/>
      <c r="L130" s="229"/>
      <c r="M130" s="193"/>
      <c r="N130" s="194"/>
      <c r="O130" s="175"/>
      <c r="P130" s="175"/>
    </row>
    <row r="131" spans="1:16" s="30" customFormat="1" ht="18">
      <c r="A131" s="585"/>
      <c r="B131" s="587"/>
      <c r="C131" s="588" t="s">
        <v>480</v>
      </c>
      <c r="D131" s="588"/>
      <c r="E131" s="588"/>
      <c r="F131" s="588"/>
      <c r="G131" s="197">
        <f>SUM(G113:G130)</f>
        <v>3850353134.168</v>
      </c>
      <c r="H131" s="198"/>
      <c r="I131" s="589">
        <f>SUM(I113:I130)</f>
        <v>57654813.76800004</v>
      </c>
      <c r="J131" s="230"/>
      <c r="K131" s="31"/>
      <c r="L131" s="229"/>
      <c r="M131" s="193">
        <f>70091*2</f>
        <v>140182</v>
      </c>
      <c r="N131" s="194"/>
      <c r="O131" s="175"/>
      <c r="P131" s="175"/>
    </row>
    <row r="132" spans="1:16" s="30" customFormat="1" ht="18">
      <c r="A132" s="585"/>
      <c r="B132" s="587"/>
      <c r="C132" s="588" t="s">
        <v>481</v>
      </c>
      <c r="D132" s="588"/>
      <c r="E132" s="588"/>
      <c r="F132" s="588"/>
      <c r="G132" s="588"/>
      <c r="H132" s="197">
        <f>SUM(H113:H131)</f>
        <v>3792698320.4</v>
      </c>
      <c r="I132" s="589"/>
      <c r="J132" s="200">
        <v>29</v>
      </c>
      <c r="K132" s="31"/>
      <c r="L132" s="229"/>
      <c r="M132" s="193"/>
      <c r="N132" s="194"/>
      <c r="O132" s="175"/>
      <c r="P132" s="175"/>
    </row>
    <row r="133" spans="1:16" s="30" customFormat="1" ht="18">
      <c r="A133" s="585"/>
      <c r="B133" s="587"/>
      <c r="C133" s="588" t="s">
        <v>482</v>
      </c>
      <c r="D133" s="588"/>
      <c r="E133" s="588"/>
      <c r="F133" s="588"/>
      <c r="G133" s="588"/>
      <c r="H133" s="201">
        <f>+H132/G131</f>
        <v>0.9850260971503181</v>
      </c>
      <c r="I133" s="589"/>
      <c r="J133" s="185"/>
      <c r="K133" s="31"/>
      <c r="L133" s="202">
        <f>SUM(L113:L132)</f>
        <v>1938706</v>
      </c>
      <c r="M133" s="202">
        <f>SUM(M113:M132)</f>
        <v>483427</v>
      </c>
      <c r="N133" s="224">
        <f>SUM(N113:N132)</f>
        <v>412670</v>
      </c>
      <c r="O133" s="175"/>
      <c r="P133" s="175"/>
    </row>
    <row r="134" spans="1:16" s="30" customFormat="1" ht="21.75" customHeight="1">
      <c r="A134" s="585"/>
      <c r="B134" s="591" t="s">
        <v>453</v>
      </c>
      <c r="C134" s="592" t="s">
        <v>454</v>
      </c>
      <c r="D134" s="592" t="s">
        <v>129</v>
      </c>
      <c r="E134" s="592" t="s">
        <v>455</v>
      </c>
      <c r="F134" s="592"/>
      <c r="G134" s="593" t="s">
        <v>456</v>
      </c>
      <c r="H134" s="593"/>
      <c r="I134" s="594"/>
      <c r="J134" s="185"/>
      <c r="K134" s="31"/>
      <c r="L134" s="193"/>
      <c r="M134" s="193"/>
      <c r="N134" s="194"/>
      <c r="O134" s="175"/>
      <c r="P134" s="175"/>
    </row>
    <row r="135" spans="1:16" s="30" customFormat="1" ht="48" customHeight="1">
      <c r="A135" s="585"/>
      <c r="B135" s="591"/>
      <c r="C135" s="602"/>
      <c r="D135" s="592"/>
      <c r="E135" s="205" t="s">
        <v>457</v>
      </c>
      <c r="F135" s="205" t="s">
        <v>458</v>
      </c>
      <c r="G135" s="206" t="s">
        <v>459</v>
      </c>
      <c r="H135" s="203" t="s">
        <v>460</v>
      </c>
      <c r="I135" s="204" t="s">
        <v>461</v>
      </c>
      <c r="J135" s="185"/>
      <c r="K135" s="31"/>
      <c r="L135" s="193"/>
      <c r="M135" s="193"/>
      <c r="N135" s="194"/>
      <c r="O135" s="175"/>
      <c r="P135" s="175"/>
    </row>
    <row r="136" spans="1:18" s="30" customFormat="1" ht="75">
      <c r="A136" s="585"/>
      <c r="B136" s="599" t="s">
        <v>514</v>
      </c>
      <c r="C136" s="225" t="s">
        <v>4</v>
      </c>
      <c r="D136" s="45" t="s">
        <v>314</v>
      </c>
      <c r="E136" s="58">
        <v>100</v>
      </c>
      <c r="F136" s="111">
        <v>100</v>
      </c>
      <c r="G136" s="117">
        <f>+'ACUMULADO A DICIEMBRE 2015'!U103</f>
        <v>39234594</v>
      </c>
      <c r="H136" s="117">
        <f>+'ACUMULADO A DICIEMBRE 2015'!W103</f>
        <v>39065917.028</v>
      </c>
      <c r="I136" s="191">
        <f>+G136-H136</f>
        <v>168676.97200000286</v>
      </c>
      <c r="J136" s="185"/>
      <c r="K136" s="31"/>
      <c r="L136" s="193">
        <v>232514</v>
      </c>
      <c r="M136" s="193">
        <v>77615</v>
      </c>
      <c r="N136" s="194">
        <v>233394</v>
      </c>
      <c r="O136" s="175">
        <v>18676636</v>
      </c>
      <c r="P136" s="175">
        <v>282726</v>
      </c>
      <c r="Q136" s="30">
        <f>+O136/2</f>
        <v>9338318</v>
      </c>
      <c r="R136" s="30">
        <f>+P136/2</f>
        <v>141363</v>
      </c>
    </row>
    <row r="137" spans="1:16" s="30" customFormat="1" ht="30">
      <c r="A137" s="585"/>
      <c r="B137" s="599"/>
      <c r="C137" s="225" t="s">
        <v>515</v>
      </c>
      <c r="D137" s="45" t="s">
        <v>1</v>
      </c>
      <c r="E137" s="58">
        <v>50</v>
      </c>
      <c r="F137" s="111">
        <v>50</v>
      </c>
      <c r="G137" s="117">
        <f>+'ACUMULADO A DICIEMBRE 2015'!U104</f>
        <v>8032000</v>
      </c>
      <c r="H137" s="117">
        <f>'[8]EJECUCION FINANCIERA'!$I$15</f>
        <v>8032000</v>
      </c>
      <c r="I137" s="191">
        <f>+'ACUMULADO A DICIEMBRE 2015'!W104</f>
        <v>8032000</v>
      </c>
      <c r="J137" s="185"/>
      <c r="K137" s="31"/>
      <c r="L137" s="193"/>
      <c r="M137" s="193"/>
      <c r="N137" s="194"/>
      <c r="O137" s="175"/>
      <c r="P137" s="175"/>
    </row>
    <row r="138" spans="1:16" s="30" customFormat="1" ht="30.75" customHeight="1">
      <c r="A138" s="585"/>
      <c r="B138" s="599"/>
      <c r="C138" s="225" t="s">
        <v>516</v>
      </c>
      <c r="D138" s="45" t="s">
        <v>1</v>
      </c>
      <c r="E138" s="58">
        <v>100</v>
      </c>
      <c r="F138" s="111">
        <v>100</v>
      </c>
      <c r="G138" s="117">
        <f>+'ACUMULADO A DICIEMBRE 2015'!U105</f>
        <v>456975175.14</v>
      </c>
      <c r="H138" s="117">
        <f>+'ACUMULADO A DICIEMBRE 2015'!W105</f>
        <v>410142400</v>
      </c>
      <c r="I138" s="191">
        <f>+'ACUMULADO A DICIEMBRE 2015'!W105</f>
        <v>410142400</v>
      </c>
      <c r="J138" s="185"/>
      <c r="K138" s="31"/>
      <c r="L138" s="193"/>
      <c r="M138" s="193"/>
      <c r="N138" s="194"/>
      <c r="O138" s="175"/>
      <c r="P138" s="175"/>
    </row>
    <row r="139" spans="1:16" s="30" customFormat="1" ht="47.25" customHeight="1">
      <c r="A139" s="585"/>
      <c r="B139" s="599"/>
      <c r="C139" s="212" t="s">
        <v>517</v>
      </c>
      <c r="D139" s="45" t="s">
        <v>1</v>
      </c>
      <c r="E139" s="58">
        <v>100</v>
      </c>
      <c r="F139" s="111">
        <v>100</v>
      </c>
      <c r="G139" s="117">
        <f>+'ACUMULADO A DICIEMBRE 2015'!U106</f>
        <v>2142938</v>
      </c>
      <c r="H139" s="117">
        <f>+'ACUMULADO A DICIEMBRE 2015'!W106</f>
        <v>2038121</v>
      </c>
      <c r="I139" s="191">
        <f>+'ACUMULADO A DICIEMBRE 2015'!W106</f>
        <v>2038121</v>
      </c>
      <c r="J139" s="185"/>
      <c r="K139" s="31"/>
      <c r="L139" s="193"/>
      <c r="M139" s="193"/>
      <c r="N139" s="194"/>
      <c r="O139" s="175"/>
      <c r="P139" s="175"/>
    </row>
    <row r="140" spans="1:16" s="30" customFormat="1" ht="30">
      <c r="A140" s="585"/>
      <c r="B140" s="599"/>
      <c r="C140" s="225" t="s">
        <v>8</v>
      </c>
      <c r="D140" s="45" t="s">
        <v>1</v>
      </c>
      <c r="E140" s="58">
        <v>100</v>
      </c>
      <c r="F140" s="111">
        <v>100</v>
      </c>
      <c r="G140" s="117">
        <f>+'ACUMULADO A DICIEMBRE 2015'!U107</f>
        <v>71041435</v>
      </c>
      <c r="H140" s="117">
        <f>'[8]EJECUCION FINANCIERA'!$I$34</f>
        <v>71041435</v>
      </c>
      <c r="I140" s="191">
        <f>+'ACUMULADO A DICIEMBRE 2015'!W107</f>
        <v>71041435</v>
      </c>
      <c r="J140" s="185"/>
      <c r="K140" s="31"/>
      <c r="L140" s="193"/>
      <c r="M140" s="193"/>
      <c r="N140" s="194"/>
      <c r="O140" s="175"/>
      <c r="P140" s="175"/>
    </row>
    <row r="141" spans="1:16" s="30" customFormat="1" ht="30">
      <c r="A141" s="585"/>
      <c r="B141" s="599"/>
      <c r="C141" s="225" t="s">
        <v>9</v>
      </c>
      <c r="D141" s="45" t="s">
        <v>334</v>
      </c>
      <c r="E141" s="58">
        <v>1</v>
      </c>
      <c r="F141" s="111">
        <v>0.1</v>
      </c>
      <c r="G141" s="117">
        <f>+'ACUMULADO A DICIEMBRE 2015'!U108</f>
        <v>978336244</v>
      </c>
      <c r="H141" s="117">
        <f>+'ACUMULADO A DICIEMBRE 2015'!W108</f>
        <v>978336242</v>
      </c>
      <c r="I141" s="191">
        <f>+'ACUMULADO A DICIEMBRE 2015'!W108</f>
        <v>978336242</v>
      </c>
      <c r="J141" s="185"/>
      <c r="K141" s="31"/>
      <c r="L141" s="193"/>
      <c r="M141" s="193"/>
      <c r="N141" s="194"/>
      <c r="O141" s="175"/>
      <c r="P141" s="175"/>
    </row>
    <row r="142" spans="1:18" s="30" customFormat="1" ht="18">
      <c r="A142" s="585"/>
      <c r="B142" s="606"/>
      <c r="C142" s="588" t="s">
        <v>480</v>
      </c>
      <c r="D142" s="588"/>
      <c r="E142" s="588"/>
      <c r="F142" s="588"/>
      <c r="G142" s="197">
        <f>SUM(G136:G141)</f>
        <v>1555762386.1399999</v>
      </c>
      <c r="H142" s="198"/>
      <c r="I142" s="589">
        <f>+G142-H143</f>
        <v>47106271.11199999</v>
      </c>
      <c r="J142" s="222"/>
      <c r="K142" s="31"/>
      <c r="L142" s="193">
        <v>340670</v>
      </c>
      <c r="M142" s="193"/>
      <c r="N142" s="194"/>
      <c r="O142" s="175">
        <v>282726</v>
      </c>
      <c r="P142" s="175"/>
      <c r="Q142" s="30">
        <f>+O142/2</f>
        <v>141363</v>
      </c>
      <c r="R142" s="30">
        <f>+P142/2</f>
        <v>0</v>
      </c>
    </row>
    <row r="143" spans="1:18" s="30" customFormat="1" ht="18">
      <c r="A143" s="585"/>
      <c r="B143" s="606"/>
      <c r="C143" s="588" t="s">
        <v>481</v>
      </c>
      <c r="D143" s="588"/>
      <c r="E143" s="588"/>
      <c r="F143" s="588"/>
      <c r="G143" s="588"/>
      <c r="H143" s="197">
        <f>SUM(H136:H142)</f>
        <v>1508656115.0279999</v>
      </c>
      <c r="I143" s="589"/>
      <c r="J143" s="200">
        <v>31</v>
      </c>
      <c r="K143" s="31"/>
      <c r="L143" s="193">
        <v>425686</v>
      </c>
      <c r="M143" s="193"/>
      <c r="N143" s="194"/>
      <c r="O143" s="175">
        <v>141363</v>
      </c>
      <c r="P143" s="175"/>
      <c r="Q143" s="30">
        <f>+O143/2</f>
        <v>70681.5</v>
      </c>
      <c r="R143" s="30">
        <f>+P143/2</f>
        <v>0</v>
      </c>
    </row>
    <row r="144" spans="1:18" s="30" customFormat="1" ht="18">
      <c r="A144" s="586"/>
      <c r="B144" s="606"/>
      <c r="C144" s="588" t="s">
        <v>482</v>
      </c>
      <c r="D144" s="588"/>
      <c r="E144" s="588"/>
      <c r="F144" s="588"/>
      <c r="G144" s="588"/>
      <c r="H144" s="201">
        <f>+H143/G142</f>
        <v>0.9697214230581347</v>
      </c>
      <c r="I144" s="589"/>
      <c r="J144" s="185"/>
      <c r="K144" s="31"/>
      <c r="L144" s="202"/>
      <c r="M144" s="202">
        <f>SUM(L136:M143)</f>
        <v>1076485</v>
      </c>
      <c r="N144" s="202">
        <f>SUM(N136:N143)</f>
        <v>233394</v>
      </c>
      <c r="O144" s="202"/>
      <c r="P144" s="202">
        <f>SUM(O136:P143)</f>
        <v>19383451</v>
      </c>
      <c r="Q144" s="30">
        <f>+P144/2</f>
        <v>9691725.5</v>
      </c>
      <c r="R144" s="202">
        <f>SUM(Q136:R143)</f>
        <v>9691725.5</v>
      </c>
    </row>
    <row r="145" spans="1:16" s="30" customFormat="1" ht="19.5" customHeight="1">
      <c r="A145" s="610" t="s">
        <v>452</v>
      </c>
      <c r="B145" s="601" t="s">
        <v>453</v>
      </c>
      <c r="C145" s="592" t="s">
        <v>454</v>
      </c>
      <c r="D145" s="592" t="s">
        <v>129</v>
      </c>
      <c r="E145" s="592" t="s">
        <v>455</v>
      </c>
      <c r="F145" s="592"/>
      <c r="G145" s="593" t="s">
        <v>456</v>
      </c>
      <c r="H145" s="593"/>
      <c r="I145" s="594"/>
      <c r="J145" s="185"/>
      <c r="K145" s="31"/>
      <c r="L145" s="193"/>
      <c r="M145" s="193"/>
      <c r="N145" s="194"/>
      <c r="O145" s="175"/>
      <c r="P145" s="175"/>
    </row>
    <row r="146" spans="1:16" s="30" customFormat="1" ht="50.25" customHeight="1">
      <c r="A146" s="611"/>
      <c r="B146" s="612"/>
      <c r="C146" s="592"/>
      <c r="D146" s="592"/>
      <c r="E146" s="205" t="s">
        <v>457</v>
      </c>
      <c r="F146" s="205" t="s">
        <v>458</v>
      </c>
      <c r="G146" s="206" t="s">
        <v>459</v>
      </c>
      <c r="H146" s="203" t="s">
        <v>460</v>
      </c>
      <c r="I146" s="204" t="s">
        <v>461</v>
      </c>
      <c r="J146" s="185"/>
      <c r="K146" s="31"/>
      <c r="L146" s="193"/>
      <c r="M146" s="193"/>
      <c r="N146" s="194"/>
      <c r="O146" s="175"/>
      <c r="P146" s="175"/>
    </row>
    <row r="147" spans="1:16" s="30" customFormat="1" ht="22.5" customHeight="1">
      <c r="A147" s="613" t="s">
        <v>518</v>
      </c>
      <c r="B147" s="587" t="s">
        <v>519</v>
      </c>
      <c r="C147" s="52" t="s">
        <v>12</v>
      </c>
      <c r="D147" s="45" t="s">
        <v>335</v>
      </c>
      <c r="E147" s="58">
        <v>10</v>
      </c>
      <c r="F147" s="111">
        <f>+'ACUMULADO A DICIEMBRE 2015'!V113</f>
        <v>10</v>
      </c>
      <c r="G147" s="100">
        <f>+'ACUMULADO A DICIEMBRE 2015'!U113</f>
        <v>32118743</v>
      </c>
      <c r="H147" s="100">
        <f>+'ACUMULADO A DICIEMBRE 2015'!W113</f>
        <v>31937810</v>
      </c>
      <c r="I147" s="191">
        <f aca="true" t="shared" si="6" ref="I147:I152">+G147-H147</f>
        <v>180933</v>
      </c>
      <c r="J147" s="185"/>
      <c r="K147" s="31"/>
      <c r="L147" s="193"/>
      <c r="M147" s="193"/>
      <c r="N147" s="194"/>
      <c r="O147" s="175"/>
      <c r="P147" s="175"/>
    </row>
    <row r="148" spans="1:16" s="30" customFormat="1" ht="46.5" customHeight="1">
      <c r="A148" s="613"/>
      <c r="B148" s="587"/>
      <c r="C148" s="52" t="s">
        <v>13</v>
      </c>
      <c r="D148" s="45" t="s">
        <v>180</v>
      </c>
      <c r="E148" s="58">
        <v>200</v>
      </c>
      <c r="F148" s="111">
        <f>+'ACUMULADO A DICIEMBRE 2015'!V114</f>
        <v>200</v>
      </c>
      <c r="G148" s="100">
        <f>+'ACUMULADO A DICIEMBRE 2015'!U114</f>
        <v>5020000</v>
      </c>
      <c r="H148" s="100">
        <f>+'ACUMULADO A DICIEMBRE 2015'!W114</f>
        <v>5020000</v>
      </c>
      <c r="I148" s="191">
        <f>+G148-H148</f>
        <v>0</v>
      </c>
      <c r="J148" s="185"/>
      <c r="K148" s="31"/>
      <c r="L148" s="193"/>
      <c r="M148" s="193"/>
      <c r="N148" s="194"/>
      <c r="O148" s="175"/>
      <c r="P148" s="175"/>
    </row>
    <row r="149" spans="1:16" s="30" customFormat="1" ht="39.75" customHeight="1">
      <c r="A149" s="613"/>
      <c r="B149" s="587"/>
      <c r="C149" s="52" t="s">
        <v>14</v>
      </c>
      <c r="D149" s="45" t="s">
        <v>24</v>
      </c>
      <c r="E149" s="58">
        <v>50</v>
      </c>
      <c r="F149" s="111">
        <f>+'ACUMULADO A DICIEMBRE 2015'!V115</f>
        <v>50</v>
      </c>
      <c r="G149" s="100">
        <f>+'ACUMULADO A DICIEMBRE 2015'!U115</f>
        <v>29910029</v>
      </c>
      <c r="H149" s="100">
        <f>+'ACUMULADO A DICIEMBRE 2015'!W115</f>
        <v>29891788</v>
      </c>
      <c r="I149" s="191">
        <f>+G149-H149</f>
        <v>18241</v>
      </c>
      <c r="J149" s="185"/>
      <c r="K149" s="31"/>
      <c r="L149" s="193"/>
      <c r="M149" s="193"/>
      <c r="N149" s="194"/>
      <c r="O149" s="175"/>
      <c r="P149" s="175"/>
    </row>
    <row r="150" spans="1:16" s="30" customFormat="1" ht="48.75" customHeight="1">
      <c r="A150" s="613"/>
      <c r="B150" s="587"/>
      <c r="C150" s="52" t="s">
        <v>520</v>
      </c>
      <c r="D150" s="45" t="s">
        <v>336</v>
      </c>
      <c r="E150" s="58">
        <v>1</v>
      </c>
      <c r="F150" s="111">
        <f>+'ACUMULADO A DICIEMBRE 2015'!V116</f>
        <v>1</v>
      </c>
      <c r="G150" s="100">
        <f>+'ACUMULADO A DICIEMBRE 2015'!U116</f>
        <v>5020000</v>
      </c>
      <c r="H150" s="100">
        <f>+'ACUMULADO A DICIEMBRE 2015'!W116</f>
        <v>5020000</v>
      </c>
      <c r="I150" s="191">
        <f>+G150-H150</f>
        <v>0</v>
      </c>
      <c r="J150" s="185"/>
      <c r="K150" s="31"/>
      <c r="L150" s="193"/>
      <c r="M150" s="193"/>
      <c r="N150" s="194"/>
      <c r="O150" s="175"/>
      <c r="P150" s="175"/>
    </row>
    <row r="151" spans="1:16" s="30" customFormat="1" ht="37.5" customHeight="1">
      <c r="A151" s="613"/>
      <c r="B151" s="587"/>
      <c r="C151" s="51" t="s">
        <v>208</v>
      </c>
      <c r="D151" s="45" t="s">
        <v>337</v>
      </c>
      <c r="E151" s="58">
        <v>2</v>
      </c>
      <c r="F151" s="111">
        <f>+'ACUMULADO A DICIEMBRE 2015'!V117</f>
        <v>2</v>
      </c>
      <c r="G151" s="100">
        <f>+'ACUMULADO A DICIEMBRE 2015'!U117</f>
        <v>28783610.619999997</v>
      </c>
      <c r="H151" s="100">
        <f>+'ACUMULADO A DICIEMBRE 2015'!W117</f>
        <v>28602677</v>
      </c>
      <c r="I151" s="191">
        <f t="shared" si="6"/>
        <v>180933.61999999732</v>
      </c>
      <c r="J151" s="185"/>
      <c r="K151" s="31"/>
      <c r="L151" s="193"/>
      <c r="M151" s="193"/>
      <c r="N151" s="194"/>
      <c r="O151" s="175"/>
      <c r="P151" s="175"/>
    </row>
    <row r="152" spans="1:16" s="30" customFormat="1" ht="22.5" customHeight="1">
      <c r="A152" s="613"/>
      <c r="B152" s="587"/>
      <c r="C152" s="51" t="s">
        <v>521</v>
      </c>
      <c r="D152" s="45" t="s">
        <v>209</v>
      </c>
      <c r="E152" s="58">
        <v>1</v>
      </c>
      <c r="F152" s="111">
        <f>+'ACUMULADO A DICIEMBRE 2015'!V118</f>
        <v>1</v>
      </c>
      <c r="G152" s="100">
        <f>+'ACUMULADO A DICIEMBRE 2015'!U118</f>
        <v>15400883</v>
      </c>
      <c r="H152" s="100">
        <f>+'ACUMULADO A DICIEMBRE 2015'!W118</f>
        <v>15400883</v>
      </c>
      <c r="I152" s="191">
        <f t="shared" si="6"/>
        <v>0</v>
      </c>
      <c r="J152" s="185"/>
      <c r="K152" s="31"/>
      <c r="L152" s="193"/>
      <c r="M152" s="193"/>
      <c r="N152" s="194"/>
      <c r="O152" s="175"/>
      <c r="P152" s="175"/>
    </row>
    <row r="153" spans="1:16" s="30" customFormat="1" ht="31.5" customHeight="1">
      <c r="A153" s="613"/>
      <c r="B153" s="587"/>
      <c r="C153" s="51" t="s">
        <v>522</v>
      </c>
      <c r="D153" s="45" t="s">
        <v>25</v>
      </c>
      <c r="E153" s="58">
        <v>1</v>
      </c>
      <c r="F153" s="111">
        <f>+'ACUMULADO A DICIEMBRE 2015'!V119</f>
        <v>1</v>
      </c>
      <c r="G153" s="100">
        <f>+'ACUMULADO A DICIEMBRE 2015'!U119</f>
        <v>173997514.06</v>
      </c>
      <c r="H153" s="100">
        <f>+'ACUMULADO A DICIEMBRE 2015'!W119</f>
        <v>153914135</v>
      </c>
      <c r="I153" s="191">
        <f>+G153-H153</f>
        <v>20083379.060000002</v>
      </c>
      <c r="J153" s="185"/>
      <c r="K153" s="31"/>
      <c r="L153" s="193"/>
      <c r="M153" s="193"/>
      <c r="N153" s="194"/>
      <c r="O153" s="175"/>
      <c r="P153" s="175"/>
    </row>
    <row r="154" spans="1:16" s="30" customFormat="1" ht="31.5" customHeight="1">
      <c r="A154" s="613"/>
      <c r="B154" s="587"/>
      <c r="C154" s="51" t="s">
        <v>523</v>
      </c>
      <c r="D154" s="45" t="s">
        <v>26</v>
      </c>
      <c r="E154" s="58">
        <v>1</v>
      </c>
      <c r="F154" s="111">
        <f>+'ACUMULADO A DICIEMBRE 2015'!V120</f>
        <v>1</v>
      </c>
      <c r="G154" s="100">
        <f>+'ACUMULADO A DICIEMBRE 2015'!U120</f>
        <v>45488321</v>
      </c>
      <c r="H154" s="100">
        <f>+'ACUMULADO A DICIEMBRE 2015'!W120</f>
        <v>43827509</v>
      </c>
      <c r="I154" s="191">
        <f>+G154-H154</f>
        <v>1660812</v>
      </c>
      <c r="J154" s="185"/>
      <c r="K154" s="31"/>
      <c r="L154" s="193"/>
      <c r="M154" s="193"/>
      <c r="N154" s="194"/>
      <c r="O154" s="175"/>
      <c r="P154" s="175"/>
    </row>
    <row r="155" spans="1:16" s="30" customFormat="1" ht="33" customHeight="1">
      <c r="A155" s="613"/>
      <c r="B155" s="606"/>
      <c r="C155" s="51" t="s">
        <v>524</v>
      </c>
      <c r="D155" s="45" t="s">
        <v>338</v>
      </c>
      <c r="E155" s="58">
        <v>1</v>
      </c>
      <c r="F155" s="111">
        <f>+'ACUMULADO A DICIEMBRE 2015'!V121</f>
        <v>1</v>
      </c>
      <c r="G155" s="100">
        <f>+'ACUMULADO A DICIEMBRE 2015'!U121</f>
        <v>35441484.132</v>
      </c>
      <c r="H155" s="100">
        <f>+'ACUMULADO A DICIEMBRE 2015'!W121</f>
        <v>35163845</v>
      </c>
      <c r="I155" s="191">
        <f>+G155-H155</f>
        <v>277639.1319999993</v>
      </c>
      <c r="J155" s="185"/>
      <c r="K155" s="31"/>
      <c r="L155" s="193"/>
      <c r="M155" s="193"/>
      <c r="N155" s="194"/>
      <c r="O155" s="175"/>
      <c r="P155" s="175"/>
    </row>
    <row r="156" spans="1:16" s="30" customFormat="1" ht="40.5" customHeight="1">
      <c r="A156" s="613"/>
      <c r="B156" s="606"/>
      <c r="C156" s="52" t="s">
        <v>206</v>
      </c>
      <c r="D156" s="45" t="s">
        <v>308</v>
      </c>
      <c r="E156" s="58">
        <v>100</v>
      </c>
      <c r="F156" s="58">
        <f>+H156*100/G156</f>
        <v>98.30053263214671</v>
      </c>
      <c r="G156" s="100">
        <f>+'ACUMULADO A DICIEMBRE 2015'!U122</f>
        <v>8899200</v>
      </c>
      <c r="H156" s="100">
        <f>+'ACUMULADO A DICIEMBRE 2015'!W122</f>
        <v>8747961</v>
      </c>
      <c r="I156" s="191">
        <f>+G156-H156</f>
        <v>151239</v>
      </c>
      <c r="J156" s="185"/>
      <c r="K156" s="31"/>
      <c r="L156" s="193"/>
      <c r="M156" s="193"/>
      <c r="N156" s="194"/>
      <c r="O156" s="175"/>
      <c r="P156" s="175"/>
    </row>
    <row r="157" spans="1:16" s="30" customFormat="1" ht="18">
      <c r="A157" s="613"/>
      <c r="B157" s="606"/>
      <c r="C157" s="588" t="s">
        <v>480</v>
      </c>
      <c r="D157" s="588"/>
      <c r="E157" s="588"/>
      <c r="F157" s="588"/>
      <c r="G157" s="197">
        <f>SUM(G147:G156)</f>
        <v>380079784.81200004</v>
      </c>
      <c r="H157" s="198"/>
      <c r="I157" s="589">
        <f>SUM(I147:I156)</f>
        <v>22553176.812</v>
      </c>
      <c r="J157" s="231"/>
      <c r="K157" s="31"/>
      <c r="L157" s="193"/>
      <c r="M157" s="193"/>
      <c r="N157" s="194"/>
      <c r="O157" s="175"/>
      <c r="P157" s="175"/>
    </row>
    <row r="158" spans="1:16" s="30" customFormat="1" ht="24.75" customHeight="1">
      <c r="A158" s="613"/>
      <c r="B158" s="606"/>
      <c r="C158" s="588" t="s">
        <v>481</v>
      </c>
      <c r="D158" s="588"/>
      <c r="E158" s="588"/>
      <c r="F158" s="588"/>
      <c r="G158" s="588"/>
      <c r="H158" s="197">
        <f>SUM(H147:H157)</f>
        <v>357526608</v>
      </c>
      <c r="I158" s="589"/>
      <c r="J158" s="232">
        <v>31</v>
      </c>
      <c r="K158" s="31"/>
      <c r="L158" s="193"/>
      <c r="M158" s="193"/>
      <c r="N158" s="194"/>
      <c r="O158" s="175"/>
      <c r="P158" s="175"/>
    </row>
    <row r="159" spans="1:16" s="30" customFormat="1" ht="18">
      <c r="A159" s="613"/>
      <c r="B159" s="606"/>
      <c r="C159" s="588" t="s">
        <v>482</v>
      </c>
      <c r="D159" s="588"/>
      <c r="E159" s="588"/>
      <c r="F159" s="588"/>
      <c r="G159" s="588"/>
      <c r="H159" s="215">
        <f>+H158/G157</f>
        <v>0.9406619933150204</v>
      </c>
      <c r="I159" s="589"/>
      <c r="J159" s="185"/>
      <c r="K159" s="31"/>
      <c r="L159" s="193"/>
      <c r="M159" s="193"/>
      <c r="N159" s="194"/>
      <c r="O159" s="175"/>
      <c r="P159" s="175"/>
    </row>
    <row r="160" spans="1:16" s="30" customFormat="1" ht="26.25" customHeight="1">
      <c r="A160" s="603" t="s">
        <v>452</v>
      </c>
      <c r="B160" s="591" t="s">
        <v>453</v>
      </c>
      <c r="C160" s="592" t="s">
        <v>454</v>
      </c>
      <c r="D160" s="592" t="s">
        <v>129</v>
      </c>
      <c r="E160" s="592" t="s">
        <v>455</v>
      </c>
      <c r="F160" s="592"/>
      <c r="G160" s="593" t="s">
        <v>456</v>
      </c>
      <c r="H160" s="593"/>
      <c r="I160" s="594"/>
      <c r="J160" s="185"/>
      <c r="K160" s="31"/>
      <c r="L160" s="193"/>
      <c r="M160" s="193"/>
      <c r="N160" s="194"/>
      <c r="O160" s="175"/>
      <c r="P160" s="175"/>
    </row>
    <row r="161" spans="1:16" s="30" customFormat="1" ht="47.25" customHeight="1">
      <c r="A161" s="603"/>
      <c r="B161" s="591"/>
      <c r="C161" s="592"/>
      <c r="D161" s="592"/>
      <c r="E161" s="205" t="s">
        <v>457</v>
      </c>
      <c r="F161" s="205" t="s">
        <v>458</v>
      </c>
      <c r="G161" s="206" t="s">
        <v>459</v>
      </c>
      <c r="H161" s="203" t="s">
        <v>460</v>
      </c>
      <c r="I161" s="204" t="s">
        <v>461</v>
      </c>
      <c r="J161" s="185"/>
      <c r="K161" s="31"/>
      <c r="L161" s="193"/>
      <c r="M161" s="193"/>
      <c r="N161" s="194"/>
      <c r="O161" s="175"/>
      <c r="P161" s="175"/>
    </row>
    <row r="162" spans="1:16" s="30" customFormat="1" ht="38.25" customHeight="1">
      <c r="A162" s="584" t="s">
        <v>525</v>
      </c>
      <c r="B162" s="587" t="s">
        <v>526</v>
      </c>
      <c r="C162" s="233" t="s">
        <v>29</v>
      </c>
      <c r="D162" s="210" t="s">
        <v>339</v>
      </c>
      <c r="E162" s="58">
        <v>1</v>
      </c>
      <c r="F162" s="111">
        <v>1</v>
      </c>
      <c r="G162" s="100">
        <f>+'ACUMULADO A DICIEMBRE 2015'!U125</f>
        <v>0</v>
      </c>
      <c r="H162" s="124">
        <f>+'ACUMULADO A DICIEMBRE 2015'!W125</f>
        <v>0</v>
      </c>
      <c r="I162" s="191">
        <v>0</v>
      </c>
      <c r="J162" s="185"/>
      <c r="K162" s="31"/>
      <c r="L162" s="193">
        <v>70091</v>
      </c>
      <c r="M162" s="193"/>
      <c r="N162" s="194">
        <v>413662</v>
      </c>
      <c r="O162" s="175"/>
      <c r="P162" s="175"/>
    </row>
    <row r="163" spans="1:16" s="30" customFormat="1" ht="43.5" customHeight="1">
      <c r="A163" s="585"/>
      <c r="B163" s="587"/>
      <c r="C163" s="233" t="s">
        <v>30</v>
      </c>
      <c r="D163" s="210" t="s">
        <v>340</v>
      </c>
      <c r="E163" s="58">
        <v>1</v>
      </c>
      <c r="F163" s="111">
        <v>3</v>
      </c>
      <c r="G163" s="100">
        <f>+'ACUMULADO A DICIEMBRE 2015'!U126</f>
        <v>0</v>
      </c>
      <c r="H163" s="124">
        <f>+'ACUMULADO A DICIEMBRE 2015'!W126</f>
        <v>0</v>
      </c>
      <c r="I163" s="191">
        <v>0</v>
      </c>
      <c r="J163" s="185"/>
      <c r="K163" s="31"/>
      <c r="L163" s="193"/>
      <c r="M163" s="193"/>
      <c r="N163" s="194"/>
      <c r="O163" s="175"/>
      <c r="P163" s="175"/>
    </row>
    <row r="164" spans="1:16" s="30" customFormat="1" ht="40.5" customHeight="1">
      <c r="A164" s="585"/>
      <c r="B164" s="587"/>
      <c r="C164" s="233" t="s">
        <v>31</v>
      </c>
      <c r="D164" s="210" t="s">
        <v>35</v>
      </c>
      <c r="E164" s="58">
        <v>1</v>
      </c>
      <c r="F164" s="111">
        <v>2</v>
      </c>
      <c r="G164" s="100">
        <f>+'ACUMULADO A DICIEMBRE 2015'!U127</f>
        <v>0</v>
      </c>
      <c r="H164" s="124">
        <f>+'ACUMULADO A DICIEMBRE 2015'!W127</f>
        <v>0</v>
      </c>
      <c r="I164" s="191">
        <f>+G164-H164</f>
        <v>0</v>
      </c>
      <c r="J164" s="185"/>
      <c r="K164" s="31"/>
      <c r="L164" s="193"/>
      <c r="M164" s="193"/>
      <c r="N164" s="194"/>
      <c r="O164" s="175"/>
      <c r="P164" s="175"/>
    </row>
    <row r="165" spans="1:16" s="30" customFormat="1" ht="45" customHeight="1">
      <c r="A165" s="585"/>
      <c r="B165" s="587"/>
      <c r="C165" s="233" t="s">
        <v>527</v>
      </c>
      <c r="D165" s="210" t="s">
        <v>341</v>
      </c>
      <c r="E165" s="58">
        <v>1</v>
      </c>
      <c r="F165" s="111">
        <v>1</v>
      </c>
      <c r="G165" s="100">
        <f>+'ACUMULADO A DICIEMBRE 2015'!U128</f>
        <v>591415429.8552</v>
      </c>
      <c r="H165" s="124">
        <f>+'ACUMULADO A DICIEMBRE 2015'!W128</f>
        <v>547070270</v>
      </c>
      <c r="I165" s="191">
        <f>+G165-H165</f>
        <v>44345159.85520005</v>
      </c>
      <c r="J165" s="185"/>
      <c r="K165" s="31"/>
      <c r="L165" s="193"/>
      <c r="M165" s="193"/>
      <c r="N165" s="194"/>
      <c r="O165" s="175"/>
      <c r="P165" s="175"/>
    </row>
    <row r="166" spans="1:16" s="30" customFormat="1" ht="54.75" customHeight="1">
      <c r="A166" s="585"/>
      <c r="B166" s="587"/>
      <c r="C166" s="233" t="s">
        <v>528</v>
      </c>
      <c r="D166" s="210" t="s">
        <v>342</v>
      </c>
      <c r="E166" s="58">
        <v>1</v>
      </c>
      <c r="F166" s="111">
        <v>1</v>
      </c>
      <c r="G166" s="100">
        <f>+'ACUMULADO A DICIEMBRE 2015'!U129</f>
        <v>0</v>
      </c>
      <c r="H166" s="124">
        <f>+'ACUMULADO A DICIEMBRE 2015'!W129</f>
        <v>0</v>
      </c>
      <c r="I166" s="191">
        <f>+G166-H166</f>
        <v>0</v>
      </c>
      <c r="J166" s="185"/>
      <c r="K166" s="31"/>
      <c r="L166" s="193"/>
      <c r="M166" s="193"/>
      <c r="N166" s="194"/>
      <c r="O166" s="175"/>
      <c r="P166" s="175"/>
    </row>
    <row r="167" spans="1:16" s="30" customFormat="1" ht="35.25" customHeight="1">
      <c r="A167" s="585"/>
      <c r="B167" s="587"/>
      <c r="C167" s="233" t="s">
        <v>529</v>
      </c>
      <c r="D167" s="45" t="s">
        <v>343</v>
      </c>
      <c r="E167" s="58">
        <v>1</v>
      </c>
      <c r="F167" s="111">
        <v>1</v>
      </c>
      <c r="G167" s="100">
        <f>+'ACUMULADO A DICIEMBRE 2015'!U130-1</f>
        <v>29270716</v>
      </c>
      <c r="H167" s="124">
        <f>+'ACUMULADO A DICIEMBRE 2015'!W130</f>
        <v>20837116</v>
      </c>
      <c r="I167" s="191">
        <f>+G167-H167</f>
        <v>8433600</v>
      </c>
      <c r="J167" s="185"/>
      <c r="K167" s="31"/>
      <c r="L167" s="193"/>
      <c r="M167" s="193"/>
      <c r="N167" s="194"/>
      <c r="O167" s="175"/>
      <c r="P167" s="175"/>
    </row>
    <row r="168" spans="1:16" s="30" customFormat="1" ht="31.5" customHeight="1">
      <c r="A168" s="585"/>
      <c r="B168" s="587"/>
      <c r="C168" s="52" t="s">
        <v>206</v>
      </c>
      <c r="D168" s="45" t="s">
        <v>308</v>
      </c>
      <c r="E168" s="58">
        <v>100</v>
      </c>
      <c r="F168" s="264">
        <f>+H168*100/G168</f>
        <v>97.03829681274901</v>
      </c>
      <c r="G168" s="100">
        <f>+'ACUMULADO A DICIEMBRE 2015'!U131</f>
        <v>2008000</v>
      </c>
      <c r="H168" s="124">
        <f>+'ACUMULADO A DICIEMBRE 2015'!W131</f>
        <v>1948529</v>
      </c>
      <c r="I168" s="191">
        <f>+G168-H168</f>
        <v>59471</v>
      </c>
      <c r="J168" s="185"/>
      <c r="K168" s="31"/>
      <c r="L168" s="193"/>
      <c r="M168" s="193"/>
      <c r="N168" s="194"/>
      <c r="O168" s="175"/>
      <c r="P168" s="175"/>
    </row>
    <row r="169" spans="1:16" s="30" customFormat="1" ht="18">
      <c r="A169" s="585"/>
      <c r="B169" s="606"/>
      <c r="C169" s="588" t="s">
        <v>480</v>
      </c>
      <c r="D169" s="588"/>
      <c r="E169" s="588"/>
      <c r="F169" s="614"/>
      <c r="G169" s="197">
        <f>SUM(G162:G168)+1</f>
        <v>622694146.8552</v>
      </c>
      <c r="H169" s="198"/>
      <c r="I169" s="589">
        <f>+G169-H170</f>
        <v>52838231.85520005</v>
      </c>
      <c r="J169" s="234"/>
      <c r="K169" s="31"/>
      <c r="L169" s="193"/>
      <c r="M169" s="193"/>
      <c r="N169" s="194"/>
      <c r="O169" s="175"/>
      <c r="P169" s="175"/>
    </row>
    <row r="170" spans="1:16" s="30" customFormat="1" ht="18">
      <c r="A170" s="585"/>
      <c r="B170" s="606"/>
      <c r="C170" s="588" t="s">
        <v>481</v>
      </c>
      <c r="D170" s="588"/>
      <c r="E170" s="588"/>
      <c r="F170" s="588"/>
      <c r="G170" s="588"/>
      <c r="H170" s="197">
        <f>SUM(H162:H169)</f>
        <v>569855915</v>
      </c>
      <c r="I170" s="589"/>
      <c r="J170" s="232">
        <v>21</v>
      </c>
      <c r="K170" s="31"/>
      <c r="L170" s="193"/>
      <c r="M170" s="193"/>
      <c r="N170" s="194"/>
      <c r="O170" s="175"/>
      <c r="P170" s="175"/>
    </row>
    <row r="171" spans="1:16" s="235" customFormat="1" ht="19.5" customHeight="1">
      <c r="A171" s="585"/>
      <c r="B171" s="606"/>
      <c r="C171" s="588" t="s">
        <v>482</v>
      </c>
      <c r="D171" s="588"/>
      <c r="E171" s="588"/>
      <c r="F171" s="588"/>
      <c r="G171" s="588"/>
      <c r="H171" s="201">
        <f>+H170/G169</f>
        <v>0.9151457708057004</v>
      </c>
      <c r="I171" s="589"/>
      <c r="J171" s="200">
        <f>SUM(J22:J170)/7</f>
        <v>29</v>
      </c>
      <c r="K171" s="199"/>
      <c r="L171" s="202">
        <f>SUM(L162:L170)</f>
        <v>70091</v>
      </c>
      <c r="M171" s="202"/>
      <c r="N171" s="202">
        <f>SUM(N162:N170)</f>
        <v>413662</v>
      </c>
      <c r="O171" s="39"/>
      <c r="P171" s="39"/>
    </row>
    <row r="172" spans="1:16" s="235" customFormat="1" ht="37.5" customHeight="1">
      <c r="A172" s="585"/>
      <c r="B172" s="591" t="s">
        <v>453</v>
      </c>
      <c r="C172" s="592" t="s">
        <v>454</v>
      </c>
      <c r="D172" s="592" t="s">
        <v>129</v>
      </c>
      <c r="E172" s="592" t="s">
        <v>455</v>
      </c>
      <c r="F172" s="592"/>
      <c r="G172" s="593" t="s">
        <v>456</v>
      </c>
      <c r="H172" s="593"/>
      <c r="I172" s="594"/>
      <c r="J172" s="200"/>
      <c r="K172" s="199"/>
      <c r="L172" s="202"/>
      <c r="M172" s="202"/>
      <c r="N172" s="202"/>
      <c r="O172" s="39"/>
      <c r="P172" s="39"/>
    </row>
    <row r="173" spans="1:16" s="235" customFormat="1" ht="46.5" customHeight="1">
      <c r="A173" s="585"/>
      <c r="B173" s="591"/>
      <c r="C173" s="592"/>
      <c r="D173" s="592"/>
      <c r="E173" s="205" t="s">
        <v>457</v>
      </c>
      <c r="F173" s="205" t="s">
        <v>458</v>
      </c>
      <c r="G173" s="206" t="s">
        <v>459</v>
      </c>
      <c r="H173" s="203" t="s">
        <v>460</v>
      </c>
      <c r="I173" s="204" t="s">
        <v>461</v>
      </c>
      <c r="J173" s="200"/>
      <c r="K173" s="199"/>
      <c r="L173" s="202"/>
      <c r="M173" s="202"/>
      <c r="N173" s="202"/>
      <c r="O173" s="39"/>
      <c r="P173" s="39"/>
    </row>
    <row r="174" spans="1:16" s="235" customFormat="1" ht="36.75" customHeight="1">
      <c r="A174" s="585"/>
      <c r="B174" s="600" t="s">
        <v>530</v>
      </c>
      <c r="C174" s="233" t="s">
        <v>37</v>
      </c>
      <c r="D174" s="45" t="s">
        <v>344</v>
      </c>
      <c r="E174" s="60">
        <v>1</v>
      </c>
      <c r="F174" s="111">
        <v>2</v>
      </c>
      <c r="G174" s="100">
        <f>+'ACUMULADO A DICIEMBRE 2015'!U133</f>
        <v>4016000</v>
      </c>
      <c r="H174" s="124">
        <f>+'ACUMULADO A DICIEMBRE 2015'!W133</f>
        <v>4016000</v>
      </c>
      <c r="I174" s="191">
        <f>+G174-H174</f>
        <v>0</v>
      </c>
      <c r="J174" s="200"/>
      <c r="K174" s="199"/>
      <c r="L174" s="202"/>
      <c r="M174" s="202"/>
      <c r="N174" s="202"/>
      <c r="O174" s="39"/>
      <c r="P174" s="39"/>
    </row>
    <row r="175" spans="1:16" s="235" customFormat="1" ht="66" customHeight="1">
      <c r="A175" s="585"/>
      <c r="B175" s="623"/>
      <c r="C175" s="236" t="s">
        <v>153</v>
      </c>
      <c r="D175" s="45" t="s">
        <v>1</v>
      </c>
      <c r="E175" s="60">
        <v>80</v>
      </c>
      <c r="F175" s="111">
        <v>80</v>
      </c>
      <c r="G175" s="100">
        <f>+'ACUMULADO A DICIEMBRE 2015'!U134</f>
        <v>0</v>
      </c>
      <c r="H175" s="124">
        <f>+'ACUMULADO A DICIEMBRE 2015'!W134</f>
        <v>0</v>
      </c>
      <c r="I175" s="191">
        <f>+G175-H175</f>
        <v>0</v>
      </c>
      <c r="J175" s="200"/>
      <c r="K175" s="199"/>
      <c r="L175" s="202"/>
      <c r="M175" s="202"/>
      <c r="N175" s="202"/>
      <c r="O175" s="39"/>
      <c r="P175" s="39"/>
    </row>
    <row r="176" spans="1:16" s="235" customFormat="1" ht="40.5" customHeight="1">
      <c r="A176" s="585"/>
      <c r="B176" s="623"/>
      <c r="C176" s="233" t="s">
        <v>531</v>
      </c>
      <c r="D176" s="45" t="s">
        <v>343</v>
      </c>
      <c r="E176" s="60">
        <v>1</v>
      </c>
      <c r="F176" s="111">
        <v>1</v>
      </c>
      <c r="G176" s="100">
        <f>+'ACUMULADO A DICIEMBRE 2015'!U135</f>
        <v>3152162586.204</v>
      </c>
      <c r="H176" s="124">
        <f>+'ACUMULADO A DICIEMBRE 2015'!W135</f>
        <v>3150215258</v>
      </c>
      <c r="I176" s="191">
        <f>+G176-H176</f>
        <v>1947328.2039999962</v>
      </c>
      <c r="J176" s="200"/>
      <c r="K176" s="199"/>
      <c r="L176" s="237"/>
      <c r="M176" s="202"/>
      <c r="N176" s="202"/>
      <c r="O176" s="39"/>
      <c r="P176" s="39"/>
    </row>
    <row r="177" spans="1:16" s="235" customFormat="1" ht="39.75" customHeight="1">
      <c r="A177" s="585"/>
      <c r="B177" s="623"/>
      <c r="C177" s="236" t="s">
        <v>532</v>
      </c>
      <c r="D177" s="45" t="s">
        <v>343</v>
      </c>
      <c r="E177" s="60">
        <v>2</v>
      </c>
      <c r="F177" s="111">
        <v>2</v>
      </c>
      <c r="G177" s="100">
        <f>+'ACUMULADO A DICIEMBRE 2015'!U136</f>
        <v>709346375</v>
      </c>
      <c r="H177" s="124">
        <f>+'ACUMULADO A DICIEMBRE 2015'!W136</f>
        <v>22662031</v>
      </c>
      <c r="I177" s="191">
        <f>+G177-H177</f>
        <v>686684344</v>
      </c>
      <c r="J177" s="200"/>
      <c r="K177" s="199"/>
      <c r="L177" s="237"/>
      <c r="M177" s="202"/>
      <c r="N177" s="202"/>
      <c r="O177" s="39"/>
      <c r="P177" s="39"/>
    </row>
    <row r="178" spans="1:16" s="235" customFormat="1" ht="30.75" customHeight="1">
      <c r="A178" s="585"/>
      <c r="B178" s="623"/>
      <c r="C178" s="52" t="s">
        <v>206</v>
      </c>
      <c r="D178" s="45" t="s">
        <v>308</v>
      </c>
      <c r="E178" s="58">
        <v>100</v>
      </c>
      <c r="F178" s="111">
        <f>+H178*100/G178</f>
        <v>98.38452553422673</v>
      </c>
      <c r="G178" s="100">
        <f>+'ACUMULADO A DICIEMBRE 2015'!U137</f>
        <v>11044000</v>
      </c>
      <c r="H178" s="124">
        <f>+'ACUMULADO A DICIEMBRE 2015'!W137</f>
        <v>10865587</v>
      </c>
      <c r="I178" s="191">
        <f>+G178-H178</f>
        <v>178413</v>
      </c>
      <c r="J178" s="200"/>
      <c r="K178" s="199"/>
      <c r="L178" s="237"/>
      <c r="M178" s="202"/>
      <c r="N178" s="202"/>
      <c r="O178" s="39"/>
      <c r="P178" s="39"/>
    </row>
    <row r="179" spans="1:17" s="235" customFormat="1" ht="18">
      <c r="A179" s="585"/>
      <c r="B179" s="623"/>
      <c r="C179" s="625" t="s">
        <v>480</v>
      </c>
      <c r="D179" s="625"/>
      <c r="E179" s="625"/>
      <c r="F179" s="625"/>
      <c r="G179" s="197">
        <f>SUM(G174:G178)</f>
        <v>3876568961.204</v>
      </c>
      <c r="H179" s="207"/>
      <c r="I179" s="589">
        <f>+G179-H180</f>
        <v>688810085.204</v>
      </c>
      <c r="J179" s="238"/>
      <c r="K179" s="200"/>
      <c r="L179" s="199"/>
      <c r="M179" s="202"/>
      <c r="N179" s="202"/>
      <c r="O179" s="202"/>
      <c r="P179" s="39"/>
      <c r="Q179" s="39"/>
    </row>
    <row r="180" spans="1:17" s="235" customFormat="1" ht="18">
      <c r="A180" s="585"/>
      <c r="B180" s="623"/>
      <c r="C180" s="626" t="s">
        <v>481</v>
      </c>
      <c r="D180" s="626"/>
      <c r="E180" s="626"/>
      <c r="F180" s="626"/>
      <c r="G180" s="626"/>
      <c r="H180" s="197">
        <f>SUM(H174:H179)</f>
        <v>3187758876</v>
      </c>
      <c r="I180" s="589"/>
      <c r="J180" s="238"/>
      <c r="K180" s="200"/>
      <c r="L180" s="199"/>
      <c r="M180" s="202"/>
      <c r="N180" s="202"/>
      <c r="O180" s="202"/>
      <c r="P180" s="39"/>
      <c r="Q180" s="39"/>
    </row>
    <row r="181" spans="1:17" s="235" customFormat="1" ht="18">
      <c r="A181" s="586"/>
      <c r="B181" s="624"/>
      <c r="C181" s="626" t="s">
        <v>482</v>
      </c>
      <c r="D181" s="626"/>
      <c r="E181" s="626"/>
      <c r="F181" s="626"/>
      <c r="G181" s="626"/>
      <c r="H181" s="201">
        <f>+H180/G179</f>
        <v>0.822314502309262</v>
      </c>
      <c r="I181" s="589"/>
      <c r="J181" s="238"/>
      <c r="K181" s="200"/>
      <c r="L181" s="199"/>
      <c r="M181" s="202"/>
      <c r="N181" s="202"/>
      <c r="O181" s="202"/>
      <c r="P181" s="39"/>
      <c r="Q181" s="39"/>
    </row>
    <row r="182" spans="1:17" ht="24" customHeight="1">
      <c r="A182" s="615" t="s">
        <v>533</v>
      </c>
      <c r="B182" s="616"/>
      <c r="C182" s="616"/>
      <c r="D182" s="616"/>
      <c r="E182" s="616"/>
      <c r="F182" s="616"/>
      <c r="G182" s="616"/>
      <c r="H182" s="197">
        <f>+G21+G30+G42+G50+G63+G77+G87+G97+G108+G131+G142+G157+G169+G179</f>
        <v>26845410016.9672</v>
      </c>
      <c r="I182" s="589">
        <f>+H182-H183</f>
        <v>1379116609.5391998</v>
      </c>
      <c r="K182" s="173"/>
      <c r="Q182" s="174"/>
    </row>
    <row r="183" spans="1:17" ht="24" customHeight="1" thickBot="1">
      <c r="A183" s="618" t="s">
        <v>534</v>
      </c>
      <c r="B183" s="619"/>
      <c r="C183" s="619"/>
      <c r="D183" s="619"/>
      <c r="E183" s="619"/>
      <c r="F183" s="619"/>
      <c r="G183" s="619"/>
      <c r="H183" s="197">
        <f>+H22+H31+H43+H51+H64+H78+H88+H98+H109+H132+H143+H158+H170+H180</f>
        <v>25466293407.428</v>
      </c>
      <c r="I183" s="589"/>
      <c r="K183" s="173"/>
      <c r="Q183" s="174"/>
    </row>
    <row r="184" spans="1:17" ht="24" customHeight="1" thickBot="1">
      <c r="A184" s="620" t="s">
        <v>535</v>
      </c>
      <c r="B184" s="621"/>
      <c r="C184" s="621"/>
      <c r="D184" s="621"/>
      <c r="E184" s="621"/>
      <c r="F184" s="621"/>
      <c r="G184" s="622"/>
      <c r="H184" s="364">
        <f>+H183/H182</f>
        <v>0.9486274708165175</v>
      </c>
      <c r="I184" s="617"/>
      <c r="K184" s="173"/>
      <c r="Q184" s="174"/>
    </row>
    <row r="185" spans="1:9" ht="15">
      <c r="A185" s="418"/>
      <c r="B185" s="419"/>
      <c r="C185" s="419"/>
      <c r="D185" s="419"/>
      <c r="E185" s="420"/>
      <c r="F185" s="420"/>
      <c r="G185" s="421"/>
      <c r="H185" s="422"/>
      <c r="I185" s="423"/>
    </row>
    <row r="186" spans="1:9" ht="15.75" thickBot="1">
      <c r="A186" s="424"/>
      <c r="B186" s="425"/>
      <c r="C186" s="425"/>
      <c r="D186" s="425"/>
      <c r="E186" s="426"/>
      <c r="F186" s="426"/>
      <c r="G186" s="427"/>
      <c r="H186" s="428"/>
      <c r="I186" s="429"/>
    </row>
    <row r="187" ht="15">
      <c r="B187" s="176"/>
    </row>
    <row r="188" ht="15">
      <c r="B188" s="176"/>
    </row>
    <row r="189" ht="15">
      <c r="B189" s="176"/>
    </row>
    <row r="190" ht="15">
      <c r="B190" s="176"/>
    </row>
    <row r="191" ht="15">
      <c r="B191" s="176"/>
    </row>
    <row r="192" ht="15">
      <c r="B192" s="176"/>
    </row>
    <row r="193" spans="2:3" ht="18">
      <c r="B193" s="176"/>
      <c r="C193" s="242"/>
    </row>
    <row r="194" ht="15">
      <c r="B194" s="176"/>
    </row>
    <row r="195" ht="15">
      <c r="B195" s="176"/>
    </row>
    <row r="196" ht="15">
      <c r="B196" s="176"/>
    </row>
    <row r="197" ht="15">
      <c r="B197" s="176"/>
    </row>
    <row r="198" spans="2:3" ht="15">
      <c r="B198" s="176"/>
      <c r="C198" s="243"/>
    </row>
    <row r="199" spans="2:3" ht="15">
      <c r="B199" s="176"/>
      <c r="C199"/>
    </row>
    <row r="200" spans="2:3" ht="15">
      <c r="B200" s="176"/>
      <c r="C200" s="244"/>
    </row>
    <row r="201" spans="2:3" ht="15">
      <c r="B201" s="176"/>
      <c r="C201" s="244"/>
    </row>
    <row r="202" spans="2:3" ht="15">
      <c r="B202" s="176"/>
      <c r="C202"/>
    </row>
    <row r="203" spans="2:3" ht="15">
      <c r="B203" s="176"/>
      <c r="C203"/>
    </row>
    <row r="204" ht="15">
      <c r="C204"/>
    </row>
    <row r="205" ht="15">
      <c r="C205" s="243"/>
    </row>
    <row r="206" ht="15">
      <c r="C206"/>
    </row>
    <row r="207" ht="15">
      <c r="C207" s="244"/>
    </row>
    <row r="208" ht="15">
      <c r="C208" s="244"/>
    </row>
  </sheetData>
  <sheetProtection/>
  <mergeCells count="162">
    <mergeCell ref="A182:G182"/>
    <mergeCell ref="I182:I184"/>
    <mergeCell ref="A183:G183"/>
    <mergeCell ref="A184:G184"/>
    <mergeCell ref="G172:I172"/>
    <mergeCell ref="B174:B181"/>
    <mergeCell ref="C179:F179"/>
    <mergeCell ref="I179:I181"/>
    <mergeCell ref="C180:G180"/>
    <mergeCell ref="C181:G181"/>
    <mergeCell ref="A162:A181"/>
    <mergeCell ref="B162:B171"/>
    <mergeCell ref="C169:F169"/>
    <mergeCell ref="I169:I171"/>
    <mergeCell ref="C170:G170"/>
    <mergeCell ref="C171:G171"/>
    <mergeCell ref="B172:B173"/>
    <mergeCell ref="C172:C173"/>
    <mergeCell ref="D172:D173"/>
    <mergeCell ref="E172:F172"/>
    <mergeCell ref="A160:A161"/>
    <mergeCell ref="B160:B161"/>
    <mergeCell ref="C160:C161"/>
    <mergeCell ref="D160:D161"/>
    <mergeCell ref="E160:F160"/>
    <mergeCell ref="G160:I160"/>
    <mergeCell ref="A147:A159"/>
    <mergeCell ref="B147:B159"/>
    <mergeCell ref="C157:F157"/>
    <mergeCell ref="I157:I159"/>
    <mergeCell ref="C158:G158"/>
    <mergeCell ref="C159:G159"/>
    <mergeCell ref="A145:A146"/>
    <mergeCell ref="B145:B146"/>
    <mergeCell ref="C145:C146"/>
    <mergeCell ref="D145:D146"/>
    <mergeCell ref="E145:F145"/>
    <mergeCell ref="G145:I145"/>
    <mergeCell ref="G134:I134"/>
    <mergeCell ref="B136:B144"/>
    <mergeCell ref="C142:F142"/>
    <mergeCell ref="I142:I144"/>
    <mergeCell ref="C143:G143"/>
    <mergeCell ref="C144:G144"/>
    <mergeCell ref="A113:A144"/>
    <mergeCell ref="B113:B133"/>
    <mergeCell ref="C131:F131"/>
    <mergeCell ref="I131:I133"/>
    <mergeCell ref="C132:G132"/>
    <mergeCell ref="C133:G133"/>
    <mergeCell ref="B134:B135"/>
    <mergeCell ref="C134:C135"/>
    <mergeCell ref="D134:D135"/>
    <mergeCell ref="E134:F134"/>
    <mergeCell ref="A111:A112"/>
    <mergeCell ref="B111:B112"/>
    <mergeCell ref="C111:C112"/>
    <mergeCell ref="D111:D112"/>
    <mergeCell ref="E111:F111"/>
    <mergeCell ref="G111:I111"/>
    <mergeCell ref="G100:I100"/>
    <mergeCell ref="B102:B110"/>
    <mergeCell ref="C108:F108"/>
    <mergeCell ref="I108:I110"/>
    <mergeCell ref="C109:G109"/>
    <mergeCell ref="C110:G110"/>
    <mergeCell ref="A92:A110"/>
    <mergeCell ref="B92:B99"/>
    <mergeCell ref="C97:F97"/>
    <mergeCell ref="I97:I99"/>
    <mergeCell ref="C98:G98"/>
    <mergeCell ref="C99:G99"/>
    <mergeCell ref="B100:B101"/>
    <mergeCell ref="C100:C101"/>
    <mergeCell ref="D100:D101"/>
    <mergeCell ref="E100:F100"/>
    <mergeCell ref="A90:A91"/>
    <mergeCell ref="B90:B91"/>
    <mergeCell ref="C90:C91"/>
    <mergeCell ref="D90:D91"/>
    <mergeCell ref="E90:F90"/>
    <mergeCell ref="G90:I90"/>
    <mergeCell ref="B80:B81"/>
    <mergeCell ref="C80:C81"/>
    <mergeCell ref="D80:D81"/>
    <mergeCell ref="E80:F80"/>
    <mergeCell ref="G80:I80"/>
    <mergeCell ref="B82:B89"/>
    <mergeCell ref="C87:F87"/>
    <mergeCell ref="I87:I89"/>
    <mergeCell ref="C88:G88"/>
    <mergeCell ref="C89:G89"/>
    <mergeCell ref="B66:B67"/>
    <mergeCell ref="C66:C67"/>
    <mergeCell ref="D66:D67"/>
    <mergeCell ref="E66:F66"/>
    <mergeCell ref="G66:I66"/>
    <mergeCell ref="B68:B79"/>
    <mergeCell ref="C77:F77"/>
    <mergeCell ref="I77:I79"/>
    <mergeCell ref="C78:G78"/>
    <mergeCell ref="C79:G79"/>
    <mergeCell ref="G53:I53"/>
    <mergeCell ref="B55:B65"/>
    <mergeCell ref="C63:F63"/>
    <mergeCell ref="I63:I65"/>
    <mergeCell ref="C64:G64"/>
    <mergeCell ref="C65:G65"/>
    <mergeCell ref="A47:A89"/>
    <mergeCell ref="B47:B52"/>
    <mergeCell ref="C50:F50"/>
    <mergeCell ref="I50:I52"/>
    <mergeCell ref="C51:G51"/>
    <mergeCell ref="C52:G52"/>
    <mergeCell ref="B53:B54"/>
    <mergeCell ref="C53:C54"/>
    <mergeCell ref="D53:D54"/>
    <mergeCell ref="E53:F53"/>
    <mergeCell ref="A45:A46"/>
    <mergeCell ref="B45:B46"/>
    <mergeCell ref="C45:C46"/>
    <mergeCell ref="D45:D46"/>
    <mergeCell ref="E45:F45"/>
    <mergeCell ref="G45:I45"/>
    <mergeCell ref="B33:B34"/>
    <mergeCell ref="C33:C34"/>
    <mergeCell ref="D33:D34"/>
    <mergeCell ref="E33:F33"/>
    <mergeCell ref="G33:I33"/>
    <mergeCell ref="B35:B44"/>
    <mergeCell ref="C42:F42"/>
    <mergeCell ref="I42:I44"/>
    <mergeCell ref="C43:G43"/>
    <mergeCell ref="C44:G44"/>
    <mergeCell ref="G24:I24"/>
    <mergeCell ref="B26:B32"/>
    <mergeCell ref="C30:F30"/>
    <mergeCell ref="I30:I32"/>
    <mergeCell ref="C31:G31"/>
    <mergeCell ref="C32:G32"/>
    <mergeCell ref="A9:A44"/>
    <mergeCell ref="B9:B23"/>
    <mergeCell ref="C21:F21"/>
    <mergeCell ref="I21:I23"/>
    <mergeCell ref="C22:G22"/>
    <mergeCell ref="C23:G23"/>
    <mergeCell ref="B24:B25"/>
    <mergeCell ref="C24:C25"/>
    <mergeCell ref="D24:D25"/>
    <mergeCell ref="E24:F24"/>
    <mergeCell ref="A7:A8"/>
    <mergeCell ref="B7:B8"/>
    <mergeCell ref="C7:C8"/>
    <mergeCell ref="D7:D8"/>
    <mergeCell ref="E7:F7"/>
    <mergeCell ref="G7:I7"/>
    <mergeCell ref="A1:H3"/>
    <mergeCell ref="B4:I4"/>
    <mergeCell ref="A5:B5"/>
    <mergeCell ref="C5:D5"/>
    <mergeCell ref="G5:I5"/>
    <mergeCell ref="B6:I6"/>
  </mergeCells>
  <printOptions/>
  <pageMargins left="0.5118110236220472" right="0.1968503937007874" top="0.36" bottom="0.3937007874015748" header="0" footer="0"/>
  <pageSetup horizontalDpi="600" verticalDpi="600" orientation="landscape" scale="50" r:id="rId4"/>
  <rowBreaks count="4" manualBreakCount="4">
    <brk id="32" max="255" man="1"/>
    <brk id="65" max="255" man="1"/>
    <brk id="110" max="255" man="1"/>
    <brk id="15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6">
      <pane xSplit="2" ySplit="3" topLeftCell="C45" activePane="bottomRight" state="frozen"/>
      <selection pane="topLeft" activeCell="A6" sqref="A6"/>
      <selection pane="topRight" activeCell="C6" sqref="C6"/>
      <selection pane="bottomLeft" activeCell="A9" sqref="A9"/>
      <selection pane="bottomRight" activeCell="E17" sqref="E17"/>
    </sheetView>
  </sheetViews>
  <sheetFormatPr defaultColWidth="11.421875" defaultRowHeight="12.75"/>
  <cols>
    <col min="1" max="1" width="28.421875" style="26"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1"/>
      <c r="B1" s="627"/>
      <c r="C1" s="627"/>
      <c r="D1" s="627"/>
      <c r="E1" s="627"/>
      <c r="F1" s="627"/>
      <c r="G1" s="627"/>
      <c r="H1" s="627"/>
      <c r="I1" s="627"/>
      <c r="J1" s="627"/>
      <c r="K1" s="627"/>
      <c r="L1" s="627"/>
      <c r="M1" s="628"/>
    </row>
    <row r="2" spans="1:13" ht="23.25">
      <c r="A2" s="22"/>
      <c r="B2" s="629"/>
      <c r="C2" s="629"/>
      <c r="D2" s="629"/>
      <c r="E2" s="629"/>
      <c r="F2" s="629"/>
      <c r="G2" s="629"/>
      <c r="H2" s="629"/>
      <c r="I2" s="629"/>
      <c r="J2" s="629"/>
      <c r="K2" s="629"/>
      <c r="L2" s="629"/>
      <c r="M2" s="630"/>
    </row>
    <row r="3" spans="1:13" ht="24" thickBot="1">
      <c r="A3" s="22"/>
      <c r="B3" s="629" t="s">
        <v>16</v>
      </c>
      <c r="C3" s="629"/>
      <c r="D3" s="629"/>
      <c r="E3" s="629"/>
      <c r="F3" s="629"/>
      <c r="G3" s="629"/>
      <c r="H3" s="629"/>
      <c r="I3" s="629"/>
      <c r="J3" s="629"/>
      <c r="K3" s="629"/>
      <c r="L3" s="629"/>
      <c r="M3" s="630"/>
    </row>
    <row r="4" spans="1:13" ht="24" hidden="1" thickBot="1">
      <c r="A4" s="22"/>
      <c r="B4" s="631" t="s">
        <v>200</v>
      </c>
      <c r="C4" s="631"/>
      <c r="D4" s="631"/>
      <c r="E4" s="631"/>
      <c r="F4" s="631"/>
      <c r="G4" s="631"/>
      <c r="H4" s="631"/>
      <c r="I4" s="631"/>
      <c r="J4" s="631"/>
      <c r="K4" s="631"/>
      <c r="L4" s="631"/>
      <c r="M4" s="632"/>
    </row>
    <row r="5" spans="1:13" ht="30.75" hidden="1" thickBot="1">
      <c r="A5" s="22"/>
      <c r="B5" s="17"/>
      <c r="C5" s="17"/>
      <c r="D5" s="17"/>
      <c r="E5" s="17"/>
      <c r="F5" s="17"/>
      <c r="G5" s="17"/>
      <c r="H5" s="17"/>
      <c r="I5" s="17"/>
      <c r="J5" s="17"/>
      <c r="K5" s="17"/>
      <c r="L5" s="17"/>
      <c r="M5" s="35"/>
    </row>
    <row r="6" spans="1:13" ht="20.25">
      <c r="A6" s="19"/>
      <c r="B6" s="20" t="s">
        <v>120</v>
      </c>
      <c r="C6" s="20" t="s">
        <v>121</v>
      </c>
      <c r="D6" s="20"/>
      <c r="E6" s="20" t="s">
        <v>120</v>
      </c>
      <c r="F6" s="20" t="s">
        <v>122</v>
      </c>
      <c r="G6" s="20" t="s">
        <v>123</v>
      </c>
      <c r="H6" s="20" t="s">
        <v>124</v>
      </c>
      <c r="I6" s="20" t="s">
        <v>125</v>
      </c>
      <c r="J6" s="20" t="s">
        <v>126</v>
      </c>
      <c r="K6" s="20" t="s">
        <v>127</v>
      </c>
      <c r="L6" s="20" t="s">
        <v>128</v>
      </c>
      <c r="M6" s="38" t="s">
        <v>203</v>
      </c>
    </row>
    <row r="7" spans="1:13" ht="126.75" customHeight="1">
      <c r="A7" s="57" t="s">
        <v>17</v>
      </c>
      <c r="B7" s="47" t="s">
        <v>18</v>
      </c>
      <c r="C7" s="23" t="s">
        <v>296</v>
      </c>
      <c r="D7" s="37" t="s">
        <v>299</v>
      </c>
      <c r="E7" s="37" t="s">
        <v>129</v>
      </c>
      <c r="F7" s="36" t="s">
        <v>192</v>
      </c>
      <c r="G7" s="36" t="s">
        <v>193</v>
      </c>
      <c r="H7" s="36" t="s">
        <v>194</v>
      </c>
      <c r="I7" s="36" t="s">
        <v>552</v>
      </c>
      <c r="J7" s="36" t="s">
        <v>195</v>
      </c>
      <c r="K7" s="36" t="s">
        <v>130</v>
      </c>
      <c r="L7" s="36" t="s">
        <v>131</v>
      </c>
      <c r="M7" s="27" t="s">
        <v>132</v>
      </c>
    </row>
    <row r="8" spans="1:13" ht="21.75" customHeight="1">
      <c r="A8" s="633" t="s">
        <v>51</v>
      </c>
      <c r="B8" s="634"/>
      <c r="C8" s="634"/>
      <c r="D8" s="634"/>
      <c r="E8" s="634"/>
      <c r="F8" s="634"/>
      <c r="G8" s="634"/>
      <c r="H8" s="634"/>
      <c r="I8" s="634"/>
      <c r="J8" s="634"/>
      <c r="K8" s="634"/>
      <c r="L8" s="634"/>
      <c r="M8" s="635"/>
    </row>
    <row r="9" spans="1:14" ht="129" customHeight="1">
      <c r="A9" s="44">
        <v>1</v>
      </c>
      <c r="B9" s="43" t="s">
        <v>133</v>
      </c>
      <c r="C9" s="45" t="s">
        <v>181</v>
      </c>
      <c r="D9" s="46">
        <v>106414</v>
      </c>
      <c r="E9" s="58" t="s">
        <v>163</v>
      </c>
      <c r="F9" s="58">
        <v>0</v>
      </c>
      <c r="G9" s="58">
        <v>56864</v>
      </c>
      <c r="H9" s="58">
        <v>50949</v>
      </c>
      <c r="I9" s="58">
        <v>3000</v>
      </c>
      <c r="J9" s="58">
        <f>AVERAGE(F9:I9)</f>
        <v>27703.25</v>
      </c>
      <c r="K9" s="47"/>
      <c r="L9" s="47"/>
      <c r="M9" s="48" t="s">
        <v>300</v>
      </c>
      <c r="N9" s="96"/>
    </row>
    <row r="10" spans="1:13" ht="51" customHeight="1">
      <c r="A10" s="44">
        <f>A9+1</f>
        <v>2</v>
      </c>
      <c r="B10" s="43" t="s">
        <v>134</v>
      </c>
      <c r="C10" s="45" t="s">
        <v>181</v>
      </c>
      <c r="D10" s="46">
        <f>+'[1]acumulado a dic 2014'!$C$8</f>
        <v>330314</v>
      </c>
      <c r="E10" s="46" t="s">
        <v>163</v>
      </c>
      <c r="F10" s="58">
        <v>330314</v>
      </c>
      <c r="G10" s="58">
        <v>330314</v>
      </c>
      <c r="H10" s="58">
        <v>330314</v>
      </c>
      <c r="I10" s="58">
        <v>330314</v>
      </c>
      <c r="J10" s="58">
        <f>AVERAGE(F10:I10)</f>
        <v>330314</v>
      </c>
      <c r="K10" s="49"/>
      <c r="L10" s="47"/>
      <c r="M10" s="50"/>
    </row>
    <row r="11" spans="1:13" ht="24.75" customHeight="1">
      <c r="A11" s="636" t="s">
        <v>182</v>
      </c>
      <c r="B11" s="637"/>
      <c r="C11" s="637"/>
      <c r="D11" s="637"/>
      <c r="E11" s="637"/>
      <c r="F11" s="637"/>
      <c r="G11" s="637"/>
      <c r="H11" s="637"/>
      <c r="I11" s="637"/>
      <c r="J11" s="637"/>
      <c r="K11" s="637"/>
      <c r="L11" s="637"/>
      <c r="M11" s="638"/>
    </row>
    <row r="12" spans="1:13" ht="106.5" customHeight="1">
      <c r="A12" s="44">
        <v>3</v>
      </c>
      <c r="B12" s="43" t="s">
        <v>135</v>
      </c>
      <c r="C12" s="45">
        <v>4.1</v>
      </c>
      <c r="D12" s="46">
        <f>+'[1]acumulado a dic 2014'!$C$96</f>
        <v>100</v>
      </c>
      <c r="E12" s="25" t="s">
        <v>301</v>
      </c>
      <c r="F12" s="58">
        <v>0</v>
      </c>
      <c r="G12" s="58">
        <v>0</v>
      </c>
      <c r="H12" s="58">
        <v>20</v>
      </c>
      <c r="I12" s="58">
        <v>25</v>
      </c>
      <c r="J12" s="58">
        <f>AVERAGE(F12:I12)</f>
        <v>11.25</v>
      </c>
      <c r="K12" s="47"/>
      <c r="L12" s="47"/>
      <c r="M12" s="138" t="s">
        <v>588</v>
      </c>
    </row>
    <row r="13" spans="1:13" ht="35.25" customHeight="1">
      <c r="A13" s="44">
        <v>4</v>
      </c>
      <c r="B13" s="43" t="s">
        <v>184</v>
      </c>
      <c r="C13" s="45">
        <v>1.1</v>
      </c>
      <c r="D13" s="46">
        <f>+'[1]acumulado a dic 2014'!$C$9</f>
        <v>120000</v>
      </c>
      <c r="E13" s="46" t="s">
        <v>163</v>
      </c>
      <c r="F13" s="58">
        <v>20000</v>
      </c>
      <c r="G13" s="58">
        <v>40000</v>
      </c>
      <c r="H13" s="58">
        <v>30000</v>
      </c>
      <c r="I13" s="58">
        <v>41228</v>
      </c>
      <c r="J13" s="58">
        <f>AVERAGE(F13:I13)</f>
        <v>32807</v>
      </c>
      <c r="K13" s="47"/>
      <c r="L13" s="47"/>
      <c r="M13" s="50"/>
    </row>
    <row r="14" spans="1:13" ht="54.75" customHeight="1">
      <c r="A14" s="44">
        <v>4</v>
      </c>
      <c r="B14" s="43" t="s">
        <v>185</v>
      </c>
      <c r="C14" s="45">
        <v>1.1</v>
      </c>
      <c r="D14" s="46">
        <f>+'[1]acumulado a dic 2014'!$C$10</f>
        <v>4145</v>
      </c>
      <c r="E14" s="46" t="s">
        <v>163</v>
      </c>
      <c r="F14" s="58">
        <v>4145</v>
      </c>
      <c r="G14" s="58">
        <v>4145</v>
      </c>
      <c r="H14" s="58">
        <v>4145</v>
      </c>
      <c r="I14" s="58">
        <v>4145</v>
      </c>
      <c r="J14" s="58">
        <f>AVERAGE(F14:I14)</f>
        <v>4145</v>
      </c>
      <c r="K14" s="46"/>
      <c r="L14" s="47"/>
      <c r="M14" s="50"/>
    </row>
    <row r="15" spans="1:13" ht="60.75" customHeight="1">
      <c r="A15" s="44">
        <v>4</v>
      </c>
      <c r="B15" s="43" t="s">
        <v>186</v>
      </c>
      <c r="C15" s="45">
        <v>1.2</v>
      </c>
      <c r="D15" s="46">
        <f>+'[1]acumulado a dic 2014'!$C$20</f>
        <v>35356</v>
      </c>
      <c r="E15" s="46" t="s">
        <v>163</v>
      </c>
      <c r="F15" s="58">
        <v>35356</v>
      </c>
      <c r="G15" s="58">
        <v>35356</v>
      </c>
      <c r="H15" s="58">
        <v>35356</v>
      </c>
      <c r="I15" s="58">
        <v>35356</v>
      </c>
      <c r="J15" s="58">
        <f>AVERAGE(F15:I15)</f>
        <v>35356</v>
      </c>
      <c r="K15" s="47"/>
      <c r="L15" s="47"/>
      <c r="M15" s="48"/>
    </row>
    <row r="16" spans="1:13" ht="25.5" customHeight="1">
      <c r="A16" s="636" t="s">
        <v>52</v>
      </c>
      <c r="B16" s="637"/>
      <c r="C16" s="637"/>
      <c r="D16" s="637"/>
      <c r="E16" s="637"/>
      <c r="F16" s="637"/>
      <c r="G16" s="637"/>
      <c r="H16" s="637"/>
      <c r="I16" s="637"/>
      <c r="J16" s="637"/>
      <c r="K16" s="637"/>
      <c r="L16" s="637"/>
      <c r="M16" s="638"/>
    </row>
    <row r="17" spans="1:13" ht="54.75" customHeight="1">
      <c r="A17" s="44">
        <v>5</v>
      </c>
      <c r="B17" s="43" t="s">
        <v>136</v>
      </c>
      <c r="C17" s="45" t="s">
        <v>181</v>
      </c>
      <c r="D17" s="45">
        <v>3</v>
      </c>
      <c r="E17" s="46" t="s">
        <v>170</v>
      </c>
      <c r="F17" s="58">
        <v>3</v>
      </c>
      <c r="G17" s="58">
        <v>3</v>
      </c>
      <c r="H17" s="58">
        <v>3</v>
      </c>
      <c r="I17" s="58">
        <v>4</v>
      </c>
      <c r="J17" s="58">
        <f>AVERAGE(F17:I17)</f>
        <v>3.25</v>
      </c>
      <c r="K17" s="47"/>
      <c r="L17" s="47"/>
      <c r="M17" s="50"/>
    </row>
    <row r="18" spans="1:13" ht="25.5" customHeight="1">
      <c r="A18" s="636" t="s">
        <v>53</v>
      </c>
      <c r="B18" s="637"/>
      <c r="C18" s="637"/>
      <c r="D18" s="637"/>
      <c r="E18" s="637"/>
      <c r="F18" s="637"/>
      <c r="G18" s="637"/>
      <c r="H18" s="637"/>
      <c r="I18" s="637"/>
      <c r="J18" s="637"/>
      <c r="K18" s="637"/>
      <c r="L18" s="637"/>
      <c r="M18" s="638"/>
    </row>
    <row r="19" spans="1:14" ht="217.5" customHeight="1">
      <c r="A19" s="44">
        <v>6</v>
      </c>
      <c r="B19" s="43" t="s">
        <v>137</v>
      </c>
      <c r="C19" s="45" t="s">
        <v>196</v>
      </c>
      <c r="D19" s="46">
        <f>+'[1]acumulado a dic 2014'!$C$34</f>
        <v>2</v>
      </c>
      <c r="E19" s="46" t="s">
        <v>164</v>
      </c>
      <c r="F19" s="58">
        <v>0</v>
      </c>
      <c r="G19" s="58">
        <v>1</v>
      </c>
      <c r="H19" s="58">
        <v>1</v>
      </c>
      <c r="I19" s="58">
        <v>1</v>
      </c>
      <c r="J19" s="58">
        <f aca="true" t="shared" si="0" ref="J19:J24">AVERAGE(F19:I19)</f>
        <v>0.75</v>
      </c>
      <c r="K19" s="47"/>
      <c r="L19" s="47"/>
      <c r="M19" s="48" t="s">
        <v>589</v>
      </c>
      <c r="N19" s="113"/>
    </row>
    <row r="20" spans="1:13" ht="51.75" customHeight="1">
      <c r="A20" s="44">
        <f>A19+1</f>
        <v>7</v>
      </c>
      <c r="B20" s="43" t="s">
        <v>138</v>
      </c>
      <c r="C20" s="45" t="s">
        <v>196</v>
      </c>
      <c r="D20" s="45">
        <v>6</v>
      </c>
      <c r="E20" s="46" t="s">
        <v>164</v>
      </c>
      <c r="F20" s="58">
        <v>6</v>
      </c>
      <c r="G20" s="58">
        <v>6</v>
      </c>
      <c r="H20" s="58">
        <v>6</v>
      </c>
      <c r="I20" s="58">
        <v>6</v>
      </c>
      <c r="J20" s="58">
        <f t="shared" si="0"/>
        <v>6</v>
      </c>
      <c r="K20" s="47"/>
      <c r="L20" s="47"/>
      <c r="M20" s="112"/>
    </row>
    <row r="21" spans="1:13" ht="51.75" customHeight="1">
      <c r="A21" s="44">
        <f>A20+1</f>
        <v>8</v>
      </c>
      <c r="B21" s="43" t="s">
        <v>197</v>
      </c>
      <c r="C21" s="45" t="s">
        <v>187</v>
      </c>
      <c r="D21" s="46">
        <f>+'[1]acumulado a dic 2014'!$C$38</f>
        <v>392</v>
      </c>
      <c r="E21" s="46" t="s">
        <v>163</v>
      </c>
      <c r="F21" s="58">
        <v>45</v>
      </c>
      <c r="G21" s="58">
        <v>160</v>
      </c>
      <c r="H21" s="58">
        <v>80</v>
      </c>
      <c r="I21" s="58">
        <v>15</v>
      </c>
      <c r="J21" s="58">
        <f t="shared" si="0"/>
        <v>75</v>
      </c>
      <c r="K21" s="47"/>
      <c r="L21" s="47"/>
      <c r="M21" s="50"/>
    </row>
    <row r="22" spans="1:13" ht="148.5" customHeight="1">
      <c r="A22" s="44"/>
      <c r="B22" s="43" t="s">
        <v>244</v>
      </c>
      <c r="C22" s="45" t="s">
        <v>187</v>
      </c>
      <c r="D22" s="46">
        <f>+'[1]acumulado a dic 2014'!$C$40</f>
        <v>2981</v>
      </c>
      <c r="E22" s="46" t="s">
        <v>163</v>
      </c>
      <c r="F22" s="58">
        <v>276</v>
      </c>
      <c r="G22" s="58">
        <v>1681</v>
      </c>
      <c r="H22" s="58">
        <v>6345</v>
      </c>
      <c r="I22" s="58">
        <v>3656</v>
      </c>
      <c r="J22" s="58">
        <f>AVERAGE(F22:I22)</f>
        <v>2989.5</v>
      </c>
      <c r="K22" s="47"/>
      <c r="L22" s="47"/>
      <c r="M22" s="48" t="s">
        <v>302</v>
      </c>
    </row>
    <row r="23" spans="1:13" ht="59.25" customHeight="1">
      <c r="A23" s="44">
        <f>A21+1</f>
        <v>9</v>
      </c>
      <c r="B23" s="43" t="s">
        <v>198</v>
      </c>
      <c r="C23" s="45" t="s">
        <v>187</v>
      </c>
      <c r="D23" s="46">
        <f>+'[1]acumulado a dic 2014'!$C$39</f>
        <v>970</v>
      </c>
      <c r="E23" s="46" t="s">
        <v>163</v>
      </c>
      <c r="F23" s="58">
        <v>0</v>
      </c>
      <c r="G23" s="58">
        <v>147</v>
      </c>
      <c r="H23" s="58">
        <v>225</v>
      </c>
      <c r="I23" s="58">
        <v>0</v>
      </c>
      <c r="J23" s="58">
        <f t="shared" si="0"/>
        <v>93</v>
      </c>
      <c r="K23" s="47"/>
      <c r="L23" s="47"/>
      <c r="M23" s="50"/>
    </row>
    <row r="24" spans="1:13" ht="49.5" customHeight="1">
      <c r="A24" s="44"/>
      <c r="B24" s="43" t="s">
        <v>199</v>
      </c>
      <c r="C24" s="45" t="s">
        <v>187</v>
      </c>
      <c r="D24" s="46">
        <f>+'[1]acumulado a dic 2014'!$C$41</f>
        <v>3438</v>
      </c>
      <c r="E24" s="46" t="s">
        <v>163</v>
      </c>
      <c r="F24" s="58">
        <v>0</v>
      </c>
      <c r="G24" s="58">
        <v>1271</v>
      </c>
      <c r="H24" s="58">
        <v>829</v>
      </c>
      <c r="I24" s="58">
        <v>647</v>
      </c>
      <c r="J24" s="58">
        <f t="shared" si="0"/>
        <v>686.75</v>
      </c>
      <c r="K24" s="47"/>
      <c r="L24" s="47"/>
      <c r="M24" s="50"/>
    </row>
    <row r="25" spans="1:13" ht="200.25" customHeight="1">
      <c r="A25" s="44">
        <f>A23+1</f>
        <v>10</v>
      </c>
      <c r="B25" s="43" t="s">
        <v>139</v>
      </c>
      <c r="C25" s="45" t="s">
        <v>183</v>
      </c>
      <c r="D25" s="45"/>
      <c r="E25" s="46" t="s">
        <v>165</v>
      </c>
      <c r="F25" s="58">
        <v>0</v>
      </c>
      <c r="G25" s="58">
        <v>0</v>
      </c>
      <c r="H25" s="58">
        <v>0</v>
      </c>
      <c r="I25" s="58">
        <v>0</v>
      </c>
      <c r="J25" s="58">
        <f>+F25</f>
        <v>0</v>
      </c>
      <c r="K25" s="47"/>
      <c r="L25" s="47"/>
      <c r="M25" s="48" t="s">
        <v>303</v>
      </c>
    </row>
    <row r="26" spans="1:13" ht="21" customHeight="1">
      <c r="A26" s="636" t="s">
        <v>54</v>
      </c>
      <c r="B26" s="637"/>
      <c r="C26" s="637"/>
      <c r="D26" s="637"/>
      <c r="E26" s="637"/>
      <c r="F26" s="637"/>
      <c r="G26" s="637"/>
      <c r="H26" s="637"/>
      <c r="I26" s="637"/>
      <c r="J26" s="637"/>
      <c r="K26" s="637"/>
      <c r="L26" s="637"/>
      <c r="M26" s="638"/>
    </row>
    <row r="27" spans="1:13" ht="96.75" customHeight="1">
      <c r="A27" s="44">
        <v>11</v>
      </c>
      <c r="B27" s="43" t="s">
        <v>140</v>
      </c>
      <c r="C27" s="24" t="s">
        <v>183</v>
      </c>
      <c r="D27" s="24">
        <v>37</v>
      </c>
      <c r="E27" s="62" t="s">
        <v>255</v>
      </c>
      <c r="F27" s="59">
        <v>37</v>
      </c>
      <c r="G27" s="58">
        <v>37</v>
      </c>
      <c r="H27" s="58">
        <v>37</v>
      </c>
      <c r="I27" s="58">
        <v>37</v>
      </c>
      <c r="J27" s="58">
        <f>AVERAGE(F27:I27)</f>
        <v>37</v>
      </c>
      <c r="K27" s="47"/>
      <c r="L27" s="47"/>
      <c r="M27" s="48" t="s">
        <v>172</v>
      </c>
    </row>
    <row r="28" spans="1:13" ht="104.25" customHeight="1">
      <c r="A28" s="44">
        <v>12</v>
      </c>
      <c r="B28" s="43" t="s">
        <v>188</v>
      </c>
      <c r="C28" s="24" t="s">
        <v>189</v>
      </c>
      <c r="D28" s="25">
        <f>+'[1]acumulado a dic 2014'!$C$58</f>
        <v>13.75</v>
      </c>
      <c r="E28" s="25" t="s">
        <v>166</v>
      </c>
      <c r="F28" s="59">
        <v>13</v>
      </c>
      <c r="G28" s="58">
        <v>14</v>
      </c>
      <c r="H28" s="58">
        <v>14</v>
      </c>
      <c r="I28" s="58">
        <v>14</v>
      </c>
      <c r="J28" s="58">
        <f>AVERAGE(F28:I28)</f>
        <v>13.75</v>
      </c>
      <c r="K28" s="47"/>
      <c r="L28" s="47"/>
      <c r="M28" s="48" t="s">
        <v>295</v>
      </c>
    </row>
    <row r="29" spans="1:13" ht="102" customHeight="1">
      <c r="A29" s="44">
        <f>A27+1</f>
        <v>12</v>
      </c>
      <c r="B29" s="43" t="s">
        <v>171</v>
      </c>
      <c r="C29" s="24" t="s">
        <v>189</v>
      </c>
      <c r="D29" s="25">
        <f>+'[1]acumulado a dic 2014'!$C$59</f>
        <v>12.75</v>
      </c>
      <c r="E29" s="25" t="s">
        <v>166</v>
      </c>
      <c r="F29" s="59">
        <v>12</v>
      </c>
      <c r="G29" s="58">
        <v>13</v>
      </c>
      <c r="H29" s="58">
        <v>13</v>
      </c>
      <c r="I29" s="58">
        <v>13</v>
      </c>
      <c r="J29" s="58">
        <f>AVERAGE(F29:I29)</f>
        <v>12.75</v>
      </c>
      <c r="K29" s="47"/>
      <c r="L29" s="47"/>
      <c r="M29" s="48" t="s">
        <v>295</v>
      </c>
    </row>
    <row r="30" spans="1:13" ht="21.75" customHeight="1">
      <c r="A30" s="636" t="s">
        <v>57</v>
      </c>
      <c r="B30" s="637"/>
      <c r="C30" s="637"/>
      <c r="D30" s="637"/>
      <c r="E30" s="637"/>
      <c r="F30" s="637"/>
      <c r="G30" s="637"/>
      <c r="H30" s="637"/>
      <c r="I30" s="637"/>
      <c r="J30" s="637"/>
      <c r="K30" s="637"/>
      <c r="L30" s="637"/>
      <c r="M30" s="638"/>
    </row>
    <row r="31" spans="1:13" ht="111" customHeight="1">
      <c r="A31" s="44">
        <f>A29+1</f>
        <v>13</v>
      </c>
      <c r="B31" s="43" t="s">
        <v>141</v>
      </c>
      <c r="C31" s="24" t="s">
        <v>189</v>
      </c>
      <c r="D31" s="25">
        <f>+'[1]acumulado a dic 2014'!$C$60</f>
        <v>87</v>
      </c>
      <c r="E31" s="25" t="s">
        <v>166</v>
      </c>
      <c r="F31" s="59">
        <v>50</v>
      </c>
      <c r="G31" s="58">
        <v>71</v>
      </c>
      <c r="H31" s="58">
        <v>87</v>
      </c>
      <c r="I31" s="58">
        <v>100</v>
      </c>
      <c r="J31" s="58">
        <f>AVERAGE(F31:I31)</f>
        <v>77</v>
      </c>
      <c r="K31" s="51"/>
      <c r="L31" s="51"/>
      <c r="M31" s="48" t="s">
        <v>172</v>
      </c>
    </row>
    <row r="32" spans="1:13" ht="104.25" customHeight="1">
      <c r="A32" s="44">
        <f>A31+1</f>
        <v>14</v>
      </c>
      <c r="B32" s="43" t="s">
        <v>142</v>
      </c>
      <c r="C32" s="24" t="s">
        <v>183</v>
      </c>
      <c r="D32" s="25">
        <f>+'[1]acumulado a dic 2014'!$C$47</f>
        <v>68</v>
      </c>
      <c r="E32" s="25" t="s">
        <v>166</v>
      </c>
      <c r="F32" s="59">
        <v>44</v>
      </c>
      <c r="G32" s="58">
        <v>62</v>
      </c>
      <c r="H32" s="58">
        <v>62</v>
      </c>
      <c r="I32" s="58">
        <v>74</v>
      </c>
      <c r="J32" s="58">
        <f>AVERAGE(F32:I32)</f>
        <v>60.5</v>
      </c>
      <c r="K32" s="51"/>
      <c r="L32" s="51"/>
      <c r="M32" s="48" t="s">
        <v>172</v>
      </c>
    </row>
    <row r="33" spans="1:13" ht="21" customHeight="1">
      <c r="A33" s="636" t="s">
        <v>19</v>
      </c>
      <c r="B33" s="637"/>
      <c r="C33" s="637"/>
      <c r="D33" s="637"/>
      <c r="E33" s="637"/>
      <c r="F33" s="637"/>
      <c r="G33" s="637"/>
      <c r="H33" s="637"/>
      <c r="I33" s="637"/>
      <c r="J33" s="637"/>
      <c r="K33" s="637"/>
      <c r="L33" s="637"/>
      <c r="M33" s="638"/>
    </row>
    <row r="34" spans="1:13" ht="93" customHeight="1">
      <c r="A34" s="44">
        <f>A32+1</f>
        <v>15</v>
      </c>
      <c r="B34" s="43" t="s">
        <v>143</v>
      </c>
      <c r="C34" s="45" t="s">
        <v>191</v>
      </c>
      <c r="D34" s="46">
        <f>+'[1]acumulado a dic 2014'!$C$86</f>
        <v>1</v>
      </c>
      <c r="E34" s="45" t="s">
        <v>179</v>
      </c>
      <c r="F34" s="60">
        <v>1</v>
      </c>
      <c r="G34" s="58">
        <v>1</v>
      </c>
      <c r="H34" s="58">
        <v>1</v>
      </c>
      <c r="I34" s="58">
        <v>1</v>
      </c>
      <c r="J34" s="58">
        <f>AVERAGE(F34:I34)</f>
        <v>1</v>
      </c>
      <c r="K34" s="52"/>
      <c r="L34" s="52"/>
      <c r="M34" s="48"/>
    </row>
    <row r="35" spans="1:13" ht="108.75" customHeight="1">
      <c r="A35" s="44">
        <f>A34+1</f>
        <v>16</v>
      </c>
      <c r="B35" s="43" t="s">
        <v>144</v>
      </c>
      <c r="C35" s="45" t="s">
        <v>191</v>
      </c>
      <c r="D35" s="46">
        <f>+'[1]acumulado a dic 2014'!$C$82</f>
        <v>37</v>
      </c>
      <c r="E35" s="45" t="s">
        <v>168</v>
      </c>
      <c r="F35" s="60">
        <v>37</v>
      </c>
      <c r="G35" s="58">
        <v>37</v>
      </c>
      <c r="H35" s="58">
        <v>37</v>
      </c>
      <c r="I35" s="58">
        <v>37</v>
      </c>
      <c r="J35" s="58">
        <f>AVERAGE(F35:I35)</f>
        <v>37</v>
      </c>
      <c r="K35" s="52"/>
      <c r="L35" s="52"/>
      <c r="M35" s="48" t="s">
        <v>172</v>
      </c>
    </row>
    <row r="36" spans="1:13" ht="117" customHeight="1">
      <c r="A36" s="44">
        <f>A35+1</f>
        <v>17</v>
      </c>
      <c r="B36" s="43" t="s">
        <v>145</v>
      </c>
      <c r="C36" s="45" t="s">
        <v>191</v>
      </c>
      <c r="D36" s="46">
        <v>63</v>
      </c>
      <c r="E36" s="45" t="s">
        <v>166</v>
      </c>
      <c r="F36" s="60">
        <v>64</v>
      </c>
      <c r="G36" s="58">
        <v>72</v>
      </c>
      <c r="H36" s="58">
        <v>73</v>
      </c>
      <c r="I36" s="58">
        <v>71</v>
      </c>
      <c r="J36" s="58">
        <f>AVERAGE(F36:I36)</f>
        <v>70</v>
      </c>
      <c r="K36" s="52"/>
      <c r="L36" s="52"/>
      <c r="M36" s="48" t="s">
        <v>172</v>
      </c>
    </row>
    <row r="37" spans="1:13" ht="53.25" customHeight="1">
      <c r="A37" s="44">
        <f>A36+1</f>
        <v>18</v>
      </c>
      <c r="B37" s="43" t="s">
        <v>150</v>
      </c>
      <c r="C37" s="45" t="s">
        <v>191</v>
      </c>
      <c r="D37" s="46">
        <v>73</v>
      </c>
      <c r="E37" s="45" t="s">
        <v>1</v>
      </c>
      <c r="F37" s="60">
        <v>94</v>
      </c>
      <c r="G37" s="58">
        <v>120</v>
      </c>
      <c r="H37" s="58">
        <v>70</v>
      </c>
      <c r="I37" s="58">
        <v>94</v>
      </c>
      <c r="J37" s="58">
        <f>AVERAGE(F37:I37)</f>
        <v>94.5</v>
      </c>
      <c r="K37" s="52"/>
      <c r="L37" s="52"/>
      <c r="M37" s="53"/>
    </row>
    <row r="38" spans="1:13" ht="23.25" customHeight="1">
      <c r="A38" s="636" t="s">
        <v>55</v>
      </c>
      <c r="B38" s="637"/>
      <c r="C38" s="637"/>
      <c r="D38" s="637"/>
      <c r="E38" s="637"/>
      <c r="F38" s="637"/>
      <c r="G38" s="637"/>
      <c r="H38" s="637"/>
      <c r="I38" s="637"/>
      <c r="J38" s="637"/>
      <c r="K38" s="637"/>
      <c r="L38" s="637"/>
      <c r="M38" s="638"/>
    </row>
    <row r="39" spans="1:13" ht="72.75" customHeight="1">
      <c r="A39" s="44">
        <f>A37+1</f>
        <v>19</v>
      </c>
      <c r="B39" s="43" t="s">
        <v>151</v>
      </c>
      <c r="C39" s="45" t="s">
        <v>175</v>
      </c>
      <c r="D39" s="46">
        <f>+'[1]acumulado a dic 2014'!$C$25</f>
        <v>7</v>
      </c>
      <c r="E39" s="45" t="s">
        <v>174</v>
      </c>
      <c r="F39" s="60">
        <v>1</v>
      </c>
      <c r="G39" s="58">
        <v>2</v>
      </c>
      <c r="H39" s="58">
        <v>2</v>
      </c>
      <c r="I39" s="58">
        <v>2</v>
      </c>
      <c r="J39" s="58">
        <f>+F39+G39+H39+I39</f>
        <v>7</v>
      </c>
      <c r="K39" s="52"/>
      <c r="L39" s="52"/>
      <c r="M39" s="53"/>
    </row>
    <row r="40" spans="1:13" ht="55.5" customHeight="1">
      <c r="A40" s="44">
        <f>A39+1</f>
        <v>20</v>
      </c>
      <c r="B40" s="43" t="s">
        <v>152</v>
      </c>
      <c r="C40" s="45" t="s">
        <v>176</v>
      </c>
      <c r="D40" s="46">
        <f>+'[1]acumulado a dic 2014'!$C$136</f>
        <v>1.75</v>
      </c>
      <c r="E40" s="45" t="s">
        <v>167</v>
      </c>
      <c r="F40" s="60">
        <v>1</v>
      </c>
      <c r="G40" s="58">
        <v>2</v>
      </c>
      <c r="H40" s="58">
        <v>2</v>
      </c>
      <c r="I40" s="58">
        <v>2</v>
      </c>
      <c r="J40" s="58">
        <f>AVERAGE(F40:I40)</f>
        <v>1.75</v>
      </c>
      <c r="K40" s="52"/>
      <c r="L40" s="52"/>
      <c r="M40" s="53"/>
    </row>
    <row r="41" spans="1:13" ht="105.75" customHeight="1">
      <c r="A41" s="44">
        <f>A40+1</f>
        <v>21</v>
      </c>
      <c r="B41" s="43" t="s">
        <v>153</v>
      </c>
      <c r="C41" s="45" t="s">
        <v>176</v>
      </c>
      <c r="D41" s="46">
        <v>55</v>
      </c>
      <c r="E41" s="45" t="s">
        <v>166</v>
      </c>
      <c r="F41" s="60">
        <v>20</v>
      </c>
      <c r="G41" s="58">
        <v>40</v>
      </c>
      <c r="H41" s="58">
        <v>60</v>
      </c>
      <c r="I41" s="58">
        <v>80</v>
      </c>
      <c r="J41" s="58">
        <f>AVERAGE(F41:I41)</f>
        <v>50</v>
      </c>
      <c r="K41" s="52"/>
      <c r="L41" s="52"/>
      <c r="M41" s="48" t="s">
        <v>172</v>
      </c>
    </row>
    <row r="42" spans="1:13" ht="21.75" customHeight="1">
      <c r="A42" s="636" t="s">
        <v>56</v>
      </c>
      <c r="B42" s="637"/>
      <c r="C42" s="637"/>
      <c r="D42" s="637"/>
      <c r="E42" s="637"/>
      <c r="F42" s="637"/>
      <c r="G42" s="637"/>
      <c r="H42" s="637"/>
      <c r="I42" s="637"/>
      <c r="J42" s="637"/>
      <c r="K42" s="637"/>
      <c r="L42" s="637"/>
      <c r="M42" s="638"/>
    </row>
    <row r="43" spans="1:13" ht="54.75" customHeight="1">
      <c r="A43" s="44">
        <f>A41+1</f>
        <v>22</v>
      </c>
      <c r="B43" s="43" t="s">
        <v>154</v>
      </c>
      <c r="C43" s="45" t="s">
        <v>190</v>
      </c>
      <c r="D43" s="46">
        <f>+'[1]acumulado a dic 2014'!$C$66</f>
        <v>37</v>
      </c>
      <c r="E43" s="45" t="s">
        <v>168</v>
      </c>
      <c r="F43" s="60">
        <v>37</v>
      </c>
      <c r="G43" s="58">
        <v>37</v>
      </c>
      <c r="H43" s="58">
        <v>37</v>
      </c>
      <c r="I43" s="58">
        <v>37</v>
      </c>
      <c r="J43" s="58">
        <f>AVERAGE(F43:I43)</f>
        <v>37</v>
      </c>
      <c r="K43" s="52"/>
      <c r="L43" s="52"/>
      <c r="M43" s="53"/>
    </row>
    <row r="44" spans="1:13" ht="69.75" customHeight="1">
      <c r="A44" s="44">
        <f>A43+1</f>
        <v>23</v>
      </c>
      <c r="B44" s="43" t="s">
        <v>155</v>
      </c>
      <c r="C44" s="45" t="s">
        <v>177</v>
      </c>
      <c r="D44" s="46">
        <f>+'[1]acumulado a dic 2014'!$C$74</f>
        <v>37</v>
      </c>
      <c r="E44" s="45" t="s">
        <v>168</v>
      </c>
      <c r="F44" s="60">
        <v>37</v>
      </c>
      <c r="G44" s="58">
        <v>37</v>
      </c>
      <c r="H44" s="58">
        <v>37</v>
      </c>
      <c r="I44" s="58">
        <v>37</v>
      </c>
      <c r="J44" s="58">
        <f>AVERAGE(F44:I44)</f>
        <v>37</v>
      </c>
      <c r="K44" s="52"/>
      <c r="L44" s="52"/>
      <c r="M44" s="53"/>
    </row>
    <row r="45" spans="1:13" ht="21.75" customHeight="1">
      <c r="A45" s="636">
        <v>38</v>
      </c>
      <c r="B45" s="637"/>
      <c r="C45" s="637"/>
      <c r="D45" s="637"/>
      <c r="E45" s="637"/>
      <c r="F45" s="637"/>
      <c r="G45" s="637"/>
      <c r="H45" s="637"/>
      <c r="I45" s="637"/>
      <c r="J45" s="637"/>
      <c r="K45" s="637"/>
      <c r="L45" s="637"/>
      <c r="M45" s="638"/>
    </row>
    <row r="46" spans="1:13" ht="108.75" customHeight="1">
      <c r="A46" s="44">
        <f>A44+1</f>
        <v>24</v>
      </c>
      <c r="B46" s="43" t="s">
        <v>156</v>
      </c>
      <c r="C46" s="45" t="s">
        <v>191</v>
      </c>
      <c r="D46" s="46">
        <v>38</v>
      </c>
      <c r="E46" s="45" t="s">
        <v>166</v>
      </c>
      <c r="F46" s="60">
        <v>100</v>
      </c>
      <c r="G46" s="58">
        <v>100</v>
      </c>
      <c r="H46" s="58">
        <v>75</v>
      </c>
      <c r="I46" s="58">
        <v>50</v>
      </c>
      <c r="J46" s="58">
        <f>AVERAGE(F46:I46)</f>
        <v>81.25</v>
      </c>
      <c r="K46" s="52"/>
      <c r="L46" s="52"/>
      <c r="M46" s="48" t="s">
        <v>172</v>
      </c>
    </row>
    <row r="47" spans="1:13" ht="69" customHeight="1" thickBot="1">
      <c r="A47" s="54">
        <f>A46+1</f>
        <v>25</v>
      </c>
      <c r="B47" s="55" t="s">
        <v>157</v>
      </c>
      <c r="C47" s="56" t="s">
        <v>178</v>
      </c>
      <c r="D47" s="46">
        <v>60</v>
      </c>
      <c r="E47" s="45" t="s">
        <v>169</v>
      </c>
      <c r="F47" s="60">
        <v>35</v>
      </c>
      <c r="G47" s="58">
        <v>60</v>
      </c>
      <c r="H47" s="58">
        <v>60</v>
      </c>
      <c r="I47" s="58">
        <v>60</v>
      </c>
      <c r="J47" s="58">
        <f>AVERAGE(F47:I47)</f>
        <v>53.75</v>
      </c>
      <c r="K47" s="52"/>
      <c r="L47" s="52"/>
      <c r="M47" s="52"/>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A42:M42"/>
    <mergeCell ref="A45:M45"/>
    <mergeCell ref="A16:M16"/>
    <mergeCell ref="A18:M18"/>
    <mergeCell ref="A26:M26"/>
    <mergeCell ref="A30:M30"/>
    <mergeCell ref="A33:M33"/>
    <mergeCell ref="A38:M38"/>
    <mergeCell ref="B1:M1"/>
    <mergeCell ref="B2:M2"/>
    <mergeCell ref="B3:M3"/>
    <mergeCell ref="B4:M4"/>
    <mergeCell ref="A8:M8"/>
    <mergeCell ref="A11:M11"/>
  </mergeCells>
  <printOptions/>
  <pageMargins left="0.1968503937007874" right="0.1968503937007874" top="0.3937007874015748" bottom="0.1968503937007874" header="0" footer="0"/>
  <pageSetup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dimension ref="A2:G63"/>
  <sheetViews>
    <sheetView zoomScalePageLayoutView="0" workbookViewId="0" topLeftCell="A1">
      <selection activeCell="D53" sqref="D53"/>
    </sheetView>
  </sheetViews>
  <sheetFormatPr defaultColWidth="11.421875" defaultRowHeight="12.75"/>
  <cols>
    <col min="1" max="1" width="6.00390625" style="0" customWidth="1"/>
    <col min="2" max="2" width="35.421875" style="0" customWidth="1"/>
    <col min="3" max="3" width="16.00390625" style="0" customWidth="1"/>
    <col min="4" max="4" width="20.57421875" style="0" customWidth="1"/>
    <col min="5" max="5" width="13.00390625" style="0" customWidth="1"/>
  </cols>
  <sheetData>
    <row r="2" spans="1:7" ht="12.75">
      <c r="A2" s="451"/>
      <c r="B2" s="639" t="s">
        <v>591</v>
      </c>
      <c r="C2" s="639"/>
      <c r="D2" s="639"/>
      <c r="E2" s="452"/>
      <c r="F2" s="452"/>
      <c r="G2" s="452"/>
    </row>
    <row r="3" spans="1:7" ht="12.75">
      <c r="A3" s="451"/>
      <c r="B3" s="639" t="s">
        <v>592</v>
      </c>
      <c r="C3" s="639"/>
      <c r="D3" s="639"/>
      <c r="E3" s="452"/>
      <c r="F3" s="452"/>
      <c r="G3" s="452"/>
    </row>
    <row r="4" spans="1:7" ht="12.75">
      <c r="A4" s="451"/>
      <c r="B4" s="639" t="s">
        <v>556</v>
      </c>
      <c r="C4" s="639"/>
      <c r="D4" s="639"/>
      <c r="E4" s="452"/>
      <c r="F4" s="452"/>
      <c r="G4" s="452"/>
    </row>
    <row r="5" spans="1:7" ht="12.75">
      <c r="A5" s="451"/>
      <c r="B5" s="640" t="s">
        <v>593</v>
      </c>
      <c r="C5" s="640"/>
      <c r="D5" s="640"/>
      <c r="E5" s="453"/>
      <c r="F5" s="453"/>
      <c r="G5" s="453"/>
    </row>
    <row r="6" spans="1:5" ht="12.75">
      <c r="A6" s="454"/>
      <c r="B6" s="455" t="s">
        <v>594</v>
      </c>
      <c r="C6" s="455" t="s">
        <v>595</v>
      </c>
      <c r="D6" s="455" t="s">
        <v>596</v>
      </c>
      <c r="E6" s="456" t="s">
        <v>597</v>
      </c>
    </row>
    <row r="7" spans="1:5" ht="12.75">
      <c r="A7" s="457">
        <v>3000</v>
      </c>
      <c r="B7" s="458" t="s">
        <v>598</v>
      </c>
      <c r="C7" s="459">
        <f>SUM(C8+C34)</f>
        <v>30492484760</v>
      </c>
      <c r="D7" s="459">
        <f>SUM(D8+D34)</f>
        <v>30502652563</v>
      </c>
      <c r="E7" s="460">
        <f>+D7/C7*100</f>
        <v>100.03334527533596</v>
      </c>
    </row>
    <row r="8" spans="1:5" ht="12.75">
      <c r="A8" s="461">
        <v>3100</v>
      </c>
      <c r="B8" s="462" t="s">
        <v>599</v>
      </c>
      <c r="C8" s="463">
        <f>SUM(C9+C13)</f>
        <v>21014502340</v>
      </c>
      <c r="D8" s="463">
        <f>SUM(D9+D13)</f>
        <v>19097830576</v>
      </c>
      <c r="E8" s="460">
        <f>+D8/C8*100</f>
        <v>90.8792902492308</v>
      </c>
    </row>
    <row r="9" spans="1:5" ht="12.75">
      <c r="A9" s="464">
        <v>3110</v>
      </c>
      <c r="B9" s="465" t="s">
        <v>600</v>
      </c>
      <c r="C9" s="466">
        <f>SUM(C10:C12)</f>
        <v>7504817620</v>
      </c>
      <c r="D9" s="466">
        <f>SUM(D10:D12)</f>
        <v>7674725410</v>
      </c>
      <c r="E9" s="460">
        <f>+D9/C9*100</f>
        <v>102.2639829320729</v>
      </c>
    </row>
    <row r="10" spans="1:5" ht="12.75">
      <c r="A10" s="467"/>
      <c r="B10" s="468" t="s">
        <v>601</v>
      </c>
      <c r="C10" s="469"/>
      <c r="D10" s="469"/>
      <c r="E10" s="470" t="s">
        <v>445</v>
      </c>
    </row>
    <row r="11" spans="1:5" ht="12.75">
      <c r="A11" s="467"/>
      <c r="B11" s="468" t="s">
        <v>602</v>
      </c>
      <c r="C11" s="469">
        <v>7504817620</v>
      </c>
      <c r="D11" s="469">
        <v>7674725410</v>
      </c>
      <c r="E11" s="460">
        <f>+D11/C11*100</f>
        <v>102.2639829320729</v>
      </c>
    </row>
    <row r="12" spans="1:5" ht="12.75">
      <c r="A12" s="467"/>
      <c r="B12" s="468" t="s">
        <v>603</v>
      </c>
      <c r="C12" s="469"/>
      <c r="D12" s="469"/>
      <c r="E12" s="470" t="s">
        <v>445</v>
      </c>
    </row>
    <row r="13" spans="1:5" ht="12.75">
      <c r="A13" s="464">
        <v>3120</v>
      </c>
      <c r="B13" s="465" t="s">
        <v>604</v>
      </c>
      <c r="C13" s="466">
        <f>SUM(C14+C18+C19+C20+C21+C26)</f>
        <v>13509684720</v>
      </c>
      <c r="D13" s="466">
        <f>SUM(D14+D18+D19+D20+D21+D26)</f>
        <v>11423105166</v>
      </c>
      <c r="E13" s="460">
        <f>+D13/C13*100</f>
        <v>84.55493523908085</v>
      </c>
    </row>
    <row r="14" spans="1:5" ht="12.75">
      <c r="A14" s="467">
        <v>3121</v>
      </c>
      <c r="B14" s="471" t="s">
        <v>605</v>
      </c>
      <c r="C14" s="472">
        <f>SUM(C15:C17)</f>
        <v>388224373</v>
      </c>
      <c r="D14" s="472">
        <f>SUM(D15:D17)</f>
        <v>821846391</v>
      </c>
      <c r="E14" s="460">
        <f>+D14/C14*100</f>
        <v>211.693661747507</v>
      </c>
    </row>
    <row r="15" spans="1:5" ht="12.75">
      <c r="A15" s="467"/>
      <c r="B15" s="468" t="s">
        <v>605</v>
      </c>
      <c r="C15" s="469">
        <v>0</v>
      </c>
      <c r="D15" s="469">
        <v>0</v>
      </c>
      <c r="E15" s="470" t="s">
        <v>445</v>
      </c>
    </row>
    <row r="16" spans="1:5" ht="12.75">
      <c r="A16" s="467"/>
      <c r="B16" s="468" t="s">
        <v>606</v>
      </c>
      <c r="C16" s="469">
        <v>388224373</v>
      </c>
      <c r="D16" s="469">
        <v>821846391</v>
      </c>
      <c r="E16" s="460">
        <f>+D16/C16*100</f>
        <v>211.693661747507</v>
      </c>
    </row>
    <row r="17" spans="1:6" ht="12.75">
      <c r="A17" s="467"/>
      <c r="B17" s="468" t="s">
        <v>607</v>
      </c>
      <c r="C17" s="469">
        <v>0</v>
      </c>
      <c r="D17" s="469">
        <v>0</v>
      </c>
      <c r="E17" s="469">
        <v>0</v>
      </c>
      <c r="F17" s="96"/>
    </row>
    <row r="18" spans="1:5" ht="12.75">
      <c r="A18" s="467">
        <v>3123</v>
      </c>
      <c r="B18" s="471" t="s">
        <v>608</v>
      </c>
      <c r="C18" s="472">
        <v>0</v>
      </c>
      <c r="D18" s="472">
        <v>0</v>
      </c>
      <c r="E18" s="472">
        <v>0</v>
      </c>
    </row>
    <row r="19" spans="1:5" ht="12.75">
      <c r="A19" s="467">
        <v>3124</v>
      </c>
      <c r="B19" s="471" t="s">
        <v>609</v>
      </c>
      <c r="C19" s="472">
        <v>0</v>
      </c>
      <c r="D19" s="472">
        <v>0</v>
      </c>
      <c r="E19" s="472">
        <v>0</v>
      </c>
    </row>
    <row r="20" spans="1:5" ht="12.75">
      <c r="A20" s="467">
        <v>3125</v>
      </c>
      <c r="B20" s="471" t="s">
        <v>610</v>
      </c>
      <c r="C20" s="472">
        <v>0</v>
      </c>
      <c r="D20" s="472">
        <v>0</v>
      </c>
      <c r="E20" s="472">
        <v>0</v>
      </c>
    </row>
    <row r="21" spans="1:5" ht="12.75">
      <c r="A21" s="467">
        <v>3126</v>
      </c>
      <c r="B21" s="471" t="s">
        <v>611</v>
      </c>
      <c r="C21" s="472">
        <f>SUM(C22:C25)</f>
        <v>10662892700</v>
      </c>
      <c r="D21" s="472">
        <f>SUM(D22:D25)</f>
        <v>6129409316</v>
      </c>
      <c r="E21" s="460">
        <f>+D21/C21*100</f>
        <v>57.48355055659521</v>
      </c>
    </row>
    <row r="22" spans="1:5" ht="12.75">
      <c r="A22" s="467"/>
      <c r="B22" s="468" t="s">
        <v>612</v>
      </c>
      <c r="C22" s="469">
        <v>3461573029</v>
      </c>
      <c r="D22" s="469">
        <v>2666218227</v>
      </c>
      <c r="E22" s="460">
        <f>+D22/C22*100</f>
        <v>77.02331294654886</v>
      </c>
    </row>
    <row r="23" spans="1:5" ht="12.75">
      <c r="A23" s="467"/>
      <c r="B23" s="468" t="s">
        <v>613</v>
      </c>
      <c r="C23" s="469">
        <v>0</v>
      </c>
      <c r="D23" s="469">
        <v>0</v>
      </c>
      <c r="E23" s="469">
        <v>0</v>
      </c>
    </row>
    <row r="24" spans="1:5" ht="12.75">
      <c r="A24" s="467"/>
      <c r="B24" s="468" t="s">
        <v>614</v>
      </c>
      <c r="C24" s="469">
        <v>0</v>
      </c>
      <c r="D24" s="469">
        <v>0</v>
      </c>
      <c r="E24" s="469">
        <v>0</v>
      </c>
    </row>
    <row r="25" spans="1:5" ht="12.75">
      <c r="A25" s="467"/>
      <c r="B25" s="468" t="s">
        <v>615</v>
      </c>
      <c r="C25" s="469">
        <v>7201319671</v>
      </c>
      <c r="D25" s="469">
        <v>3463191089</v>
      </c>
      <c r="E25" s="460">
        <f>+D25/C25*100</f>
        <v>48.091061738953314</v>
      </c>
    </row>
    <row r="26" spans="1:5" ht="12.75">
      <c r="A26" s="467">
        <v>3128</v>
      </c>
      <c r="B26" s="471" t="s">
        <v>616</v>
      </c>
      <c r="C26" s="472">
        <f>SUM(C27:C33)</f>
        <v>2458567647</v>
      </c>
      <c r="D26" s="472">
        <f>SUM(D27:D33)</f>
        <v>4471849459</v>
      </c>
      <c r="E26" s="460">
        <f>+D26/C26*100</f>
        <v>181.88840418756232</v>
      </c>
    </row>
    <row r="27" spans="1:5" ht="12.75">
      <c r="A27" s="467"/>
      <c r="B27" s="468" t="s">
        <v>617</v>
      </c>
      <c r="C27" s="469">
        <v>919346208</v>
      </c>
      <c r="D27" s="469">
        <v>1143406793</v>
      </c>
      <c r="E27" s="460">
        <f>+D27/C27*100</f>
        <v>124.37173102475015</v>
      </c>
    </row>
    <row r="28" spans="1:5" ht="12.75">
      <c r="A28" s="467"/>
      <c r="B28" s="468" t="s">
        <v>618</v>
      </c>
      <c r="C28" s="469">
        <v>0</v>
      </c>
      <c r="D28" s="469">
        <v>0</v>
      </c>
      <c r="E28" s="469">
        <v>0</v>
      </c>
    </row>
    <row r="29" spans="1:5" ht="12.75">
      <c r="A29" s="467"/>
      <c r="B29" s="468" t="s">
        <v>619</v>
      </c>
      <c r="C29" s="469">
        <v>949981524</v>
      </c>
      <c r="D29" s="469">
        <v>1282582143</v>
      </c>
      <c r="E29" s="460">
        <f>+D29/C29*100</f>
        <v>135.01127238765122</v>
      </c>
    </row>
    <row r="30" spans="1:5" ht="12.75">
      <c r="A30" s="467"/>
      <c r="B30" s="468" t="s">
        <v>620</v>
      </c>
      <c r="C30" s="469">
        <v>205607328</v>
      </c>
      <c r="D30" s="469">
        <v>1682590303</v>
      </c>
      <c r="E30" s="460">
        <f>+D30/C30*100</f>
        <v>818.3513298708887</v>
      </c>
    </row>
    <row r="31" spans="1:5" ht="12.75">
      <c r="A31" s="467"/>
      <c r="B31" s="468" t="s">
        <v>621</v>
      </c>
      <c r="C31" s="469">
        <v>0</v>
      </c>
      <c r="D31" s="469">
        <v>0</v>
      </c>
      <c r="E31" s="469">
        <v>0</v>
      </c>
    </row>
    <row r="32" spans="1:5" ht="12.75">
      <c r="A32" s="467"/>
      <c r="B32" s="468" t="s">
        <v>622</v>
      </c>
      <c r="C32" s="469">
        <v>321630192</v>
      </c>
      <c r="D32" s="469">
        <v>231470602</v>
      </c>
      <c r="E32" s="460">
        <f>+D32/C32*100</f>
        <v>71.96793328407428</v>
      </c>
    </row>
    <row r="33" spans="1:5" ht="12.75">
      <c r="A33" s="467"/>
      <c r="B33" s="468" t="s">
        <v>616</v>
      </c>
      <c r="C33" s="469">
        <v>62002395</v>
      </c>
      <c r="D33" s="469">
        <v>131799618</v>
      </c>
      <c r="E33" s="460">
        <f>+D33/C33*100</f>
        <v>212.5718175886593</v>
      </c>
    </row>
    <row r="34" spans="1:5" ht="12.75">
      <c r="A34" s="461">
        <v>3200</v>
      </c>
      <c r="B34" s="462" t="s">
        <v>623</v>
      </c>
      <c r="C34" s="463">
        <f>SUM(C35+C38+C41+C42+C48+C49)</f>
        <v>9477982420</v>
      </c>
      <c r="D34" s="463">
        <f>+D41+D42-1</f>
        <v>11404821987</v>
      </c>
      <c r="E34" s="460">
        <f>+D34/C34*100</f>
        <v>120.32963854136374</v>
      </c>
    </row>
    <row r="35" spans="1:5" ht="12.75">
      <c r="A35" s="467">
        <v>3210</v>
      </c>
      <c r="B35" s="473" t="s">
        <v>624</v>
      </c>
      <c r="C35" s="474">
        <v>0</v>
      </c>
      <c r="D35" s="474">
        <v>0</v>
      </c>
      <c r="E35" s="469">
        <v>0</v>
      </c>
    </row>
    <row r="36" spans="1:5" ht="12.75">
      <c r="A36" s="475">
        <v>3211</v>
      </c>
      <c r="B36" s="468" t="s">
        <v>625</v>
      </c>
      <c r="C36" s="469">
        <v>0</v>
      </c>
      <c r="D36" s="469">
        <v>0</v>
      </c>
      <c r="E36" s="469">
        <v>0</v>
      </c>
    </row>
    <row r="37" spans="1:5" ht="12.75">
      <c r="A37" s="475">
        <v>3212</v>
      </c>
      <c r="B37" s="468" t="s">
        <v>626</v>
      </c>
      <c r="C37" s="469">
        <v>0</v>
      </c>
      <c r="D37" s="469">
        <v>0</v>
      </c>
      <c r="E37" s="469">
        <v>0</v>
      </c>
    </row>
    <row r="38" spans="1:5" ht="12.75">
      <c r="A38" s="467">
        <v>3220</v>
      </c>
      <c r="B38" s="473" t="s">
        <v>627</v>
      </c>
      <c r="C38" s="474">
        <v>0</v>
      </c>
      <c r="D38" s="474">
        <v>0</v>
      </c>
      <c r="E38" s="469">
        <v>0</v>
      </c>
    </row>
    <row r="39" spans="1:5" ht="12.75">
      <c r="A39" s="475">
        <v>3221</v>
      </c>
      <c r="B39" s="468" t="s">
        <v>625</v>
      </c>
      <c r="C39" s="469">
        <v>0</v>
      </c>
      <c r="D39" s="469">
        <v>0</v>
      </c>
      <c r="E39" s="469">
        <v>0</v>
      </c>
    </row>
    <row r="40" spans="1:5" ht="12.75">
      <c r="A40" s="475">
        <v>3222</v>
      </c>
      <c r="B40" s="468" t="s">
        <v>626</v>
      </c>
      <c r="C40" s="469">
        <v>0</v>
      </c>
      <c r="D40" s="469">
        <v>0</v>
      </c>
      <c r="E40" s="469">
        <v>0</v>
      </c>
    </row>
    <row r="41" spans="1:5" ht="12.75">
      <c r="A41" s="467">
        <v>3230</v>
      </c>
      <c r="B41" s="473" t="s">
        <v>628</v>
      </c>
      <c r="C41" s="476">
        <v>333711102</v>
      </c>
      <c r="D41" s="476">
        <v>574103541</v>
      </c>
      <c r="E41" s="460">
        <f>+D41/C41*100</f>
        <v>172.03609276385416</v>
      </c>
    </row>
    <row r="42" spans="1:5" ht="12.75">
      <c r="A42" s="467">
        <v>3250</v>
      </c>
      <c r="B42" s="473" t="s">
        <v>629</v>
      </c>
      <c r="C42" s="476">
        <f>SUM(C43:C47)</f>
        <v>9144271318</v>
      </c>
      <c r="D42" s="476">
        <f>SUM(D43:D47)</f>
        <v>10830718447</v>
      </c>
      <c r="E42" s="460">
        <f>+D42/C42*100</f>
        <v>118.4426628470693</v>
      </c>
    </row>
    <row r="43" spans="1:5" ht="12.75">
      <c r="A43" s="475">
        <v>3251</v>
      </c>
      <c r="B43" s="468" t="s">
        <v>630</v>
      </c>
      <c r="C43" s="469">
        <v>0</v>
      </c>
      <c r="D43" s="469">
        <v>0</v>
      </c>
      <c r="E43" s="469">
        <v>0</v>
      </c>
    </row>
    <row r="44" spans="1:5" ht="12.75">
      <c r="A44" s="475">
        <v>3252</v>
      </c>
      <c r="B44" s="468" t="s">
        <v>631</v>
      </c>
      <c r="C44" s="469">
        <v>6488128161</v>
      </c>
      <c r="D44" s="469">
        <f>+C44</f>
        <v>6488128161</v>
      </c>
      <c r="E44" s="460">
        <f>+D44/C44*100</f>
        <v>100</v>
      </c>
    </row>
    <row r="45" spans="1:5" ht="12.75">
      <c r="A45" s="475">
        <v>3253</v>
      </c>
      <c r="B45" s="468" t="s">
        <v>632</v>
      </c>
      <c r="C45" s="469">
        <v>0</v>
      </c>
      <c r="D45" s="469">
        <f>+C45</f>
        <v>0</v>
      </c>
      <c r="E45" s="469">
        <v>0</v>
      </c>
    </row>
    <row r="46" spans="1:5" ht="12.75">
      <c r="A46" s="475">
        <v>3254</v>
      </c>
      <c r="B46" s="468" t="s">
        <v>633</v>
      </c>
      <c r="C46" s="469">
        <v>2656143157</v>
      </c>
      <c r="D46" s="469">
        <v>4342590286</v>
      </c>
      <c r="E46" s="460">
        <f>+D46/C46*100</f>
        <v>163.49232813583626</v>
      </c>
    </row>
    <row r="47" spans="1:5" ht="12.75">
      <c r="A47" s="475">
        <v>3255</v>
      </c>
      <c r="B47" s="468" t="s">
        <v>634</v>
      </c>
      <c r="C47" s="469">
        <v>0</v>
      </c>
      <c r="D47" s="469">
        <f>+C47</f>
        <v>0</v>
      </c>
      <c r="E47" s="469">
        <v>100</v>
      </c>
    </row>
    <row r="48" spans="1:5" ht="12.75">
      <c r="A48" s="467">
        <v>3260</v>
      </c>
      <c r="B48" s="473" t="s">
        <v>635</v>
      </c>
      <c r="C48" s="474">
        <v>0</v>
      </c>
      <c r="D48" s="474">
        <v>0</v>
      </c>
      <c r="E48" s="469">
        <v>0</v>
      </c>
    </row>
    <row r="49" spans="1:5" ht="12.75">
      <c r="A49" s="461">
        <v>3500</v>
      </c>
      <c r="B49" s="462" t="s">
        <v>636</v>
      </c>
      <c r="C49" s="463">
        <v>0</v>
      </c>
      <c r="D49" s="463">
        <v>0</v>
      </c>
      <c r="E49" s="469">
        <v>0</v>
      </c>
    </row>
    <row r="50" spans="1:5" ht="12.75">
      <c r="A50" s="457">
        <v>4000</v>
      </c>
      <c r="B50" s="477" t="s">
        <v>637</v>
      </c>
      <c r="C50" s="459">
        <f>SUM(C51:C54)</f>
        <v>3375302000</v>
      </c>
      <c r="D50" s="459">
        <f>SUM(D51:D54)</f>
        <v>2261969817</v>
      </c>
      <c r="E50" s="460">
        <f>+D50/C50*100</f>
        <v>67.0153312799862</v>
      </c>
    </row>
    <row r="51" spans="1:5" ht="12.75">
      <c r="A51" s="478">
        <v>4100</v>
      </c>
      <c r="B51" s="479" t="s">
        <v>638</v>
      </c>
      <c r="C51" s="480">
        <f>3280302000-1540000000</f>
        <v>1740302000</v>
      </c>
      <c r="D51" s="480">
        <f>1605578280+17969000</f>
        <v>1623547280</v>
      </c>
      <c r="E51" s="460">
        <f>+D51/C51*100</f>
        <v>93.2911230349675</v>
      </c>
    </row>
    <row r="52" spans="1:5" ht="12.75">
      <c r="A52" s="478">
        <v>4200</v>
      </c>
      <c r="B52" s="479" t="s">
        <v>639</v>
      </c>
      <c r="C52" s="481">
        <v>0</v>
      </c>
      <c r="D52" s="481">
        <v>0</v>
      </c>
      <c r="E52" s="469">
        <v>0</v>
      </c>
    </row>
    <row r="53" spans="1:6" ht="12.75">
      <c r="A53" s="478">
        <v>4300</v>
      </c>
      <c r="B53" s="479" t="s">
        <v>640</v>
      </c>
      <c r="C53" s="481">
        <f>1540000000+95000000</f>
        <v>1635000000</v>
      </c>
      <c r="D53" s="481">
        <v>638422537</v>
      </c>
      <c r="E53" s="469">
        <f>+D53/C53*100</f>
        <v>39.047249969418964</v>
      </c>
      <c r="F53" s="163" t="s">
        <v>445</v>
      </c>
    </row>
    <row r="54" spans="1:5" ht="12.75">
      <c r="A54" s="478">
        <v>41001</v>
      </c>
      <c r="B54" s="479" t="s">
        <v>641</v>
      </c>
      <c r="C54" s="481">
        <v>0</v>
      </c>
      <c r="D54" s="481">
        <v>0</v>
      </c>
      <c r="E54" s="469">
        <v>0</v>
      </c>
    </row>
    <row r="55" spans="1:5" ht="12.75">
      <c r="A55" s="457"/>
      <c r="B55" s="457" t="s">
        <v>642</v>
      </c>
      <c r="C55" s="459">
        <f>SUM(C7+C50)</f>
        <v>33867786760</v>
      </c>
      <c r="D55" s="459">
        <f>SUM(D7+D50)</f>
        <v>32764622380</v>
      </c>
      <c r="E55" s="460">
        <f>+D55/C55*100</f>
        <v>96.74273259183589</v>
      </c>
    </row>
    <row r="56" spans="1:4" ht="12.75">
      <c r="A56" s="453"/>
      <c r="B56" s="453"/>
      <c r="C56" s="482" t="s">
        <v>445</v>
      </c>
      <c r="D56" s="453"/>
    </row>
    <row r="57" spans="1:4" ht="12.75">
      <c r="A57" s="453"/>
      <c r="B57" s="483" t="s">
        <v>445</v>
      </c>
      <c r="C57" s="453"/>
      <c r="D57" s="453"/>
    </row>
    <row r="58" spans="1:4" ht="12.75">
      <c r="A58" s="453"/>
      <c r="B58" s="453"/>
      <c r="C58" s="453"/>
      <c r="D58" s="453"/>
    </row>
    <row r="59" spans="1:4" ht="12.75">
      <c r="A59" s="453"/>
      <c r="B59" s="453"/>
      <c r="C59" s="453"/>
      <c r="D59" s="453"/>
    </row>
    <row r="60" spans="1:4" ht="12.75">
      <c r="A60" s="453"/>
      <c r="B60" s="453"/>
      <c r="C60" s="453"/>
      <c r="D60" s="453"/>
    </row>
    <row r="61" spans="1:4" ht="12.75">
      <c r="A61" s="453"/>
      <c r="B61" s="453"/>
      <c r="C61" s="453"/>
      <c r="D61" s="453"/>
    </row>
    <row r="62" spans="1:4" ht="12.75">
      <c r="A62" s="453"/>
      <c r="B62" s="453"/>
      <c r="C62" s="453"/>
      <c r="D62" s="453"/>
    </row>
    <row r="63" spans="1:4" ht="12.75">
      <c r="A63" s="453"/>
      <c r="B63" s="453"/>
      <c r="C63" s="453"/>
      <c r="D63" s="453"/>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65"/>
  <sheetViews>
    <sheetView zoomScaleSheetLayoutView="75" zoomScalePageLayoutView="0" workbookViewId="0" topLeftCell="A43">
      <selection activeCell="B56" sqref="B56"/>
    </sheetView>
  </sheetViews>
  <sheetFormatPr defaultColWidth="11.421875" defaultRowHeight="12.75"/>
  <cols>
    <col min="1" max="1" width="41.421875" style="447" customWidth="1"/>
    <col min="2" max="2" width="21.140625" style="447" customWidth="1"/>
    <col min="3" max="3" width="17.8515625" style="447" customWidth="1"/>
    <col min="4" max="4" width="16.7109375" style="447" customWidth="1"/>
    <col min="5" max="6" width="18.57421875" style="447" customWidth="1"/>
    <col min="7" max="7" width="18.140625" style="447" customWidth="1"/>
    <col min="8" max="8" width="16.8515625" style="447" bestFit="1" customWidth="1"/>
    <col min="9" max="9" width="11.421875" style="447" customWidth="1"/>
    <col min="10" max="10" width="15.28125" style="447" bestFit="1" customWidth="1"/>
    <col min="11" max="16384" width="11.421875" style="447" customWidth="1"/>
  </cols>
  <sheetData>
    <row r="1" spans="1:7" ht="16.5" customHeight="1">
      <c r="A1" s="484"/>
      <c r="B1" s="484"/>
      <c r="C1" s="484"/>
      <c r="D1" s="484"/>
      <c r="E1" s="484"/>
      <c r="F1" s="484"/>
      <c r="G1" s="484"/>
    </row>
    <row r="2" spans="1:7" ht="12.75">
      <c r="A2" s="484"/>
      <c r="B2" s="484"/>
      <c r="C2" s="484"/>
      <c r="D2" s="484"/>
      <c r="E2" s="484"/>
      <c r="F2" s="484"/>
      <c r="G2" s="484"/>
    </row>
    <row r="3" spans="1:7" ht="12.75">
      <c r="A3" s="485" t="s">
        <v>643</v>
      </c>
      <c r="B3" s="485"/>
      <c r="C3" s="485"/>
      <c r="D3" s="485"/>
      <c r="E3" s="485"/>
      <c r="F3" s="485"/>
      <c r="G3" s="485"/>
    </row>
    <row r="4" spans="1:7" ht="12.75">
      <c r="A4" s="486" t="s">
        <v>644</v>
      </c>
      <c r="B4" s="486"/>
      <c r="C4" s="486"/>
      <c r="D4" s="486"/>
      <c r="E4" s="486"/>
      <c r="F4" s="486"/>
      <c r="G4" s="486"/>
    </row>
    <row r="5" spans="1:7" ht="12.75">
      <c r="A5" s="486" t="s">
        <v>556</v>
      </c>
      <c r="B5" s="486"/>
      <c r="C5" s="486"/>
      <c r="D5" s="486"/>
      <c r="E5" s="486"/>
      <c r="F5" s="486"/>
      <c r="G5" s="486"/>
    </row>
    <row r="6" spans="1:7" ht="17.25" customHeight="1" thickBot="1">
      <c r="A6" s="487" t="s">
        <v>645</v>
      </c>
      <c r="B6" s="488"/>
      <c r="C6" s="488"/>
      <c r="D6" s="488"/>
      <c r="E6" s="488"/>
      <c r="F6" s="488"/>
      <c r="G6" s="488"/>
    </row>
    <row r="7" spans="1:8" ht="33" customHeight="1">
      <c r="A7" s="641" t="s">
        <v>646</v>
      </c>
      <c r="B7" s="643" t="s">
        <v>647</v>
      </c>
      <c r="C7" s="644"/>
      <c r="D7" s="643" t="s">
        <v>648</v>
      </c>
      <c r="E7" s="644"/>
      <c r="F7" s="643" t="s">
        <v>649</v>
      </c>
      <c r="G7" s="645"/>
      <c r="H7" s="489" t="s">
        <v>650</v>
      </c>
    </row>
    <row r="8" spans="1:8" ht="21.75" customHeight="1">
      <c r="A8" s="642"/>
      <c r="B8" s="490" t="s">
        <v>651</v>
      </c>
      <c r="C8" s="490" t="s">
        <v>652</v>
      </c>
      <c r="D8" s="490" t="s">
        <v>651</v>
      </c>
      <c r="E8" s="490" t="s">
        <v>652</v>
      </c>
      <c r="F8" s="490" t="s">
        <v>651</v>
      </c>
      <c r="G8" s="491" t="s">
        <v>652</v>
      </c>
      <c r="H8" s="492"/>
    </row>
    <row r="9" spans="1:9" ht="12.75">
      <c r="A9" s="493" t="s">
        <v>653</v>
      </c>
      <c r="B9" s="494">
        <v>2018272393</v>
      </c>
      <c r="C9" s="494">
        <v>1904119012</v>
      </c>
      <c r="D9" s="494">
        <v>1803062000</v>
      </c>
      <c r="E9" s="494">
        <v>1803062000</v>
      </c>
      <c r="F9" s="494">
        <f>+B9+D9</f>
        <v>3821334393</v>
      </c>
      <c r="G9" s="495">
        <f>+C9+E9</f>
        <v>3707181012</v>
      </c>
      <c r="H9" s="496">
        <f>+G9/F9*100</f>
        <v>97.01273510088234</v>
      </c>
      <c r="I9" s="446" t="s">
        <v>445</v>
      </c>
    </row>
    <row r="10" spans="1:10" ht="12.75">
      <c r="A10" s="493" t="s">
        <v>654</v>
      </c>
      <c r="B10" s="494">
        <f aca="true" t="shared" si="0" ref="B10:G10">+B11+B12+B13</f>
        <v>1406368695</v>
      </c>
      <c r="C10" s="494">
        <f t="shared" si="0"/>
        <v>1320007988</v>
      </c>
      <c r="D10" s="494">
        <f t="shared" si="0"/>
        <v>22374000</v>
      </c>
      <c r="E10" s="494">
        <f t="shared" si="0"/>
        <v>22374000</v>
      </c>
      <c r="F10" s="494">
        <f t="shared" si="0"/>
        <v>1428742695</v>
      </c>
      <c r="G10" s="495">
        <f t="shared" si="0"/>
        <v>1342381988</v>
      </c>
      <c r="H10" s="496">
        <f aca="true" t="shared" si="1" ref="H10:H53">+G10/F10*100</f>
        <v>93.9554751669264</v>
      </c>
      <c r="J10" s="497" t="s">
        <v>445</v>
      </c>
    </row>
    <row r="11" spans="1:8" ht="12.75">
      <c r="A11" s="498" t="s">
        <v>655</v>
      </c>
      <c r="B11" s="499">
        <v>286384974</v>
      </c>
      <c r="C11" s="499">
        <v>277392923</v>
      </c>
      <c r="D11" s="499">
        <v>0</v>
      </c>
      <c r="E11" s="499"/>
      <c r="F11" s="499">
        <f aca="true" t="shared" si="2" ref="F11:G13">+B11+D11</f>
        <v>286384974</v>
      </c>
      <c r="G11" s="500">
        <f t="shared" si="2"/>
        <v>277392923</v>
      </c>
      <c r="H11" s="496">
        <f t="shared" si="1"/>
        <v>96.86015265591413</v>
      </c>
    </row>
    <row r="12" spans="1:8" ht="12.75">
      <c r="A12" s="498" t="s">
        <v>656</v>
      </c>
      <c r="B12" s="499">
        <v>1063442721</v>
      </c>
      <c r="C12" s="499">
        <v>993472489</v>
      </c>
      <c r="D12" s="499">
        <v>21140000</v>
      </c>
      <c r="E12" s="499">
        <v>21140000</v>
      </c>
      <c r="F12" s="499">
        <f t="shared" si="2"/>
        <v>1084582721</v>
      </c>
      <c r="G12" s="500">
        <f t="shared" si="2"/>
        <v>1014612489</v>
      </c>
      <c r="H12" s="496">
        <f t="shared" si="1"/>
        <v>93.54864957322144</v>
      </c>
    </row>
    <row r="13" spans="1:8" ht="12.75">
      <c r="A13" s="498" t="s">
        <v>657</v>
      </c>
      <c r="B13" s="499">
        <v>56541000</v>
      </c>
      <c r="C13" s="499">
        <v>49142576</v>
      </c>
      <c r="D13" s="499">
        <v>1234000</v>
      </c>
      <c r="E13" s="499">
        <f>+D13</f>
        <v>1234000</v>
      </c>
      <c r="F13" s="499">
        <f t="shared" si="2"/>
        <v>57775000</v>
      </c>
      <c r="G13" s="500">
        <f t="shared" si="2"/>
        <v>50376576</v>
      </c>
      <c r="H13" s="496">
        <f t="shared" si="1"/>
        <v>87.19441973171787</v>
      </c>
    </row>
    <row r="14" spans="1:8" ht="12.75">
      <c r="A14" s="493" t="s">
        <v>658</v>
      </c>
      <c r="B14" s="494">
        <f aca="true" t="shared" si="3" ref="B14:G14">+B15</f>
        <v>1452433655</v>
      </c>
      <c r="C14" s="494">
        <f t="shared" si="3"/>
        <v>1449668240</v>
      </c>
      <c r="D14" s="494">
        <f t="shared" si="3"/>
        <v>9866000</v>
      </c>
      <c r="E14" s="494">
        <f t="shared" si="3"/>
        <v>9866000</v>
      </c>
      <c r="F14" s="494">
        <f t="shared" si="3"/>
        <v>1462299655</v>
      </c>
      <c r="G14" s="495">
        <f t="shared" si="3"/>
        <v>1459534240</v>
      </c>
      <c r="H14" s="496">
        <f t="shared" si="1"/>
        <v>99.81088588850142</v>
      </c>
    </row>
    <row r="15" spans="1:8" ht="12.75">
      <c r="A15" s="493" t="s">
        <v>659</v>
      </c>
      <c r="B15" s="494">
        <f aca="true" t="shared" si="4" ref="B15:G15">+B16+B17+B18</f>
        <v>1452433655</v>
      </c>
      <c r="C15" s="494">
        <f t="shared" si="4"/>
        <v>1449668240</v>
      </c>
      <c r="D15" s="494">
        <f t="shared" si="4"/>
        <v>9866000</v>
      </c>
      <c r="E15" s="494">
        <f t="shared" si="4"/>
        <v>9866000</v>
      </c>
      <c r="F15" s="494">
        <f t="shared" si="4"/>
        <v>1462299655</v>
      </c>
      <c r="G15" s="495">
        <f t="shared" si="4"/>
        <v>1459534240</v>
      </c>
      <c r="H15" s="496">
        <f t="shared" si="1"/>
        <v>99.81088588850142</v>
      </c>
    </row>
    <row r="16" spans="1:8" ht="12.75">
      <c r="A16" s="498" t="s">
        <v>660</v>
      </c>
      <c r="B16" s="499">
        <v>15534000</v>
      </c>
      <c r="C16" s="499">
        <v>15440435</v>
      </c>
      <c r="D16" s="499">
        <v>9866000</v>
      </c>
      <c r="E16" s="499">
        <f>+D16</f>
        <v>9866000</v>
      </c>
      <c r="F16" s="499">
        <f aca="true" t="shared" si="5" ref="F16:G18">+B16+D16</f>
        <v>25400000</v>
      </c>
      <c r="G16" s="500">
        <f t="shared" si="5"/>
        <v>25306435</v>
      </c>
      <c r="H16" s="496">
        <f t="shared" si="1"/>
        <v>99.63163385826772</v>
      </c>
    </row>
    <row r="17" spans="1:8" ht="12.75">
      <c r="A17" s="498" t="s">
        <v>661</v>
      </c>
      <c r="B17" s="499">
        <v>1410399655</v>
      </c>
      <c r="C17" s="499">
        <v>1408202648</v>
      </c>
      <c r="D17" s="499"/>
      <c r="E17" s="499"/>
      <c r="F17" s="499">
        <f t="shared" si="5"/>
        <v>1410399655</v>
      </c>
      <c r="G17" s="500">
        <f t="shared" si="5"/>
        <v>1408202648</v>
      </c>
      <c r="H17" s="496">
        <f t="shared" si="1"/>
        <v>99.844228053218</v>
      </c>
    </row>
    <row r="18" spans="1:8" ht="12.75">
      <c r="A18" s="498" t="s">
        <v>603</v>
      </c>
      <c r="B18" s="499">
        <v>26500000</v>
      </c>
      <c r="C18" s="499">
        <v>26025157</v>
      </c>
      <c r="D18" s="499"/>
      <c r="E18" s="499"/>
      <c r="F18" s="499">
        <f t="shared" si="5"/>
        <v>26500000</v>
      </c>
      <c r="G18" s="500">
        <f t="shared" si="5"/>
        <v>26025157</v>
      </c>
      <c r="H18" s="496">
        <f t="shared" si="1"/>
        <v>98.20813962264151</v>
      </c>
    </row>
    <row r="19" spans="1:8" ht="12.75">
      <c r="A19" s="493" t="s">
        <v>662</v>
      </c>
      <c r="B19" s="494">
        <f aca="true" t="shared" si="6" ref="B19:G19">+B20+B21</f>
        <v>0</v>
      </c>
      <c r="C19" s="494">
        <f t="shared" si="6"/>
        <v>0</v>
      </c>
      <c r="D19" s="494">
        <f t="shared" si="6"/>
        <v>0</v>
      </c>
      <c r="E19" s="494">
        <f t="shared" si="6"/>
        <v>0</v>
      </c>
      <c r="F19" s="494">
        <f t="shared" si="6"/>
        <v>0</v>
      </c>
      <c r="G19" s="495">
        <f t="shared" si="6"/>
        <v>0</v>
      </c>
      <c r="H19" s="496">
        <v>0</v>
      </c>
    </row>
    <row r="20" spans="1:8" ht="12.75">
      <c r="A20" s="498" t="s">
        <v>663</v>
      </c>
      <c r="B20" s="499"/>
      <c r="C20" s="499"/>
      <c r="D20" s="499"/>
      <c r="E20" s="499"/>
      <c r="F20" s="499">
        <f>+B20+D20</f>
        <v>0</v>
      </c>
      <c r="G20" s="500">
        <f>+C20+E20</f>
        <v>0</v>
      </c>
      <c r="H20" s="496">
        <v>0</v>
      </c>
    </row>
    <row r="21" spans="1:8" ht="12.75">
      <c r="A21" s="498" t="s">
        <v>664</v>
      </c>
      <c r="B21" s="499"/>
      <c r="C21" s="499"/>
      <c r="D21" s="499"/>
      <c r="E21" s="499"/>
      <c r="F21" s="499">
        <f>+B21+D21</f>
        <v>0</v>
      </c>
      <c r="G21" s="500">
        <f>+C21+E21</f>
        <v>0</v>
      </c>
      <c r="H21" s="496">
        <v>0</v>
      </c>
    </row>
    <row r="22" spans="1:8" ht="12.75">
      <c r="A22" s="493" t="s">
        <v>665</v>
      </c>
      <c r="B22" s="494">
        <v>0</v>
      </c>
      <c r="C22" s="494">
        <v>0</v>
      </c>
      <c r="D22" s="494">
        <v>0</v>
      </c>
      <c r="E22" s="494">
        <v>0</v>
      </c>
      <c r="F22" s="494">
        <v>0</v>
      </c>
      <c r="G22" s="495">
        <v>0</v>
      </c>
      <c r="H22" s="496">
        <v>0</v>
      </c>
    </row>
    <row r="23" spans="1:8" ht="12.75">
      <c r="A23" s="493" t="s">
        <v>666</v>
      </c>
      <c r="B23" s="494">
        <f aca="true" t="shared" si="7" ref="B23:G23">+B24</f>
        <v>310000000</v>
      </c>
      <c r="C23" s="494">
        <f t="shared" si="7"/>
        <v>126638713</v>
      </c>
      <c r="D23" s="494">
        <f t="shared" si="7"/>
        <v>0</v>
      </c>
      <c r="E23" s="494">
        <f t="shared" si="7"/>
        <v>0</v>
      </c>
      <c r="F23" s="494">
        <f t="shared" si="7"/>
        <v>310000000</v>
      </c>
      <c r="G23" s="495">
        <f t="shared" si="7"/>
        <v>126638713</v>
      </c>
      <c r="H23" s="496">
        <f t="shared" si="1"/>
        <v>40.851197741935486</v>
      </c>
    </row>
    <row r="24" spans="1:8" ht="12.75">
      <c r="A24" s="498" t="s">
        <v>667</v>
      </c>
      <c r="B24" s="499">
        <v>310000000</v>
      </c>
      <c r="C24" s="499">
        <v>126638713</v>
      </c>
      <c r="D24" s="499"/>
      <c r="E24" s="499"/>
      <c r="F24" s="499">
        <f>+B24+D24</f>
        <v>310000000</v>
      </c>
      <c r="G24" s="500">
        <f>+C24+E24</f>
        <v>126638713</v>
      </c>
      <c r="H24" s="496">
        <f t="shared" si="1"/>
        <v>40.851197741935486</v>
      </c>
    </row>
    <row r="25" spans="1:8" ht="12.75">
      <c r="A25" s="493" t="s">
        <v>668</v>
      </c>
      <c r="B25" s="494">
        <v>0</v>
      </c>
      <c r="C25" s="494">
        <v>0</v>
      </c>
      <c r="D25" s="494">
        <v>0</v>
      </c>
      <c r="E25" s="494">
        <v>0</v>
      </c>
      <c r="F25" s="494">
        <v>0</v>
      </c>
      <c r="G25" s="495">
        <v>0</v>
      </c>
      <c r="H25" s="496">
        <v>0</v>
      </c>
    </row>
    <row r="26" spans="1:10" ht="12.75">
      <c r="A26" s="493" t="s">
        <v>669</v>
      </c>
      <c r="B26" s="494">
        <f>+B9+B10+B14+B19+B22+B23+B25</f>
        <v>5187074743</v>
      </c>
      <c r="C26" s="494">
        <f>+C9+C10+C14+C19+C22+C23+C25</f>
        <v>4800433953</v>
      </c>
      <c r="D26" s="494">
        <f>+D9+D10+D14+D19+D22+D23+D25</f>
        <v>1835302000</v>
      </c>
      <c r="E26" s="494">
        <f>+E9+E10+E14+E19+E22+E23+E25</f>
        <v>1835302000</v>
      </c>
      <c r="F26" s="494">
        <f>+F9+F10+F14+F19+F22+F23+F25</f>
        <v>7022376743</v>
      </c>
      <c r="G26" s="500">
        <f aca="true" t="shared" si="8" ref="G26:G51">+C26+E26</f>
        <v>6635735953</v>
      </c>
      <c r="H26" s="496">
        <f t="shared" si="1"/>
        <v>94.49416053638238</v>
      </c>
      <c r="I26" s="497" t="s">
        <v>445</v>
      </c>
      <c r="J26" s="497" t="s">
        <v>445</v>
      </c>
    </row>
    <row r="27" spans="1:8" ht="12.75">
      <c r="A27" s="501" t="s">
        <v>445</v>
      </c>
      <c r="B27" s="502" t="s">
        <v>445</v>
      </c>
      <c r="C27" s="502" t="s">
        <v>445</v>
      </c>
      <c r="D27" s="502" t="s">
        <v>445</v>
      </c>
      <c r="E27" s="502" t="s">
        <v>445</v>
      </c>
      <c r="F27" s="494"/>
      <c r="G27" s="500" t="s">
        <v>445</v>
      </c>
      <c r="H27" s="503" t="s">
        <v>445</v>
      </c>
    </row>
    <row r="28" spans="1:9" ht="12.75">
      <c r="A28" s="493" t="s">
        <v>670</v>
      </c>
      <c r="B28" s="494">
        <f>+B29+B33+B39+B42+B45+B47</f>
        <v>25305410017</v>
      </c>
      <c r="C28" s="494">
        <f>+C29+C33+C39+C42+C45+C47</f>
        <v>24078568097</v>
      </c>
      <c r="D28" s="494">
        <f>+D29+D33+D39+D42+D45+D47</f>
        <v>1540000000</v>
      </c>
      <c r="E28" s="494">
        <f>+E29+E33+E39+E42+E45+E47</f>
        <v>1387725310</v>
      </c>
      <c r="F28" s="494">
        <f aca="true" t="shared" si="9" ref="F28:F51">+B28+D28</f>
        <v>26845410017</v>
      </c>
      <c r="G28" s="495">
        <f t="shared" si="8"/>
        <v>25466293407</v>
      </c>
      <c r="H28" s="496">
        <f t="shared" si="1"/>
        <v>94.86274707994153</v>
      </c>
      <c r="I28" s="497" t="s">
        <v>445</v>
      </c>
    </row>
    <row r="29" spans="1:8" ht="39" customHeight="1" thickBot="1">
      <c r="A29" s="504" t="s">
        <v>671</v>
      </c>
      <c r="B29" s="505">
        <f>SUM(B30:B32)</f>
        <v>2207306890</v>
      </c>
      <c r="C29" s="505">
        <f>SUM(C30:C32)</f>
        <v>2116679774</v>
      </c>
      <c r="D29" s="505">
        <f>SUM(D30:D32)</f>
        <v>0</v>
      </c>
      <c r="E29" s="505">
        <f>SUM(E30:E32)</f>
        <v>0</v>
      </c>
      <c r="F29" s="494">
        <f t="shared" si="9"/>
        <v>2207306890</v>
      </c>
      <c r="G29" s="495">
        <f t="shared" si="8"/>
        <v>2116679774</v>
      </c>
      <c r="H29" s="496">
        <f t="shared" si="1"/>
        <v>95.89422221211841</v>
      </c>
    </row>
    <row r="30" spans="1:8" ht="24.75" customHeight="1">
      <c r="A30" s="506" t="s">
        <v>672</v>
      </c>
      <c r="B30" s="507">
        <v>1661768090</v>
      </c>
      <c r="C30" s="507">
        <v>1587979039</v>
      </c>
      <c r="D30" s="507">
        <v>0</v>
      </c>
      <c r="E30" s="507">
        <v>0</v>
      </c>
      <c r="F30" s="499">
        <f t="shared" si="9"/>
        <v>1661768090</v>
      </c>
      <c r="G30" s="500">
        <f t="shared" si="8"/>
        <v>1587979039</v>
      </c>
      <c r="H30" s="496">
        <f t="shared" si="1"/>
        <v>95.55960597365906</v>
      </c>
    </row>
    <row r="31" spans="1:8" ht="21">
      <c r="A31" s="506" t="s">
        <v>673</v>
      </c>
      <c r="B31" s="507">
        <v>320538800</v>
      </c>
      <c r="C31" s="507">
        <v>303700762</v>
      </c>
      <c r="D31" s="507">
        <v>0</v>
      </c>
      <c r="E31" s="507">
        <v>0</v>
      </c>
      <c r="F31" s="499">
        <f t="shared" si="9"/>
        <v>320538800</v>
      </c>
      <c r="G31" s="500">
        <f t="shared" si="8"/>
        <v>303700762</v>
      </c>
      <c r="H31" s="496">
        <f t="shared" si="1"/>
        <v>94.74695793457767</v>
      </c>
    </row>
    <row r="32" spans="1:8" ht="21">
      <c r="A32" s="506" t="s">
        <v>674</v>
      </c>
      <c r="B32" s="507">
        <v>225000000</v>
      </c>
      <c r="C32" s="508">
        <v>224999973</v>
      </c>
      <c r="D32" s="507">
        <v>0</v>
      </c>
      <c r="E32" s="507">
        <v>0</v>
      </c>
      <c r="F32" s="499">
        <f t="shared" si="9"/>
        <v>225000000</v>
      </c>
      <c r="G32" s="500">
        <f t="shared" si="8"/>
        <v>224999973</v>
      </c>
      <c r="H32" s="496">
        <f t="shared" si="1"/>
        <v>99.999988</v>
      </c>
    </row>
    <row r="33" spans="1:8" ht="24.75" thickBot="1">
      <c r="A33" s="504" t="s">
        <v>675</v>
      </c>
      <c r="B33" s="505">
        <f>SUM(B34:B38)</f>
        <v>8250174063</v>
      </c>
      <c r="C33" s="505">
        <f>SUM(C34:C38)</f>
        <v>7986917186</v>
      </c>
      <c r="D33" s="505">
        <f>SUM(D34:D38)</f>
        <v>1540000000</v>
      </c>
      <c r="E33" s="505">
        <f>SUM(E34:E38)</f>
        <v>1387725310</v>
      </c>
      <c r="F33" s="499">
        <f t="shared" si="9"/>
        <v>9790174063</v>
      </c>
      <c r="G33" s="500">
        <f t="shared" si="8"/>
        <v>9374642496</v>
      </c>
      <c r="H33" s="496">
        <f t="shared" si="1"/>
        <v>95.75562636245235</v>
      </c>
    </row>
    <row r="34" spans="1:8" ht="21">
      <c r="A34" s="506" t="s">
        <v>676</v>
      </c>
      <c r="B34" s="507">
        <v>2811698804</v>
      </c>
      <c r="C34" s="507">
        <v>2693119473</v>
      </c>
      <c r="D34" s="507">
        <v>0</v>
      </c>
      <c r="E34" s="507">
        <v>0</v>
      </c>
      <c r="F34" s="499">
        <f t="shared" si="9"/>
        <v>2811698804</v>
      </c>
      <c r="G34" s="500">
        <f t="shared" si="8"/>
        <v>2693119473</v>
      </c>
      <c r="H34" s="496">
        <f t="shared" si="1"/>
        <v>95.78264461217162</v>
      </c>
    </row>
    <row r="35" spans="1:8" ht="27" customHeight="1">
      <c r="A35" s="506" t="s">
        <v>677</v>
      </c>
      <c r="B35" s="507">
        <v>2183014789</v>
      </c>
      <c r="C35" s="507">
        <v>2154411738</v>
      </c>
      <c r="D35" s="507">
        <v>0</v>
      </c>
      <c r="E35" s="507">
        <v>0</v>
      </c>
      <c r="F35" s="499">
        <f t="shared" si="9"/>
        <v>2183014789</v>
      </c>
      <c r="G35" s="500">
        <f t="shared" si="8"/>
        <v>2154411738</v>
      </c>
      <c r="H35" s="496">
        <f t="shared" si="1"/>
        <v>98.6897454316788</v>
      </c>
    </row>
    <row r="36" spans="1:8" ht="21">
      <c r="A36" s="506" t="s">
        <v>678</v>
      </c>
      <c r="B36" s="507">
        <v>2211505468</v>
      </c>
      <c r="C36" s="507">
        <v>2095430973</v>
      </c>
      <c r="D36" s="507"/>
      <c r="E36" s="507"/>
      <c r="F36" s="499">
        <f t="shared" si="9"/>
        <v>2211505468</v>
      </c>
      <c r="G36" s="500">
        <f t="shared" si="8"/>
        <v>2095430973</v>
      </c>
      <c r="H36" s="496">
        <f t="shared" si="1"/>
        <v>94.75133583526821</v>
      </c>
    </row>
    <row r="37" spans="1:8" ht="21">
      <c r="A37" s="506" t="s">
        <v>679</v>
      </c>
      <c r="B37" s="507">
        <v>1043955002</v>
      </c>
      <c r="C37" s="507">
        <v>1043955002</v>
      </c>
      <c r="D37" s="507"/>
      <c r="E37" s="507"/>
      <c r="F37" s="499">
        <f t="shared" si="9"/>
        <v>1043955002</v>
      </c>
      <c r="G37" s="500">
        <f t="shared" si="8"/>
        <v>1043955002</v>
      </c>
      <c r="H37" s="496">
        <f t="shared" si="1"/>
        <v>100</v>
      </c>
    </row>
    <row r="38" spans="1:8" ht="25.5">
      <c r="A38" s="509" t="s">
        <v>680</v>
      </c>
      <c r="B38" s="507">
        <v>0</v>
      </c>
      <c r="C38" s="507"/>
      <c r="D38" s="507">
        <v>1540000000</v>
      </c>
      <c r="E38" s="507">
        <v>1387725310</v>
      </c>
      <c r="F38" s="499">
        <f>+B38+D38</f>
        <v>1540000000</v>
      </c>
      <c r="G38" s="500">
        <f>+C38+E38</f>
        <v>1387725310</v>
      </c>
      <c r="H38" s="496">
        <f t="shared" si="1"/>
        <v>90.11203311688311</v>
      </c>
    </row>
    <row r="39" spans="1:8" ht="54" customHeight="1" thickBot="1">
      <c r="A39" s="504" t="s">
        <v>681</v>
      </c>
      <c r="B39" s="505">
        <f>+B40+B41</f>
        <v>4562470651</v>
      </c>
      <c r="C39" s="505">
        <f>+C40+C41</f>
        <v>4558475303</v>
      </c>
      <c r="D39" s="505">
        <f>+D40+D41</f>
        <v>0</v>
      </c>
      <c r="E39" s="505">
        <f>+E40+E41</f>
        <v>0</v>
      </c>
      <c r="F39" s="499">
        <f t="shared" si="9"/>
        <v>4562470651</v>
      </c>
      <c r="G39" s="500">
        <f t="shared" si="8"/>
        <v>4558475303</v>
      </c>
      <c r="H39" s="496">
        <f t="shared" si="1"/>
        <v>99.91243016546036</v>
      </c>
    </row>
    <row r="40" spans="1:8" ht="12.75">
      <c r="A40" s="506" t="s">
        <v>682</v>
      </c>
      <c r="B40" s="507">
        <v>320000000</v>
      </c>
      <c r="C40" s="507">
        <v>319329399</v>
      </c>
      <c r="D40" s="507"/>
      <c r="E40" s="507"/>
      <c r="F40" s="499">
        <f t="shared" si="9"/>
        <v>320000000</v>
      </c>
      <c r="G40" s="500">
        <f t="shared" si="8"/>
        <v>319329399</v>
      </c>
      <c r="H40" s="496">
        <f t="shared" si="1"/>
        <v>99.7904371875</v>
      </c>
    </row>
    <row r="41" spans="1:8" ht="12.75">
      <c r="A41" s="506" t="s">
        <v>683</v>
      </c>
      <c r="B41" s="507">
        <v>4242470651</v>
      </c>
      <c r="C41" s="507">
        <v>4239145904</v>
      </c>
      <c r="D41" s="507"/>
      <c r="E41" s="507"/>
      <c r="F41" s="499">
        <f t="shared" si="9"/>
        <v>4242470651</v>
      </c>
      <c r="G41" s="500">
        <f t="shared" si="8"/>
        <v>4239145904</v>
      </c>
      <c r="H41" s="496">
        <f t="shared" si="1"/>
        <v>99.92163182085382</v>
      </c>
    </row>
    <row r="42" spans="1:8" ht="36" customHeight="1" thickBot="1">
      <c r="A42" s="504" t="s">
        <v>684</v>
      </c>
      <c r="B42" s="510">
        <f>+B43+B44</f>
        <v>5406115520</v>
      </c>
      <c r="C42" s="510">
        <f>+C43+C44</f>
        <v>5301354435</v>
      </c>
      <c r="D42" s="507">
        <f>+D43+D44</f>
        <v>0</v>
      </c>
      <c r="E42" s="507">
        <f>+E43+E44</f>
        <v>0</v>
      </c>
      <c r="F42" s="499">
        <f t="shared" si="9"/>
        <v>5406115520</v>
      </c>
      <c r="G42" s="500">
        <f t="shared" si="8"/>
        <v>5301354435</v>
      </c>
      <c r="H42" s="496">
        <f t="shared" si="1"/>
        <v>98.06217450196107</v>
      </c>
    </row>
    <row r="43" spans="1:8" ht="23.25" customHeight="1">
      <c r="A43" s="506" t="s">
        <v>685</v>
      </c>
      <c r="B43" s="507">
        <v>3850353134</v>
      </c>
      <c r="C43" s="511">
        <v>3792698320</v>
      </c>
      <c r="D43" s="507"/>
      <c r="E43" s="507"/>
      <c r="F43" s="499">
        <f t="shared" si="9"/>
        <v>3850353134</v>
      </c>
      <c r="G43" s="500">
        <f t="shared" si="8"/>
        <v>3792698320</v>
      </c>
      <c r="H43" s="496">
        <f t="shared" si="1"/>
        <v>98.50260970894105</v>
      </c>
    </row>
    <row r="44" spans="1:8" ht="30" customHeight="1">
      <c r="A44" s="506" t="s">
        <v>686</v>
      </c>
      <c r="B44" s="507">
        <v>1555762386</v>
      </c>
      <c r="C44" s="507">
        <v>1508656115</v>
      </c>
      <c r="D44" s="507"/>
      <c r="E44" s="507"/>
      <c r="F44" s="499">
        <f t="shared" si="9"/>
        <v>1555762386</v>
      </c>
      <c r="G44" s="500">
        <f t="shared" si="8"/>
        <v>1508656115</v>
      </c>
      <c r="H44" s="496">
        <f t="shared" si="1"/>
        <v>96.97214231274003</v>
      </c>
    </row>
    <row r="45" spans="1:8" ht="36.75" customHeight="1" thickBot="1">
      <c r="A45" s="504" t="s">
        <v>687</v>
      </c>
      <c r="B45" s="510">
        <f>+B46</f>
        <v>380079785</v>
      </c>
      <c r="C45" s="510">
        <f>+C46</f>
        <v>357526608</v>
      </c>
      <c r="D45" s="507">
        <f>+D46+D47</f>
        <v>0</v>
      </c>
      <c r="E45" s="507">
        <f>+E46+E47</f>
        <v>0</v>
      </c>
      <c r="F45" s="512">
        <f t="shared" si="9"/>
        <v>380079785</v>
      </c>
      <c r="G45" s="513">
        <f t="shared" si="8"/>
        <v>357526608</v>
      </c>
      <c r="H45" s="496">
        <f t="shared" si="1"/>
        <v>94.0661992849738</v>
      </c>
    </row>
    <row r="46" spans="1:8" ht="21">
      <c r="A46" s="514" t="s">
        <v>688</v>
      </c>
      <c r="B46" s="507">
        <v>380079785</v>
      </c>
      <c r="C46" s="507">
        <v>357526608</v>
      </c>
      <c r="D46" s="507"/>
      <c r="E46" s="507"/>
      <c r="F46" s="499">
        <f t="shared" si="9"/>
        <v>380079785</v>
      </c>
      <c r="G46" s="500">
        <f t="shared" si="8"/>
        <v>357526608</v>
      </c>
      <c r="H46" s="496">
        <f t="shared" si="1"/>
        <v>94.0661992849738</v>
      </c>
    </row>
    <row r="47" spans="1:8" ht="27" customHeight="1" thickBot="1">
      <c r="A47" s="504" t="s">
        <v>689</v>
      </c>
      <c r="B47" s="505">
        <f>+B48+B49</f>
        <v>4499263108</v>
      </c>
      <c r="C47" s="505">
        <f>+C48+C49</f>
        <v>3757614791</v>
      </c>
      <c r="D47" s="505">
        <v>0</v>
      </c>
      <c r="E47" s="505">
        <v>0</v>
      </c>
      <c r="F47" s="494">
        <f t="shared" si="9"/>
        <v>4499263108</v>
      </c>
      <c r="G47" s="495">
        <f t="shared" si="8"/>
        <v>3757614791</v>
      </c>
      <c r="H47" s="496">
        <f t="shared" si="1"/>
        <v>83.51622700878954</v>
      </c>
    </row>
    <row r="48" spans="1:8" ht="21">
      <c r="A48" s="515" t="s">
        <v>690</v>
      </c>
      <c r="B48" s="507">
        <v>622694147</v>
      </c>
      <c r="C48" s="507">
        <v>569855915</v>
      </c>
      <c r="D48" s="507"/>
      <c r="E48" s="507"/>
      <c r="F48" s="499">
        <f t="shared" si="9"/>
        <v>622694147</v>
      </c>
      <c r="G48" s="500">
        <f t="shared" si="8"/>
        <v>569855915</v>
      </c>
      <c r="H48" s="496">
        <f t="shared" si="1"/>
        <v>91.51457705928942</v>
      </c>
    </row>
    <row r="49" spans="1:8" ht="12.75">
      <c r="A49" s="515" t="s">
        <v>691</v>
      </c>
      <c r="B49" s="507">
        <v>3876568961</v>
      </c>
      <c r="C49" s="507">
        <v>3187758876</v>
      </c>
      <c r="D49" s="507"/>
      <c r="E49" s="507"/>
      <c r="F49" s="499">
        <f t="shared" si="9"/>
        <v>3876568961</v>
      </c>
      <c r="G49" s="500">
        <f t="shared" si="8"/>
        <v>3187758876</v>
      </c>
      <c r="H49" s="496">
        <f t="shared" si="1"/>
        <v>82.23145023525353</v>
      </c>
    </row>
    <row r="50" spans="1:8" ht="12.75">
      <c r="A50" s="516" t="s">
        <v>445</v>
      </c>
      <c r="B50" s="505" t="s">
        <v>445</v>
      </c>
      <c r="C50" s="505" t="s">
        <v>445</v>
      </c>
      <c r="D50" s="505" t="s">
        <v>445</v>
      </c>
      <c r="E50" s="505" t="s">
        <v>445</v>
      </c>
      <c r="F50" s="499" t="s">
        <v>445</v>
      </c>
      <c r="G50" s="500" t="s">
        <v>445</v>
      </c>
      <c r="H50" s="503" t="s">
        <v>445</v>
      </c>
    </row>
    <row r="51" spans="1:8" ht="12.75">
      <c r="A51" s="517" t="s">
        <v>692</v>
      </c>
      <c r="B51" s="494">
        <v>0</v>
      </c>
      <c r="C51" s="494">
        <v>0</v>
      </c>
      <c r="D51" s="494">
        <v>0</v>
      </c>
      <c r="E51" s="494">
        <v>0</v>
      </c>
      <c r="F51" s="499">
        <f t="shared" si="9"/>
        <v>0</v>
      </c>
      <c r="G51" s="500">
        <f t="shared" si="8"/>
        <v>0</v>
      </c>
      <c r="H51" s="496">
        <v>0</v>
      </c>
    </row>
    <row r="52" spans="1:8" ht="12.75">
      <c r="A52" s="518" t="s">
        <v>445</v>
      </c>
      <c r="B52" s="519" t="s">
        <v>445</v>
      </c>
      <c r="C52" s="519"/>
      <c r="D52" s="519"/>
      <c r="E52" s="519"/>
      <c r="F52" s="494"/>
      <c r="G52" s="495"/>
      <c r="H52" s="503" t="s">
        <v>445</v>
      </c>
    </row>
    <row r="53" spans="1:9" ht="13.5" thickBot="1">
      <c r="A53" s="520" t="s">
        <v>693</v>
      </c>
      <c r="B53" s="521">
        <f aca="true" t="shared" si="10" ref="B53:G53">+B26+B28+B51</f>
        <v>30492484760</v>
      </c>
      <c r="C53" s="521">
        <f t="shared" si="10"/>
        <v>28879002050</v>
      </c>
      <c r="D53" s="521">
        <f t="shared" si="10"/>
        <v>3375302000</v>
      </c>
      <c r="E53" s="521">
        <f t="shared" si="10"/>
        <v>3223027310</v>
      </c>
      <c r="F53" s="521">
        <f t="shared" si="10"/>
        <v>33867786760</v>
      </c>
      <c r="G53" s="522">
        <f t="shared" si="10"/>
        <v>32102029360</v>
      </c>
      <c r="H53" s="496">
        <f t="shared" si="1"/>
        <v>94.7863218446696</v>
      </c>
      <c r="I53" s="446" t="s">
        <v>445</v>
      </c>
    </row>
    <row r="54" spans="1:7" ht="27.75" customHeight="1">
      <c r="A54" s="523"/>
      <c r="B54" s="524" t="s">
        <v>445</v>
      </c>
      <c r="C54" s="525" t="s">
        <v>445</v>
      </c>
      <c r="D54" s="525"/>
      <c r="E54" s="525" t="s">
        <v>445</v>
      </c>
      <c r="F54" s="525"/>
      <c r="G54" s="524" t="s">
        <v>445</v>
      </c>
    </row>
    <row r="55" spans="1:7" ht="32.25" customHeight="1">
      <c r="A55" s="526"/>
      <c r="B55" s="526"/>
      <c r="C55" s="526"/>
      <c r="D55" s="526"/>
      <c r="E55" s="526"/>
      <c r="F55" s="526"/>
      <c r="G55" s="526" t="s">
        <v>445</v>
      </c>
    </row>
    <row r="56" spans="1:7" ht="12.75">
      <c r="A56" s="527"/>
      <c r="B56" s="528" t="s">
        <v>445</v>
      </c>
      <c r="C56" s="529"/>
      <c r="D56" s="529"/>
      <c r="E56" s="528" t="s">
        <v>445</v>
      </c>
      <c r="F56" s="528" t="s">
        <v>445</v>
      </c>
      <c r="G56" s="530" t="s">
        <v>445</v>
      </c>
    </row>
    <row r="57" spans="1:7" ht="12.75">
      <c r="A57" s="527"/>
      <c r="B57" s="530"/>
      <c r="C57" s="529"/>
      <c r="D57" s="529"/>
      <c r="E57" s="529"/>
      <c r="F57" s="528" t="s">
        <v>445</v>
      </c>
      <c r="G57" s="528" t="s">
        <v>445</v>
      </c>
    </row>
    <row r="58" spans="1:7" ht="12.75">
      <c r="A58" s="527"/>
      <c r="B58" s="529"/>
      <c r="C58" s="529"/>
      <c r="D58" s="529"/>
      <c r="E58" s="529"/>
      <c r="F58" s="529"/>
      <c r="G58" s="529"/>
    </row>
    <row r="59" ht="12.75">
      <c r="A59" s="531"/>
    </row>
    <row r="60" ht="12.75">
      <c r="A60" s="532"/>
    </row>
    <row r="61" ht="12.75">
      <c r="A61" s="532"/>
    </row>
    <row r="62" ht="12.75">
      <c r="A62" s="532"/>
    </row>
    <row r="63" ht="12.75">
      <c r="A63" s="533"/>
    </row>
    <row r="64" ht="15.75" customHeight="1">
      <c r="A64" s="533"/>
    </row>
    <row r="65" ht="12.75">
      <c r="A65" s="533"/>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5" r:id="rId2"/>
  <drawing r:id="rId1"/>
</worksheet>
</file>

<file path=xl/worksheets/sheet7.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J9" sqref="J9"/>
    </sheetView>
  </sheetViews>
  <sheetFormatPr defaultColWidth="11.421875" defaultRowHeight="12.75"/>
  <cols>
    <col min="1" max="1" width="19.140625" style="0" customWidth="1"/>
    <col min="2" max="2" width="18.00390625" style="0" customWidth="1"/>
    <col min="3" max="3" width="19.421875" style="0" customWidth="1"/>
    <col min="4" max="4" width="20.421875" style="0" customWidth="1"/>
    <col min="5" max="5" width="18.28125" style="0" customWidth="1"/>
    <col min="6" max="6" width="19.7109375" style="0" customWidth="1"/>
    <col min="7" max="7" width="19.00390625" style="0" customWidth="1"/>
  </cols>
  <sheetData>
    <row r="1" spans="1:7" ht="130.5" customHeight="1">
      <c r="A1" s="648"/>
      <c r="B1" s="648"/>
      <c r="C1" s="648"/>
      <c r="D1" s="648"/>
      <c r="E1" s="648"/>
      <c r="F1" s="648"/>
      <c r="G1" s="648"/>
    </row>
    <row r="2" spans="1:7" ht="12.75">
      <c r="A2" s="649" t="s">
        <v>553</v>
      </c>
      <c r="B2" s="649"/>
      <c r="C2" s="649"/>
      <c r="D2" s="649"/>
      <c r="E2" s="649"/>
      <c r="F2" s="649"/>
      <c r="G2" s="649"/>
    </row>
    <row r="3" spans="1:7" ht="46.5" customHeight="1">
      <c r="A3" s="650" t="s">
        <v>554</v>
      </c>
      <c r="B3" s="650"/>
      <c r="C3" s="650"/>
      <c r="D3" s="650"/>
      <c r="E3" s="650"/>
      <c r="F3" s="650"/>
      <c r="G3" s="650"/>
    </row>
    <row r="4" spans="1:7" ht="46.5" customHeight="1">
      <c r="A4" s="651" t="s">
        <v>555</v>
      </c>
      <c r="B4" s="651"/>
      <c r="C4" s="652" t="s">
        <v>556</v>
      </c>
      <c r="D4" s="651"/>
      <c r="E4" s="651"/>
      <c r="F4" s="651"/>
      <c r="G4" s="651"/>
    </row>
    <row r="5" spans="1:7" s="438" customFormat="1" ht="27.75" customHeight="1">
      <c r="A5" s="653" t="s">
        <v>557</v>
      </c>
      <c r="B5" s="653"/>
      <c r="C5" s="653"/>
      <c r="D5" s="653"/>
      <c r="E5" s="653"/>
      <c r="F5" s="653"/>
      <c r="G5" s="653"/>
    </row>
    <row r="6" spans="1:7" s="440" customFormat="1" ht="38.25" customHeight="1">
      <c r="A6" s="646" t="s">
        <v>558</v>
      </c>
      <c r="B6" s="646"/>
      <c r="C6" s="646"/>
      <c r="D6" s="646"/>
      <c r="E6" s="646"/>
      <c r="F6" s="646"/>
      <c r="G6" s="646"/>
    </row>
    <row r="7" spans="1:7" s="441" customFormat="1" ht="21" customHeight="1">
      <c r="A7" s="646" t="s">
        <v>559</v>
      </c>
      <c r="B7" s="646"/>
      <c r="C7" s="646"/>
      <c r="D7" s="646"/>
      <c r="E7" s="646"/>
      <c r="F7" s="646"/>
      <c r="G7" s="439" t="s">
        <v>560</v>
      </c>
    </row>
    <row r="8" spans="1:7" s="441" customFormat="1" ht="127.5">
      <c r="A8" s="442" t="s">
        <v>561</v>
      </c>
      <c r="B8" s="442" t="s">
        <v>562</v>
      </c>
      <c r="C8" s="442" t="s">
        <v>563</v>
      </c>
      <c r="D8" s="442" t="s">
        <v>564</v>
      </c>
      <c r="E8" s="442" t="s">
        <v>565</v>
      </c>
      <c r="F8" s="442" t="s">
        <v>566</v>
      </c>
      <c r="G8" s="442" t="s">
        <v>567</v>
      </c>
    </row>
    <row r="9" spans="1:8" s="447" customFormat="1" ht="36" customHeight="1">
      <c r="A9" s="443">
        <f>59+9</f>
        <v>68</v>
      </c>
      <c r="B9" s="444">
        <v>2190433402</v>
      </c>
      <c r="C9" s="443">
        <v>18</v>
      </c>
      <c r="D9" s="443">
        <v>50</v>
      </c>
      <c r="E9" s="444">
        <v>471472367</v>
      </c>
      <c r="F9" s="444">
        <v>1865225133</v>
      </c>
      <c r="G9" s="445" t="s">
        <v>568</v>
      </c>
      <c r="H9" s="446"/>
    </row>
    <row r="11" spans="1:7" ht="30" customHeight="1">
      <c r="A11" s="647"/>
      <c r="B11" s="647"/>
      <c r="C11" s="647"/>
      <c r="D11" s="647"/>
      <c r="E11" s="647"/>
      <c r="F11" s="647"/>
      <c r="G11" s="647"/>
    </row>
  </sheetData>
  <sheetProtection/>
  <mergeCells count="9">
    <mergeCell ref="A6:G6"/>
    <mergeCell ref="A7:F7"/>
    <mergeCell ref="A11:G11"/>
    <mergeCell ref="A1:G1"/>
    <mergeCell ref="A2:G2"/>
    <mergeCell ref="A3:G3"/>
    <mergeCell ref="A4:B4"/>
    <mergeCell ref="C4:G4"/>
    <mergeCell ref="A5:G5"/>
  </mergeCells>
  <printOptions horizontalCentered="1"/>
  <pageMargins left="0.5905511811023623" right="0.5905511811023623" top="0.984251968503937" bottom="0.984251968503937" header="0" footer="0"/>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dimension ref="A1:K10"/>
  <sheetViews>
    <sheetView zoomScalePageLayoutView="0" workbookViewId="0" topLeftCell="A7">
      <selection activeCell="E20" sqref="E20"/>
    </sheetView>
  </sheetViews>
  <sheetFormatPr defaultColWidth="11.421875" defaultRowHeight="12.75"/>
  <cols>
    <col min="1" max="10" width="18.00390625" style="0" customWidth="1"/>
  </cols>
  <sheetData>
    <row r="1" spans="1:10" ht="130.5" customHeight="1">
      <c r="A1" s="648"/>
      <c r="B1" s="648"/>
      <c r="C1" s="648"/>
      <c r="D1" s="648"/>
      <c r="E1" s="648"/>
      <c r="F1" s="648"/>
      <c r="G1" s="648"/>
      <c r="H1" s="648"/>
      <c r="I1" s="648"/>
      <c r="J1" s="648"/>
    </row>
    <row r="2" spans="1:10" ht="21.75" customHeight="1">
      <c r="A2" s="649" t="s">
        <v>569</v>
      </c>
      <c r="B2" s="649"/>
      <c r="C2" s="649"/>
      <c r="D2" s="649"/>
      <c r="E2" s="649"/>
      <c r="F2" s="649"/>
      <c r="G2" s="649"/>
      <c r="H2" s="649"/>
      <c r="I2" s="649"/>
      <c r="J2" s="649"/>
    </row>
    <row r="3" spans="1:10" ht="46.5" customHeight="1">
      <c r="A3" s="650" t="s">
        <v>570</v>
      </c>
      <c r="B3" s="650"/>
      <c r="C3" s="650"/>
      <c r="D3" s="650"/>
      <c r="E3" s="650"/>
      <c r="F3" s="650"/>
      <c r="G3" s="650"/>
      <c r="H3" s="650"/>
      <c r="I3" s="650"/>
      <c r="J3" s="650"/>
    </row>
    <row r="4" spans="1:10" ht="46.5" customHeight="1">
      <c r="A4" s="654" t="s">
        <v>555</v>
      </c>
      <c r="B4" s="654"/>
      <c r="C4" s="650"/>
      <c r="D4" s="650"/>
      <c r="E4" s="650"/>
      <c r="F4" s="650"/>
      <c r="G4" s="650"/>
      <c r="H4" s="650"/>
      <c r="I4" s="650"/>
      <c r="J4" s="650"/>
    </row>
    <row r="5" spans="1:10" s="438" customFormat="1" ht="27.75" customHeight="1">
      <c r="A5" s="653" t="s">
        <v>557</v>
      </c>
      <c r="B5" s="653"/>
      <c r="C5" s="653"/>
      <c r="D5" s="653"/>
      <c r="E5" s="653"/>
      <c r="F5" s="653"/>
      <c r="G5" s="653"/>
      <c r="H5" s="653"/>
      <c r="I5" s="653"/>
      <c r="J5" s="653"/>
    </row>
    <row r="6" spans="1:10" s="440" customFormat="1" ht="38.25" customHeight="1">
      <c r="A6" s="655" t="s">
        <v>571</v>
      </c>
      <c r="B6" s="646"/>
      <c r="C6" s="646"/>
      <c r="D6" s="646"/>
      <c r="E6" s="646"/>
      <c r="F6" s="646"/>
      <c r="G6" s="646"/>
      <c r="H6" s="646"/>
      <c r="I6" s="646"/>
      <c r="J6" s="646"/>
    </row>
    <row r="7" spans="1:10" s="440" customFormat="1" ht="38.25" customHeight="1">
      <c r="A7" s="646" t="s">
        <v>572</v>
      </c>
      <c r="B7" s="646"/>
      <c r="C7" s="646" t="s">
        <v>573</v>
      </c>
      <c r="D7" s="646"/>
      <c r="E7" s="646"/>
      <c r="F7" s="646"/>
      <c r="G7" s="646"/>
      <c r="H7" s="646"/>
      <c r="I7" s="646"/>
      <c r="J7" s="646"/>
    </row>
    <row r="8" spans="1:10" s="441" customFormat="1" ht="55.5" customHeight="1">
      <c r="A8" s="646"/>
      <c r="B8" s="646"/>
      <c r="C8" s="646" t="s">
        <v>574</v>
      </c>
      <c r="D8" s="646"/>
      <c r="E8" s="646" t="s">
        <v>575</v>
      </c>
      <c r="F8" s="646"/>
      <c r="G8" s="646" t="s">
        <v>576</v>
      </c>
      <c r="H8" s="646"/>
      <c r="I8" s="646" t="s">
        <v>577</v>
      </c>
      <c r="J8" s="646"/>
    </row>
    <row r="9" spans="1:10" s="441" customFormat="1" ht="171.75" customHeight="1">
      <c r="A9" s="442" t="s">
        <v>578</v>
      </c>
      <c r="B9" s="442" t="s">
        <v>579</v>
      </c>
      <c r="C9" s="449" t="s">
        <v>580</v>
      </c>
      <c r="D9" s="449" t="s">
        <v>581</v>
      </c>
      <c r="E9" s="449" t="s">
        <v>582</v>
      </c>
      <c r="F9" s="449" t="s">
        <v>583</v>
      </c>
      <c r="G9" s="449" t="s">
        <v>584</v>
      </c>
      <c r="H9" s="449" t="s">
        <v>585</v>
      </c>
      <c r="I9" s="449" t="s">
        <v>586</v>
      </c>
      <c r="J9" s="449" t="s">
        <v>587</v>
      </c>
    </row>
    <row r="10" spans="1:11" ht="55.5" customHeight="1">
      <c r="A10" s="450">
        <v>32764622380</v>
      </c>
      <c r="B10" s="450">
        <v>7201319671</v>
      </c>
      <c r="C10" s="448">
        <v>0</v>
      </c>
      <c r="D10" s="448">
        <v>0</v>
      </c>
      <c r="E10" s="448">
        <v>0</v>
      </c>
      <c r="F10" s="448">
        <v>0</v>
      </c>
      <c r="G10" s="450">
        <v>144236000</v>
      </c>
      <c r="H10" s="450">
        <v>144236000</v>
      </c>
      <c r="I10" s="448">
        <v>2</v>
      </c>
      <c r="J10" s="448">
        <v>2</v>
      </c>
      <c r="K10" s="441"/>
    </row>
  </sheetData>
  <sheetProtection/>
  <mergeCells count="13">
    <mergeCell ref="A6:J6"/>
    <mergeCell ref="A7:B8"/>
    <mergeCell ref="C7:J7"/>
    <mergeCell ref="C8:D8"/>
    <mergeCell ref="E8:F8"/>
    <mergeCell ref="G8:H8"/>
    <mergeCell ref="I8:J8"/>
    <mergeCell ref="A1:J1"/>
    <mergeCell ref="A2:J2"/>
    <mergeCell ref="A3:J3"/>
    <mergeCell ref="A4:B4"/>
    <mergeCell ref="C4:J4"/>
    <mergeCell ref="A5:J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660" t="s">
        <v>62</v>
      </c>
      <c r="B1" s="660"/>
    </row>
    <row r="2" spans="1:2" ht="27" customHeight="1">
      <c r="A2" s="656" t="s">
        <v>63</v>
      </c>
      <c r="B2" s="657"/>
    </row>
    <row r="3" spans="1:2" ht="24.75" customHeight="1" thickBot="1">
      <c r="A3" s="658" t="s">
        <v>64</v>
      </c>
      <c r="B3" s="659"/>
    </row>
    <row r="4" spans="1:2" ht="12.75">
      <c r="A4" s="8" t="s">
        <v>65</v>
      </c>
      <c r="B4" s="8" t="s">
        <v>66</v>
      </c>
    </row>
    <row r="5" spans="1:2" ht="36.75">
      <c r="A5" s="9" t="s">
        <v>158</v>
      </c>
      <c r="B5" s="10" t="s">
        <v>108</v>
      </c>
    </row>
    <row r="6" spans="1:2" ht="27.75">
      <c r="A6" s="9" t="s">
        <v>67</v>
      </c>
      <c r="B6" s="10" t="s">
        <v>109</v>
      </c>
    </row>
    <row r="7" spans="1:2" ht="21" customHeight="1">
      <c r="A7" s="9" t="s">
        <v>68</v>
      </c>
      <c r="B7" s="10" t="s">
        <v>110</v>
      </c>
    </row>
    <row r="8" spans="1:2" ht="45" customHeight="1">
      <c r="A8" s="9" t="s">
        <v>113</v>
      </c>
      <c r="B8" s="247" t="s">
        <v>95</v>
      </c>
    </row>
    <row r="9" spans="1:2" ht="54" customHeight="1">
      <c r="A9" s="251" t="s">
        <v>96</v>
      </c>
      <c r="B9" s="10" t="s">
        <v>111</v>
      </c>
    </row>
    <row r="10" spans="1:2" ht="21" customHeight="1">
      <c r="A10" s="248" t="s">
        <v>536</v>
      </c>
      <c r="B10" s="249" t="s">
        <v>537</v>
      </c>
    </row>
    <row r="11" spans="1:2" ht="40.5" customHeight="1">
      <c r="A11" s="9" t="s">
        <v>112</v>
      </c>
      <c r="B11" s="10" t="s">
        <v>540</v>
      </c>
    </row>
    <row r="12" spans="1:2" ht="36.75" customHeight="1">
      <c r="A12" s="251" t="s">
        <v>69</v>
      </c>
      <c r="B12" s="250" t="s">
        <v>114</v>
      </c>
    </row>
    <row r="13" spans="1:2" ht="21.75" customHeight="1">
      <c r="A13" s="251" t="s">
        <v>90</v>
      </c>
      <c r="B13" s="10" t="s">
        <v>115</v>
      </c>
    </row>
    <row r="14" spans="1:2" ht="18.75">
      <c r="A14" s="9" t="s">
        <v>70</v>
      </c>
      <c r="B14" s="10" t="s">
        <v>94</v>
      </c>
    </row>
    <row r="15" spans="1:2" ht="18.75">
      <c r="A15" s="9" t="s">
        <v>71</v>
      </c>
      <c r="B15" s="10" t="s">
        <v>97</v>
      </c>
    </row>
    <row r="16" spans="1:2" ht="18.75">
      <c r="A16" s="9" t="s">
        <v>72</v>
      </c>
      <c r="B16" s="10" t="s">
        <v>116</v>
      </c>
    </row>
    <row r="17" spans="1:2" ht="36.75">
      <c r="A17" s="9" t="s">
        <v>73</v>
      </c>
      <c r="B17" s="10" t="s">
        <v>46</v>
      </c>
    </row>
    <row r="18" spans="1:2" ht="18.75">
      <c r="A18" s="9" t="s">
        <v>74</v>
      </c>
      <c r="B18" s="10" t="s">
        <v>75</v>
      </c>
    </row>
    <row r="19" spans="1:2" ht="18.75">
      <c r="A19" s="9" t="s">
        <v>76</v>
      </c>
      <c r="B19" s="10" t="s">
        <v>117</v>
      </c>
    </row>
    <row r="20" spans="1:2" ht="25.5" customHeight="1">
      <c r="A20" s="9" t="s">
        <v>77</v>
      </c>
      <c r="B20" s="10" t="s">
        <v>98</v>
      </c>
    </row>
    <row r="21" spans="1:2" ht="25.5" customHeight="1">
      <c r="A21" s="9" t="s">
        <v>78</v>
      </c>
      <c r="B21" s="10" t="s">
        <v>99</v>
      </c>
    </row>
    <row r="22" spans="1:2" ht="21" customHeight="1">
      <c r="A22" s="9" t="s">
        <v>79</v>
      </c>
      <c r="B22" s="10" t="s">
        <v>100</v>
      </c>
    </row>
    <row r="23" spans="1:2" ht="84" customHeight="1" thickBot="1">
      <c r="A23" s="252" t="s">
        <v>119</v>
      </c>
      <c r="B23" s="11" t="s">
        <v>40</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Edisney Silva Argote</cp:lastModifiedBy>
  <cp:lastPrinted>2016-02-16T13:26:45Z</cp:lastPrinted>
  <dcterms:created xsi:type="dcterms:W3CDTF">2004-01-28T22:51:19Z</dcterms:created>
  <dcterms:modified xsi:type="dcterms:W3CDTF">2016-07-12T22:57:39Z</dcterms:modified>
  <cp:category/>
  <cp:version/>
  <cp:contentType/>
  <cp:contentStatus/>
</cp:coreProperties>
</file>