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CAM Dropbox\Corporación Autónoma Regional del Alto Magdalena\Planeacion\Martha\CAM\Riesgos 2022\"/>
    </mc:Choice>
  </mc:AlternateContent>
  <bookViews>
    <workbookView xWindow="0" yWindow="0" windowWidth="28800" windowHeight="12330"/>
  </bookViews>
  <sheets>
    <sheet name="Riesgos de Corrupción" sheetId="4" r:id="rId1"/>
    <sheet name="Constr - Riesgos de Corrupción" sheetId="5" r:id="rId2"/>
  </sheets>
  <definedNames>
    <definedName name="_xlnm._FilterDatabase" localSheetId="1" hidden="1">'Constr - Riesgos de Corrupción'!$A$6:$BD$6</definedName>
    <definedName name="_xlnm.Print_Area" localSheetId="1">'Constr - Riesgos de Corrupción'!$A$1:$BD$48</definedName>
    <definedName name="_xlnm.Print_Area" localSheetId="0">'Riesgos de Corrupción'!$A$1:$N$22</definedName>
    <definedName name="_xlnm.Print_Titles" localSheetId="1">'Constr - Riesgos de Corrupción'!$1:$2</definedName>
    <definedName name="_xlnm.Print_Titles" localSheetId="0">'Riesgos de Corrupción'!$1:$5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4" l="1"/>
  <c r="G18" i="4"/>
  <c r="F18" i="4"/>
  <c r="E18" i="4"/>
  <c r="D18" i="4"/>
  <c r="A44" i="5"/>
  <c r="AR20" i="5"/>
  <c r="AK20" i="5"/>
  <c r="AI20" i="5"/>
  <c r="AG20" i="5"/>
  <c r="AE20" i="5"/>
  <c r="AC20" i="5"/>
  <c r="AA20" i="5"/>
  <c r="Y20" i="5"/>
  <c r="AB44" i="5"/>
  <c r="AL20" i="5" l="1"/>
  <c r="AM20" i="5" s="1"/>
  <c r="AO20" i="5" s="1"/>
  <c r="AP20" i="5" s="1"/>
  <c r="AU20" i="5"/>
  <c r="V44" i="5"/>
  <c r="U44" i="5"/>
  <c r="W44" i="5" s="1"/>
  <c r="M20" i="5"/>
  <c r="M21" i="4"/>
  <c r="L21" i="4"/>
  <c r="K21" i="4"/>
  <c r="J21" i="4"/>
  <c r="I21" i="4"/>
  <c r="D21" i="4"/>
  <c r="B21" i="4"/>
  <c r="M20" i="4"/>
  <c r="L20" i="4"/>
  <c r="K20" i="4"/>
  <c r="J20" i="4"/>
  <c r="I20" i="4"/>
  <c r="D20" i="4"/>
  <c r="M19" i="4"/>
  <c r="L19" i="4"/>
  <c r="K19" i="4"/>
  <c r="J19" i="4"/>
  <c r="I19" i="4"/>
  <c r="D19" i="4"/>
  <c r="D17" i="4"/>
  <c r="B17" i="4"/>
  <c r="B19" i="4"/>
  <c r="B20" i="4"/>
  <c r="B16" i="4"/>
  <c r="B15" i="4"/>
  <c r="D16" i="4"/>
  <c r="C16" i="4"/>
  <c r="M15" i="4"/>
  <c r="L15" i="4"/>
  <c r="K15" i="4"/>
  <c r="J15" i="4"/>
  <c r="I15" i="4"/>
  <c r="D15" i="4"/>
  <c r="C15" i="4"/>
  <c r="M14" i="4"/>
  <c r="L14" i="4"/>
  <c r="K14" i="4"/>
  <c r="J14" i="4"/>
  <c r="I14" i="4"/>
  <c r="D14" i="4"/>
  <c r="B14" i="4"/>
  <c r="M13" i="4"/>
  <c r="L13" i="4"/>
  <c r="K13" i="4"/>
  <c r="J13" i="4"/>
  <c r="I13" i="4"/>
  <c r="D13" i="4"/>
  <c r="B13" i="4"/>
  <c r="M12" i="4"/>
  <c r="L12" i="4"/>
  <c r="K12" i="4"/>
  <c r="J12" i="4"/>
  <c r="I12" i="4"/>
  <c r="M11" i="4"/>
  <c r="L11" i="4"/>
  <c r="K11" i="4"/>
  <c r="J11" i="4"/>
  <c r="M9" i="4"/>
  <c r="L9" i="4"/>
  <c r="K9" i="4"/>
  <c r="J9" i="4"/>
  <c r="J8" i="4"/>
  <c r="A47" i="5"/>
  <c r="AB47" i="5" s="1"/>
  <c r="AR23" i="5"/>
  <c r="AK23" i="5"/>
  <c r="AI23" i="5"/>
  <c r="AG23" i="5"/>
  <c r="AE23" i="5"/>
  <c r="AC23" i="5"/>
  <c r="AA23" i="5"/>
  <c r="Y23" i="5"/>
  <c r="L23" i="5"/>
  <c r="P23" i="5" s="1"/>
  <c r="AL23" i="5" l="1"/>
  <c r="AM23" i="5" s="1"/>
  <c r="AO23" i="5" s="1"/>
  <c r="AP23" i="5" s="1"/>
  <c r="M23" i="5"/>
  <c r="Q23" i="5"/>
  <c r="AU23" i="5"/>
  <c r="E21" i="4" s="1"/>
  <c r="V47" i="5"/>
  <c r="U47" i="5"/>
  <c r="W47" i="5" s="1"/>
  <c r="AV23" i="5"/>
  <c r="A46" i="5"/>
  <c r="AR22" i="5"/>
  <c r="AK22" i="5"/>
  <c r="AI22" i="5"/>
  <c r="AG22" i="5"/>
  <c r="AE22" i="5"/>
  <c r="AC22" i="5"/>
  <c r="AA22" i="5"/>
  <c r="Y22" i="5"/>
  <c r="L22" i="5"/>
  <c r="AR21" i="5"/>
  <c r="AV21" i="5" s="1"/>
  <c r="F19" i="4" s="1"/>
  <c r="AK21" i="5"/>
  <c r="AI21" i="5"/>
  <c r="AG21" i="5"/>
  <c r="AE21" i="5"/>
  <c r="AC21" i="5"/>
  <c r="AA21" i="5"/>
  <c r="Y21" i="5"/>
  <c r="L21" i="5"/>
  <c r="M21" i="5" s="1"/>
  <c r="AL21" i="5" l="1"/>
  <c r="AM21" i="5" s="1"/>
  <c r="AO21" i="5" s="1"/>
  <c r="AP21" i="5" s="1"/>
  <c r="AU21" i="5"/>
  <c r="E19" i="4" s="1"/>
  <c r="AL22" i="5"/>
  <c r="AM22" i="5" s="1"/>
  <c r="AO22" i="5" s="1"/>
  <c r="AP22" i="5" s="1"/>
  <c r="AW23" i="5"/>
  <c r="F21" i="4"/>
  <c r="AX23" i="5"/>
  <c r="G21" i="4" s="1"/>
  <c r="AU22" i="5"/>
  <c r="E20" i="4" s="1"/>
  <c r="Q22" i="5"/>
  <c r="P22" i="5"/>
  <c r="AV22" i="5"/>
  <c r="F20" i="4" s="1"/>
  <c r="AB46" i="5"/>
  <c r="M22" i="5"/>
  <c r="Q21" i="5"/>
  <c r="P21" i="5"/>
  <c r="AK11" i="5"/>
  <c r="AI11" i="5"/>
  <c r="AG11" i="5"/>
  <c r="AE11" i="5"/>
  <c r="AC11" i="5"/>
  <c r="AA11" i="5"/>
  <c r="Y11" i="5"/>
  <c r="AK10" i="5"/>
  <c r="AI10" i="5"/>
  <c r="AG10" i="5"/>
  <c r="AE10" i="5"/>
  <c r="AC10" i="5"/>
  <c r="AA10" i="5"/>
  <c r="Y10" i="5"/>
  <c r="AR18" i="5"/>
  <c r="AK18" i="5"/>
  <c r="AI18" i="5"/>
  <c r="AG18" i="5"/>
  <c r="AE18" i="5"/>
  <c r="AC18" i="5"/>
  <c r="AA18" i="5"/>
  <c r="Y18" i="5"/>
  <c r="L18" i="5"/>
  <c r="AR17" i="5"/>
  <c r="AK17" i="5"/>
  <c r="AI17" i="5"/>
  <c r="AG17" i="5"/>
  <c r="AE17" i="5"/>
  <c r="AC17" i="5"/>
  <c r="AA17" i="5"/>
  <c r="Y17" i="5"/>
  <c r="L17" i="5"/>
  <c r="AR16" i="5"/>
  <c r="AK16" i="5"/>
  <c r="AI16" i="5"/>
  <c r="AG16" i="5"/>
  <c r="AE16" i="5"/>
  <c r="AC16" i="5"/>
  <c r="AA16" i="5"/>
  <c r="Y16" i="5"/>
  <c r="L16" i="5"/>
  <c r="M16" i="5" s="1"/>
  <c r="AK8" i="5"/>
  <c r="AI8" i="5"/>
  <c r="AG8" i="5"/>
  <c r="AE8" i="5"/>
  <c r="AC8" i="5"/>
  <c r="AA8" i="5"/>
  <c r="Y8" i="5"/>
  <c r="L8" i="5"/>
  <c r="AK7" i="5"/>
  <c r="AI7" i="5"/>
  <c r="AG7" i="5"/>
  <c r="AE7" i="5"/>
  <c r="AC7" i="5"/>
  <c r="AA7" i="5"/>
  <c r="Y7" i="5"/>
  <c r="L7" i="5"/>
  <c r="AW21" i="5" l="1"/>
  <c r="AX21" i="5"/>
  <c r="G19" i="4" s="1"/>
  <c r="AX22" i="5"/>
  <c r="G20" i="4" s="1"/>
  <c r="AW22" i="5"/>
  <c r="U46" i="5"/>
  <c r="W46" i="5" s="1"/>
  <c r="V46" i="5"/>
  <c r="AL10" i="5"/>
  <c r="AM10" i="5" s="1"/>
  <c r="AO10" i="5" s="1"/>
  <c r="AP10" i="5" s="1"/>
  <c r="AU18" i="5"/>
  <c r="E16" i="4" s="1"/>
  <c r="AL16" i="5"/>
  <c r="AM16" i="5" s="1"/>
  <c r="AO16" i="5" s="1"/>
  <c r="AP16" i="5" s="1"/>
  <c r="AL18" i="5"/>
  <c r="AM18" i="5" s="1"/>
  <c r="AO18" i="5" s="1"/>
  <c r="AP18" i="5" s="1"/>
  <c r="AL7" i="5"/>
  <c r="AM7" i="5" s="1"/>
  <c r="AO7" i="5" s="1"/>
  <c r="AP7" i="5" s="1"/>
  <c r="AQ7" i="5" s="1"/>
  <c r="AR7" i="5" s="1"/>
  <c r="AU7" i="5" s="1"/>
  <c r="AL11" i="5"/>
  <c r="AM11" i="5" s="1"/>
  <c r="AO11" i="5" s="1"/>
  <c r="AP11" i="5" s="1"/>
  <c r="AL17" i="5"/>
  <c r="AM17" i="5" s="1"/>
  <c r="AO17" i="5" s="1"/>
  <c r="AP17" i="5" s="1"/>
  <c r="AL8" i="5"/>
  <c r="AM8" i="5" s="1"/>
  <c r="AO8" i="5" s="1"/>
  <c r="AP8" i="5" s="1"/>
  <c r="AR8" i="5" s="1"/>
  <c r="AU8" i="5" s="1"/>
  <c r="M18" i="5"/>
  <c r="AU17" i="5"/>
  <c r="E15" i="4" s="1"/>
  <c r="M17" i="5"/>
  <c r="AU16" i="5"/>
  <c r="E14" i="4" s="1"/>
  <c r="M7" i="5"/>
  <c r="M8" i="5"/>
  <c r="AK13" i="5"/>
  <c r="AI13" i="5"/>
  <c r="AG13" i="5"/>
  <c r="AE13" i="5"/>
  <c r="AC13" i="5"/>
  <c r="AA13" i="5"/>
  <c r="Y13" i="5"/>
  <c r="AL13" i="5" l="1"/>
  <c r="AM13" i="5" s="1"/>
  <c r="AO13" i="5" s="1"/>
  <c r="AP13" i="5" s="1"/>
  <c r="AR15" i="5"/>
  <c r="AK15" i="5"/>
  <c r="AI15" i="5"/>
  <c r="AG15" i="5"/>
  <c r="AE15" i="5"/>
  <c r="AC15" i="5"/>
  <c r="AA15" i="5"/>
  <c r="Y15" i="5"/>
  <c r="L15" i="5"/>
  <c r="AR14" i="5"/>
  <c r="AK14" i="5"/>
  <c r="AI14" i="5"/>
  <c r="AG14" i="5"/>
  <c r="AE14" i="5"/>
  <c r="AC14" i="5"/>
  <c r="AA14" i="5"/>
  <c r="Y14" i="5"/>
  <c r="L14" i="5"/>
  <c r="M14" i="5" s="1"/>
  <c r="AU14" i="5" l="1"/>
  <c r="AL14" i="5"/>
  <c r="AM14" i="5" s="1"/>
  <c r="AO14" i="5" s="1"/>
  <c r="AP14" i="5" s="1"/>
  <c r="AL15" i="5"/>
  <c r="AM15" i="5" s="1"/>
  <c r="AO15" i="5" s="1"/>
  <c r="AP15" i="5" s="1"/>
  <c r="AU15" i="5"/>
  <c r="M15" i="5"/>
  <c r="AK9" i="5" l="1"/>
  <c r="AK12" i="5"/>
  <c r="AK19" i="5"/>
  <c r="AR19" i="5" l="1"/>
  <c r="AI19" i="5"/>
  <c r="AG19" i="5"/>
  <c r="AE19" i="5"/>
  <c r="AC19" i="5"/>
  <c r="AA19" i="5"/>
  <c r="Y19" i="5"/>
  <c r="L19" i="5"/>
  <c r="M19" i="5" s="1"/>
  <c r="AL19" i="5" l="1"/>
  <c r="AM19" i="5" s="1"/>
  <c r="AO19" i="5" s="1"/>
  <c r="AP19" i="5" s="1"/>
  <c r="AU19" i="5"/>
  <c r="E17" i="4" s="1"/>
  <c r="A42" i="5"/>
  <c r="A43" i="5"/>
  <c r="AB43" i="5" s="1"/>
  <c r="V43" i="5" s="1"/>
  <c r="A45" i="5"/>
  <c r="AB45" i="5" l="1"/>
  <c r="V45" i="5" s="1"/>
  <c r="AB42" i="5"/>
  <c r="U43" i="5"/>
  <c r="W43" i="5" s="1"/>
  <c r="B22" i="4"/>
  <c r="I11" i="4"/>
  <c r="D8" i="4"/>
  <c r="B8" i="4"/>
  <c r="I9" i="4"/>
  <c r="U45" i="5" l="1"/>
  <c r="W45" i="5" s="1"/>
  <c r="U42" i="5"/>
  <c r="W42" i="5" s="1"/>
  <c r="V42" i="5"/>
  <c r="A41" i="5" l="1"/>
  <c r="A39" i="5" l="1"/>
  <c r="A40" i="5"/>
  <c r="A34" i="5"/>
  <c r="AR12" i="5" l="1"/>
  <c r="AI12" i="5"/>
  <c r="AG12" i="5"/>
  <c r="AE12" i="5"/>
  <c r="AC12" i="5"/>
  <c r="AA12" i="5"/>
  <c r="Y12" i="5"/>
  <c r="L12" i="5"/>
  <c r="AL12" i="5" l="1"/>
  <c r="AM12" i="5" s="1"/>
  <c r="AO12" i="5" s="1"/>
  <c r="AP12" i="5" s="1"/>
  <c r="AU12" i="5"/>
  <c r="M12" i="5"/>
  <c r="AR9" i="5"/>
  <c r="Y9" i="5"/>
  <c r="AA9" i="5"/>
  <c r="AC9" i="5"/>
  <c r="AI9" i="5"/>
  <c r="AG9" i="5"/>
  <c r="AE9" i="5"/>
  <c r="AL9" i="5" l="1"/>
  <c r="AM9" i="5" s="1"/>
  <c r="AO9" i="5" s="1"/>
  <c r="AP9" i="5" s="1"/>
  <c r="A36" i="5"/>
  <c r="B10" i="4"/>
  <c r="L9" i="5"/>
  <c r="A37" i="5"/>
  <c r="AB37" i="5" s="1"/>
  <c r="A38" i="5"/>
  <c r="AB39" i="5"/>
  <c r="U39" i="5" s="1"/>
  <c r="AB40" i="5"/>
  <c r="AB41" i="5"/>
  <c r="C10" i="4"/>
  <c r="C11" i="4"/>
  <c r="C12" i="4"/>
  <c r="C13" i="4"/>
  <c r="C14" i="4"/>
  <c r="C22" i="4"/>
  <c r="AB36" i="5" l="1"/>
  <c r="V36" i="5" s="1"/>
  <c r="U40" i="5"/>
  <c r="W40" i="5" s="1"/>
  <c r="V40" i="5"/>
  <c r="U41" i="5"/>
  <c r="W41" i="5" s="1"/>
  <c r="V41" i="5"/>
  <c r="V39" i="5"/>
  <c r="W39" i="5"/>
  <c r="AB38" i="5"/>
  <c r="U38" i="5" s="1"/>
  <c r="V37" i="5"/>
  <c r="U37" i="5"/>
  <c r="W37" i="5" s="1"/>
  <c r="AU9" i="5"/>
  <c r="M9" i="5"/>
  <c r="E11" i="4"/>
  <c r="E12" i="4"/>
  <c r="E13" i="4"/>
  <c r="D9" i="4"/>
  <c r="D10" i="4"/>
  <c r="D11" i="4"/>
  <c r="D12" i="4"/>
  <c r="D22" i="4"/>
  <c r="C9" i="4"/>
  <c r="B9" i="4"/>
  <c r="B11" i="4"/>
  <c r="B12" i="4"/>
  <c r="U36" i="5" l="1"/>
  <c r="W36" i="5" s="1"/>
  <c r="V38" i="5"/>
  <c r="W38" i="5"/>
  <c r="N14" i="5" s="1"/>
  <c r="O14" i="5" s="1"/>
  <c r="E10" i="4"/>
  <c r="A35" i="5"/>
  <c r="N18" i="5" l="1"/>
  <c r="O18" i="5" s="1"/>
  <c r="P18" i="5" s="1"/>
  <c r="Q18" i="5" s="1"/>
  <c r="N20" i="5"/>
  <c r="O20" i="5" s="1"/>
  <c r="N16" i="5"/>
  <c r="O16" i="5" s="1"/>
  <c r="N17" i="5"/>
  <c r="O17" i="5" s="1"/>
  <c r="N15" i="5"/>
  <c r="O15" i="5" s="1"/>
  <c r="AV14" i="5"/>
  <c r="P14" i="5"/>
  <c r="Q14" i="5" s="1"/>
  <c r="N19" i="5"/>
  <c r="O19" i="5" s="1"/>
  <c r="AB35" i="5"/>
  <c r="V35" i="5" s="1"/>
  <c r="E9" i="4"/>
  <c r="N12" i="5"/>
  <c r="O12" i="5" s="1"/>
  <c r="AV12" i="5" s="1"/>
  <c r="F11" i="4" s="1"/>
  <c r="N9" i="5"/>
  <c r="O9" i="5" s="1"/>
  <c r="AV9" i="5" s="1"/>
  <c r="F10" i="4" s="1"/>
  <c r="AV18" i="5" l="1"/>
  <c r="F16" i="4" s="1"/>
  <c r="P20" i="5"/>
  <c r="Q20" i="5" s="1"/>
  <c r="AV20" i="5"/>
  <c r="AV17" i="5"/>
  <c r="F15" i="4" s="1"/>
  <c r="P17" i="5"/>
  <c r="Q17" i="5" s="1"/>
  <c r="P16" i="5"/>
  <c r="Q16" i="5" s="1"/>
  <c r="AV16" i="5"/>
  <c r="F14" i="4" s="1"/>
  <c r="AV15" i="5"/>
  <c r="P15" i="5"/>
  <c r="Q15" i="5" s="1"/>
  <c r="AW14" i="5"/>
  <c r="AX14" i="5" s="1"/>
  <c r="G12" i="4" s="1"/>
  <c r="AV19" i="5"/>
  <c r="F17" i="4" s="1"/>
  <c r="P19" i="5"/>
  <c r="Q19" i="5" s="1"/>
  <c r="U35" i="5"/>
  <c r="W35" i="5" s="1"/>
  <c r="AW12" i="5"/>
  <c r="AX12" i="5" s="1"/>
  <c r="G11" i="4" s="1"/>
  <c r="AW9" i="5"/>
  <c r="AX9" i="5"/>
  <c r="G10" i="4" s="1"/>
  <c r="P9" i="5"/>
  <c r="Q9" i="5" s="1"/>
  <c r="P12" i="5"/>
  <c r="Q12" i="5" s="1"/>
  <c r="AX18" i="5" l="1"/>
  <c r="G16" i="4" s="1"/>
  <c r="AW18" i="5"/>
  <c r="AW20" i="5"/>
  <c r="AX20" i="5"/>
  <c r="AW16" i="5"/>
  <c r="AX16" i="5" s="1"/>
  <c r="G14" i="4" s="1"/>
  <c r="AW17" i="5"/>
  <c r="AX17" i="5"/>
  <c r="G15" i="4" s="1"/>
  <c r="N8" i="5"/>
  <c r="O8" i="5" s="1"/>
  <c r="AW15" i="5"/>
  <c r="AX15" i="5" s="1"/>
  <c r="AW19" i="5"/>
  <c r="AX19" i="5" s="1"/>
  <c r="F13" i="4"/>
  <c r="F12" i="4"/>
  <c r="G13" i="4" l="1"/>
  <c r="G17" i="4"/>
  <c r="AV8" i="5"/>
  <c r="P8" i="5"/>
  <c r="Q8" i="5" s="1"/>
  <c r="C8" i="4"/>
  <c r="AW8" i="5" l="1"/>
  <c r="AX8" i="5" s="1"/>
  <c r="G9" i="4" s="1"/>
  <c r="F9" i="4"/>
  <c r="F22" i="4"/>
  <c r="E22" i="4"/>
  <c r="G22" i="4" l="1"/>
  <c r="AB34" i="5" l="1"/>
  <c r="U34" i="5" s="1"/>
  <c r="I8" i="4" l="1"/>
  <c r="K8" i="4"/>
  <c r="L8" i="4"/>
  <c r="M8" i="4"/>
  <c r="W34" i="5" l="1"/>
  <c r="N7" i="5" s="1"/>
  <c r="O7" i="5" s="1"/>
  <c r="V34" i="5"/>
  <c r="AV7" i="5" l="1"/>
  <c r="P7" i="5"/>
  <c r="Q7" i="5" s="1"/>
  <c r="E8" i="4"/>
  <c r="AW7" i="5" l="1"/>
  <c r="AX7" i="5" s="1"/>
  <c r="G8" i="4" s="1"/>
  <c r="F8" i="4"/>
</calcChain>
</file>

<file path=xl/comments1.xml><?xml version="1.0" encoding="utf-8"?>
<comments xmlns="http://schemas.openxmlformats.org/spreadsheetml/2006/main">
  <authors>
    <author>Emilia Paola Salazar Nuñez</author>
  </authors>
  <commentList>
    <comment ref="AQ4" authorId="0" shapeId="0">
      <text>
        <r>
          <rPr>
            <b/>
            <sz val="9"/>
            <color indexed="81"/>
            <rFont val="Tahoma"/>
            <family val="2"/>
          </rPr>
          <t>Emilia Paola Salazar Nuñez:</t>
        </r>
        <r>
          <rPr>
            <sz val="9"/>
            <color indexed="81"/>
            <rFont val="Tahoma"/>
            <family val="2"/>
          </rPr>
          <t xml:space="preserve">
Realice promedio de los controles de cada causa asociada al riesgo.</t>
        </r>
      </text>
    </comment>
  </commentList>
</comments>
</file>

<file path=xl/sharedStrings.xml><?xml version="1.0" encoding="utf-8"?>
<sst xmlns="http://schemas.openxmlformats.org/spreadsheetml/2006/main" count="842" uniqueCount="261">
  <si>
    <t>Indicador</t>
  </si>
  <si>
    <t>Tiempo</t>
  </si>
  <si>
    <t>Responsable</t>
  </si>
  <si>
    <t>Soporte</t>
  </si>
  <si>
    <t>Opción de Manejo</t>
  </si>
  <si>
    <t>Riesgo Residual</t>
  </si>
  <si>
    <t>Impacto</t>
  </si>
  <si>
    <t>Probabilidad</t>
  </si>
  <si>
    <t>Causas</t>
  </si>
  <si>
    <t>Tipo</t>
  </si>
  <si>
    <t>Riesgo</t>
  </si>
  <si>
    <t>No.</t>
  </si>
  <si>
    <t>Fecha de actualización:</t>
  </si>
  <si>
    <t>RIESGOS DE CORRUPCIÓN</t>
  </si>
  <si>
    <t>Beneficio particular</t>
  </si>
  <si>
    <t>Desviar la gestión de lo público</t>
  </si>
  <si>
    <t>Uso del Poder</t>
  </si>
  <si>
    <t>Calificación Impacto</t>
  </si>
  <si>
    <t>NO</t>
  </si>
  <si>
    <t>SI</t>
  </si>
  <si>
    <t>¿Generar daño ambiental?</t>
  </si>
  <si>
    <t>¿Afectar la imagen nacional?</t>
  </si>
  <si>
    <t>¿Afectar la imagen regional?</t>
  </si>
  <si>
    <t>¿Ocasionar lesiones fisicas o pérdida de vidas humanas?</t>
  </si>
  <si>
    <t>¿Genera perdida de credibilidad del sector?</t>
  </si>
  <si>
    <t>¿Dar lugar a procesos penales?</t>
  </si>
  <si>
    <t>¿Dar lugar a procesos fiscales?</t>
  </si>
  <si>
    <t>¿Dar lugar a procesos disciplinarios?</t>
  </si>
  <si>
    <t>¿Dar lugar a procesos sancionatorios?</t>
  </si>
  <si>
    <t>¿Genera intervención de los organos de control, de la Fiscalia, u otro ente?</t>
  </si>
  <si>
    <t>¿Generar pérdida de información de la Entidad?</t>
  </si>
  <si>
    <t>¿Dar lugar al detrimento de la calidad de vida de la comunidad por la perdida del bien o servicios o los recursos publicos?</t>
  </si>
  <si>
    <t>¿Generar pérdida de recursos económicos?</t>
  </si>
  <si>
    <t>¿Generar perdida de confianza de la Entidad, afectando su reputación?</t>
  </si>
  <si>
    <t>¿Afectar el cumplimiento de misión de la entidad?</t>
  </si>
  <si>
    <t>¿Afectar el cuplimiento de metas y objetivos de la dependencia?</t>
  </si>
  <si>
    <t>¿Afectar al grupo de funcionarios del proceso?</t>
  </si>
  <si>
    <t>Matriz deficinión del Riesgo de Corrupción</t>
  </si>
  <si>
    <t>Total Impacto</t>
  </si>
  <si>
    <t>Identificación del Impacto del Riesgos de Corrupción
Si el riesgo de corrupción se mateializa podría:</t>
  </si>
  <si>
    <t>Descripción del riesgo</t>
  </si>
  <si>
    <t>Zona del riesgo</t>
  </si>
  <si>
    <t>Calificación</t>
  </si>
  <si>
    <r>
      <t xml:space="preserve">Promedio: </t>
    </r>
    <r>
      <rPr>
        <sz val="11"/>
        <color theme="1"/>
        <rFont val="Calibri"/>
        <family val="2"/>
        <scheme val="minor"/>
      </rPr>
      <t>Realice promedio de los controles de cada causa asociada al riesgo.</t>
    </r>
  </si>
  <si>
    <t>Evidencia de la ejecución del control</t>
  </si>
  <si>
    <t>Quépasa con las observaciones o desviaciones</t>
  </si>
  <si>
    <t>Cómo se realiza la actividad de control</t>
  </si>
  <si>
    <t>Propósito</t>
  </si>
  <si>
    <t>La Periodicidad es</t>
  </si>
  <si>
    <t>Segregación y autoridad del Responsable</t>
  </si>
  <si>
    <t>Asignación de Responsable</t>
  </si>
  <si>
    <t>P5</t>
  </si>
  <si>
    <t>P4</t>
  </si>
  <si>
    <t>P3</t>
  </si>
  <si>
    <t>P2</t>
  </si>
  <si>
    <t>P1</t>
  </si>
  <si>
    <t>Consecuencias</t>
  </si>
  <si>
    <t>Descripción</t>
  </si>
  <si>
    <t>Sólidez Individual del Control</t>
  </si>
  <si>
    <t>Calificación de la Ejecución</t>
  </si>
  <si>
    <t>Calificación del Diseño</t>
  </si>
  <si>
    <t>Criterios para evaluación</t>
  </si>
  <si>
    <t>Propósito del Control</t>
  </si>
  <si>
    <t>Periodicidad</t>
  </si>
  <si>
    <t>Control</t>
  </si>
  <si>
    <t>Riesgo Inherente</t>
  </si>
  <si>
    <t>Controles ayudan a disminuir Impacto</t>
  </si>
  <si>
    <t>Controles ayudan a disminuir la Probabilidad</t>
  </si>
  <si>
    <t>Sólidez del Conjunto de Controles</t>
  </si>
  <si>
    <t>Evaluación del Control</t>
  </si>
  <si>
    <t>Control para el Riesgo</t>
  </si>
  <si>
    <t>Anáilsis del riesgo</t>
  </si>
  <si>
    <t>Identificación del Riesgo de Corrupción</t>
  </si>
  <si>
    <t xml:space="preserve">Mapa y Plan de Tratamiento de Riesgos de Corrupción </t>
  </si>
  <si>
    <t>Análsis del riesgo</t>
  </si>
  <si>
    <t>Reducir</t>
  </si>
  <si>
    <t>si</t>
  </si>
  <si>
    <t>Acción u Omisión</t>
  </si>
  <si>
    <t>no</t>
  </si>
  <si>
    <t>Sanciones disciplinarias, fiscales y 
penales</t>
  </si>
  <si>
    <t>No información de inhabilidad por parte del funcionario para participar en procesos de contratación</t>
  </si>
  <si>
    <t>Prevenir</t>
  </si>
  <si>
    <t>Asignado</t>
  </si>
  <si>
    <t>Adecuado</t>
  </si>
  <si>
    <t>Oportuna</t>
  </si>
  <si>
    <t>Confiable</t>
  </si>
  <si>
    <t>Se investigan y resuelven oportunamente</t>
  </si>
  <si>
    <t>Completa</t>
  </si>
  <si>
    <t>Moderado</t>
  </si>
  <si>
    <t>Directamente</t>
  </si>
  <si>
    <t>No disminuye</t>
  </si>
  <si>
    <t>Posibilidad de recibir o solicitar cualquier dádiva o beneficio a nombre propio o de terceros con el fin de celebrar un contrato</t>
  </si>
  <si>
    <t>Investigaciones disciplinarias, fiscales y penales y procesos sancionatorios por parte de los organismos de control</t>
  </si>
  <si>
    <t>Proceso Asociado</t>
  </si>
  <si>
    <t>Durante alguna de las etapas del proceso contractual los funcionarios actúan u omiten para el favorecimiento de terceros</t>
  </si>
  <si>
    <t xml:space="preserve">El profesional de contratación </t>
  </si>
  <si>
    <t>Para todos los procesos de contratación</t>
  </si>
  <si>
    <t>¿Afectar el cumplimiento de la misión del sector al que pertenece la entidad?</t>
  </si>
  <si>
    <t>¿Afectar la generación de los productos o la prestación de servicios?</t>
  </si>
  <si>
    <t>Investigaciones disciplinarias, fiscales y procesos sancionatorios por parte de los organismos de control</t>
  </si>
  <si>
    <t>Profesional de Recursos Físicos</t>
  </si>
  <si>
    <t>Anualmente</t>
  </si>
  <si>
    <t>Detectar</t>
  </si>
  <si>
    <t>Fuerte</t>
  </si>
  <si>
    <t>Circular enviada y correo</t>
  </si>
  <si>
    <t xml:space="preserve">El profesional de recursos físicos </t>
  </si>
  <si>
    <t xml:space="preserve">Circulares enviadas / Circulares planeadas </t>
  </si>
  <si>
    <t>GESTIÓN CONTRACTUAL</t>
  </si>
  <si>
    <t>Posibilidad de vinculación o encargo a un servidor que no cumple con los requisitos existentes en el manual de funciones en favor de un tercero</t>
  </si>
  <si>
    <t>Corrupción Fraude Interno</t>
  </si>
  <si>
    <t>El personal que se contrate no cumpla con los requisitos establecidos en el manual de funciones para favorecimiento a un tercero</t>
  </si>
  <si>
    <t xml:space="preserve">Presiones de funcionarios con poder de decisión.
</t>
  </si>
  <si>
    <t>GESTIÓN DEL TALENTO HUMANO</t>
  </si>
  <si>
    <t>GESTIÓN DE RECURSOS FÍSICOS</t>
  </si>
  <si>
    <t>Profesional de Gestión Humana</t>
  </si>
  <si>
    <t>Cada vez que vaya a haber una vinculación de personal</t>
  </si>
  <si>
    <t>El subdirector  Administrativo y financiero</t>
  </si>
  <si>
    <t>Cada que realiza una evaluación de hoja de vida</t>
  </si>
  <si>
    <t>Hojas de vida evaluadas/personal vinculado</t>
  </si>
  <si>
    <t>Soborno o cohecho con el fin de favorecer a un tercero dentro de los procesos sancionatorios o de licencias y permisos</t>
  </si>
  <si>
    <t>Falta ética profesional y sentido de pertenencia
Desintegración social
y económica de la
región</t>
  </si>
  <si>
    <t>Enriquecimiento ilícito de contratistas y/o funcionarios
Sanciones disciplinarias, fiscales y/o penales.
Deterioro imagen institucional.</t>
  </si>
  <si>
    <t xml:space="preserve">AUTORIDAD AMBIENTAL </t>
  </si>
  <si>
    <t>Intereses políticos
Presión de grupos armados</t>
  </si>
  <si>
    <t>Falta de ética profesional y sentido de pertenencia hacia la entidad como servidor público</t>
  </si>
  <si>
    <t>En caso de que se detecte posible materialización del riesgo se informa a los entes de control pertinentes para que realice las investigaciones correspondiente</t>
  </si>
  <si>
    <t>Acción de contingencia en caso de materialización del riesgo</t>
  </si>
  <si>
    <t>Funcionarios Directivos</t>
  </si>
  <si>
    <t>Profesional de Talento Humano</t>
  </si>
  <si>
    <t>Documentación relacionada con la política de conflicto de intereses aprobada</t>
  </si>
  <si>
    <t>Reportar a las entidaes de control correspondientes</t>
  </si>
  <si>
    <t>Divulgar e interiorizar el Código de Integridad que incorpora lineamientos claros y precisos sobre temas de conflicto de intereses, canales de denuncia de hechos de corrupción, mecanismos para la protección al denunciante.</t>
  </si>
  <si>
    <t xml:space="preserve">Profesional de Talento humano, 
Asesor de Dirección
</t>
  </si>
  <si>
    <t>Evidencias de divulgación</t>
  </si>
  <si>
    <t>Mínimo una actividad en el año</t>
  </si>
  <si>
    <t>Posibilidad de recibir o solicitar cualquier dádiva o beneficio a nombre propio o de terceros dentro de algunas de las etapas previstas en la atención de infracciones o en el otorgamiento de licencias y permisos sin el cumplimiento de requisitos legales</t>
  </si>
  <si>
    <t>En el caso de encontrar incosistencias de tipo legal en el procedimiento de atención de infracciones y/o licencias y permisos se debe reportar a las autoridades competentes</t>
  </si>
  <si>
    <t>Posibilidad de divulgación o suministro de información privilegiada para beneficio particular o de un tercero mediante los canales de atención formales o informales</t>
  </si>
  <si>
    <t>La información de expendientes sancionatorios o de trámites de licencias y permisos sea divulgada a un tercero para su favorecimiento</t>
  </si>
  <si>
    <t>Pérdida de credibilidad en la entidad
Sanciones disciplinarias, fiscales y 
penales</t>
  </si>
  <si>
    <t>Estudios previos</t>
  </si>
  <si>
    <t>Gestiones realizadas</t>
  </si>
  <si>
    <t xml:space="preserve">La Subdirección de Regulación y Calidad Ambiental
</t>
  </si>
  <si>
    <t>Profesional Universitario de Gestión Documental
Profesional de talento humano y asesor de dirección</t>
  </si>
  <si>
    <t>Que el plan de acción institucional se ejecute con la intención de favorecimiento a intereses particulares y no se ajusta a las necesidades derivadas del diagnóstico ambiental de la jurisdicción</t>
  </si>
  <si>
    <t>Pérdida de credibilidad en la entidad
Sanciones disciplinarias, fiscales y 
penales
Demandas para la entidad</t>
  </si>
  <si>
    <t xml:space="preserve">Posibilidad de recibir o solicitar cualquier dádiva o beneficio a nombre propio o de terceros a cambio de entregar o manipular información </t>
  </si>
  <si>
    <t>Personal no autorizado acceda a aplicativos o sistemas de información con la intención de entregar a un tercero o manipular información reservada</t>
  </si>
  <si>
    <t>Influencia de particulares   o   terceros interesados
Intereses políticos
Acceso a herramientas por trabajo remoto sin controles</t>
  </si>
  <si>
    <t>Demandas para la entidad
Pérdida de confianza en lo público
Sanciones disciplinarias, fiscales y 
penales</t>
  </si>
  <si>
    <t>GESTIÓN DE SERVICIOS TICS</t>
  </si>
  <si>
    <t>El profesional de contratación, publica  dando cumplimiento a los cronogramas de los procesos contractuales en el SECOP con el fin de dar cumplimiento al principio de publicidad y contradicción  y de esta manera promover la transparencia en los procesos. 
Como evidencia se tiene el cargue de la información en la pagina del SECOP. 
En caso de presentarse observaciones a las condiciones solicitadas en los documentos publicados, se procedara a realizar los ajustes mediante adendas de acuerdo a viabilidad técnica y legal.</t>
  </si>
  <si>
    <t>ORDENAMIENTO TERRITORIAL Y CAMBIO CLIMÁTICO</t>
  </si>
  <si>
    <t>Posibilidad de recibir o solicitar cualquier dádiva o beneficio a nombre propio o de terceros a cambio de procesos de Planificación del Territorio sesgados a intereses particulares</t>
  </si>
  <si>
    <t>Que los conceptos técnicos se emitan favoreciendo intereses de particulares</t>
  </si>
  <si>
    <t>Influencia de particulares   o   terceros interesados
Intereses políticos</t>
  </si>
  <si>
    <t xml:space="preserve">no </t>
  </si>
  <si>
    <t>Cada vez que se emite un concepto</t>
  </si>
  <si>
    <t xml:space="preserve">Socializar el código de integridad en reunión de participación general de funcionarios y contratistas de la entidad </t>
  </si>
  <si>
    <t>Talento Humano</t>
  </si>
  <si>
    <t xml:space="preserve">anual </t>
  </si>
  <si>
    <t>actividad realizada / actividad programada</t>
  </si>
  <si>
    <t>Listado de asistencia</t>
  </si>
  <si>
    <t>Posibilidad de Violación al régimen constitucional y/o legal de inhabilidades e incompatibilidades y conflicto de intereses, para obtener beneficio a nombre propio o de terceros</t>
  </si>
  <si>
    <t>Acciones adicionales al control</t>
  </si>
  <si>
    <t>Acciones adicionales al Control</t>
  </si>
  <si>
    <t xml:space="preserve">Intereses políticos
Intereses personales o para beneficios a terceros </t>
  </si>
  <si>
    <t>Posibilidad de recibir o solicitar cualquier dádiva o beneficio a nombre propio o de terceros a cambio de no ejercer adecuada y oportunamente la defensa judicial</t>
  </si>
  <si>
    <t>Que el abogado que ejerce la representación judicial de la entidad llegue a acuerdos con el abogado o el demandante en perjuicio de la entidad</t>
  </si>
  <si>
    <t>GESTIÓN JURÍDICA</t>
  </si>
  <si>
    <t>Seguimiento al cumplimiento de términos para actuación oportuna</t>
  </si>
  <si>
    <t>Secretario General</t>
  </si>
  <si>
    <t>Permante</t>
  </si>
  <si>
    <t>Revisión y aprobación de los conceptos de elegibilidad y viabilidad por parte de los subdirectores de Planeación y Gestión Ambiental.</t>
  </si>
  <si>
    <t>subdirectores de Planeación y Gestión Ambiental.</t>
  </si>
  <si>
    <t>Cada vez que se emite un concepto de elegibilidad y viabilidad</t>
  </si>
  <si>
    <r>
      <t xml:space="preserve">Mapa Riesgos de Corrupción
</t>
    </r>
    <r>
      <rPr>
        <sz val="16"/>
        <color rgb="FF000000"/>
        <rFont val="Arial"/>
        <family val="2"/>
      </rPr>
      <t>T-CAM-144. Versión 01. Julio 30 de 2021</t>
    </r>
  </si>
  <si>
    <t xml:space="preserve">Los funcionarios directivos deben suscribir la declaración de conflicto de intereses en donde se comprometen a declararse impedido de participar en cualquiera de las etapas del proceso contractual </t>
  </si>
  <si>
    <t>Técnico Gestión Documental
Asesor de dirección
Coordinador de Sistemas</t>
  </si>
  <si>
    <t>Cada administrador de aplicativo o software</t>
  </si>
  <si>
    <t>Durante alguna de las etapas del proceso contractual los funcionarios no informen de su inhabilidad para participación en el mismo con el fin de obtener beneficio a nombre propio o de terceros</t>
  </si>
  <si>
    <t>Cada vez que vaya a cubrir una vacante, se verifica que se cumplan los requisitos del cargo descritos en el manual de funciones vigente dejando registro en la T-CAM-018, para el caso de funcionarios de carrera que se haya efectuado el concurso de méritos.</t>
  </si>
  <si>
    <t>Reporte de conflicto de intereses</t>
  </si>
  <si>
    <t>semestral</t>
  </si>
  <si>
    <t>El subdirector administrativo y financiero cada vez que la profesional de gestión humana realiza una evaluación de hoja de vida , la verifica dejando como evidencia el visto bueno en la T-CAM-018</t>
  </si>
  <si>
    <t>El profesional de gestión humana en caso de conocer que existe conflicto de intereses con algún candidato al cual le deba realizar la evaluación de hoja de vida, reporta al jefe inmediato para que se proceda conforme al procedimiento de conflicto de intereses</t>
  </si>
  <si>
    <t>ok en pensemos</t>
  </si>
  <si>
    <t>Cada vez que un elemento o bien mueble de la corporación va a ser utilizado  fuera de las sedes en actividades propias de la entidad, el jefe de la respectiva dependencia debe autorizar la salida de los mismos</t>
  </si>
  <si>
    <t>En todos los casos, el personal de seguridad revisa los vehículos que salen de la sede principal de la corporación con el fin de verificar si se están retirando elementos  de propiedad de entidad y si es el caso solicitar la respectiva autorización</t>
  </si>
  <si>
    <t>El profesional de recursos físicos y servicios generales, mínimo una vez al año realiza la verificación del inventario de bienes que se encuentren en la cuenta de propiedad planta y equipo, con el fin de verificar el estado, ubicación y responsable a cargo de los bienes, quedando evidenciado en el aplicativo de gestión de inventarios - HASNET</t>
  </si>
  <si>
    <t>Sensibilizar al personal mediante circular para que se realice una adecuada custodia de los elementos a cargo y se reporten de manera oportuna las novedades respecto de los mismos</t>
  </si>
  <si>
    <t>Posibilidad de recibir beneficio a nombre propio o de terceros; por utilización de bienes de propiedad de la corporación en actividades propias del tenedor o de terceros</t>
  </si>
  <si>
    <t>De manera anual, durante las auditorías especiales de seguimiento  a expedientes de licencias y permisos realizadas a las Direcciones Territoriales por parte de la SRCA,  se revisan aquellos los trámites que presenten extemporaneidad en su atención.
Las observaciones serán consignadas en el informe y la Dirección Territorial generará las acciones de mejora a que hayan lugar, cuando no impliquen incumplimientos legales.
La evidencia del control son los informes de auditoría  y/o Actas de Encuentros Conversacionales.
Para el caso de los tramites de licencias y permisos a cargo de la SRCA, la verificación de los expedientes se realiza a través de la auditoria interna del sistema integrado de gestión</t>
  </si>
  <si>
    <t xml:space="preserve">Hacer seguimiento a la aplicación del procedimiento de conflicto de intereses </t>
  </si>
  <si>
    <t>Informe de seguimiento</t>
  </si>
  <si>
    <t>Realizar sensibilización del código de integridad y valores del servidor público</t>
  </si>
  <si>
    <t>Que se utilicen bienes de propiedad de la corporacion en actividades que no son propias de la entidad</t>
  </si>
  <si>
    <t>El subdirector administrativo y financiero</t>
  </si>
  <si>
    <t>cada vez que la profesional de gestión humana realiza una evaluación de hoja de vida</t>
  </si>
  <si>
    <t>Auditorias Internas de control interno de gestión y sistema integrado de gestión</t>
  </si>
  <si>
    <t>Auditorias realizadas</t>
  </si>
  <si>
    <t>Cada sistema de información cuenta con un administrados encargado de asignar usuarios y permisos de acuerdo con el rol del funcionario</t>
  </si>
  <si>
    <t>Cada vez que se registra una novedad de ingreso o retiro de usuario</t>
  </si>
  <si>
    <t>Los Subdirectores  y el Director general aprueban las concertaciones ambientales de los POT con  los entes territoriales, una vez son remitidas por el equipo de SPOT</t>
  </si>
  <si>
    <t>Subdirectores,
Director General</t>
  </si>
  <si>
    <t>el jefe de la respectiva dependencia</t>
  </si>
  <si>
    <t>Cada vez que un elemento o bien mueble de la corporación va a ser utilizado  fuera de las sedes en actividades propias de la entidad,</t>
  </si>
  <si>
    <t>el personal de seguridad</t>
  </si>
  <si>
    <t>En todos los casos</t>
  </si>
  <si>
    <t>GESTIÓN AMBIENTAL</t>
  </si>
  <si>
    <t>Diciembre de 2022</t>
  </si>
  <si>
    <t>Inadvertencia posibles situaciones que puedan derivar actos de corrupción a causa de influencia en las auditorias, manipulación indebida y/o ocultamiento de la información analizada por OCI y relevante en la gestión de la entidad para favorecer a un tercero, provocando pérdida de confiabilidad de la comunidad en general y al interior de la entidad</t>
  </si>
  <si>
    <t xml:space="preserve"> influencia en las auditorias, manipulación indebida y/o ocultamiento de la información analizada por OCI y relevante en la gestión de la entidad para favorecer a un tercero</t>
  </si>
  <si>
    <t>provocando pérdida de confiabilidad de la comunidad en general y al interior de la entidad</t>
  </si>
  <si>
    <t>CONTROL DE GESTIÓN (control interno)</t>
  </si>
  <si>
    <t>4- Mayor</t>
  </si>
  <si>
    <t xml:space="preserve"> Cada año, el asesor de dirección construye el Programa Anual de Auditorias de acuerdo a la normatividad que enmarca el ejercicio de la Oficina de Control Interno, teniendo en cuenta los 5 roles que desempeña, el cual debe ser aprobado en comité coordinador de control interno; dejando como evidencia el acta de comité
El asesor de dirección, cada vez que realice auditoria socializa a la alta dirección y a los auditados los resultados de las mismas, con el fin de dar a conocer las falencias que se encontraron en cada proceso auditado, dejando evidencia en el correo electrónico y/o acta de comité
Cada vez que el asesor de dirección reporta información a entes de control, la misma es analizada y consolidada a partir de los datos enviados por los responsables de los procesos; con el fin de que la misma sea veraz, dejando evidencia en las solicitudes de información a las dependencias y la información allegada por cada una de ellas
De manera cuatrimestral, el asesor de dirección genera el informe de seguimiento a riesgos de gestión y corrupción en donde describe si se han materializado riesgos de corrupción y el tratamiento que se le ha dado así como su seguimiento. El informe es publicado en la página web de la corporación, lo anterior con el fin de generar confianza en la comunidad mostrando que se está realizando el debido seguimiento.
En todos los casos en que se detecte una situación que pueda derivar un posible acto de corrupción; el asesor de dirección informa a control interno disciplinario para que se dé el trámite correspondiente, dejando evidencia en las comunicaciones realizadas
 Cada vez que se reciba denuncia de parte de la ciudadanía; relacionada con posibles actos de corrupción presuntamente cometidos por servidores públicos de la CAM, el asesor de dirección analiza la información y remite a control interno disciplinario para que se dé el trámite correspondiente e informe al ciudadano, dejando evidencia en las comunicaciones realizadas
</t>
  </si>
  <si>
    <t>Asesor Dirección</t>
  </si>
  <si>
    <t>Crear formato para carta representación en la que se establece la veracidad, calidad y oportunidad de la entrega de la información por parte del auditado y la carta de compromiso en la cual se describe la naturaleza y alcance de la auditoría y la responsabilidad del auditor</t>
  </si>
  <si>
    <t>formatos establecidos</t>
  </si>
  <si>
    <t>Poner en conocimiento de las autoridades competentes</t>
  </si>
  <si>
    <t>Divulgación del índice de información clasificada y reservada, actualizado</t>
  </si>
  <si>
    <t>Posibilidad de adulteración o sustracción de documentos de expedientes en custodia de archivo central para recibir beneficio a nombre propio o de terceros; debido al acceso de personal de la corporación a los expendientes en calidad de préstamo, generando pérdida de memoria institucional y sanciones e investigaciones</t>
  </si>
  <si>
    <t>acceso de personal de la corporación a los expendientes en calidad de préstamo,</t>
  </si>
  <si>
    <t>pérdida de memoria institucional y sanciones e investigaciones</t>
  </si>
  <si>
    <t>GESTIÓN DOCUMENTAL</t>
  </si>
  <si>
    <t xml:space="preserve"> Cada vez que se va a realizar una transferencia de archivo de gestión a archivo central, el funcionario entrega el expediente foliado y se diligencia la T-CAM-023_Transferencia_Documental, relacionando el número de folios que contiene cada expediente; éste registro es firmado por el funcionario que entrega y el que recibe en archivo central; en caso de evidenciar está incompleto o erróneo se devuelve para su ajuste
Cada vez que se realiza el préstamo de un expediente, se realiza solo a funcionarios de planta y se deja registro en la T-CAM-024_Control_Préstamo_de Documentos_Archivo_Central, con el fin de evidenciar el estado en que se entrega el expediente
 Cada vez que se recibe en archivo central, el expediente que ha sido prestado se revisa el mismo; con el fin de verificar que es devuelto en las mismas condiciones, especialmente se revisa el número de folios y se deja registro en la T-CAM-024_Control_Préstamo_de Documentos_Archivo_Central, en caso de evidenciar que el expediente está incompleto no se recibe
 Cada vez que se evidencie la adulteración de un expediente que ha sido prestado se informa a la autoridad competente, con el fin de que adelanten los trámites correspondientes</t>
  </si>
  <si>
    <t>Profesional gestion documental</t>
  </si>
  <si>
    <t>Cada vez que se realiza préstamo de expedientes</t>
  </si>
  <si>
    <t>Indirectamente</t>
  </si>
  <si>
    <t>Actualización del índice de información clasificada y Reservada con base en las nuevas tablas de retención documental</t>
  </si>
  <si>
    <t>Profesional gestión documental</t>
  </si>
  <si>
    <t xml:space="preserve">Indice de información clasificada y reservada actualizado </t>
  </si>
  <si>
    <t>Pago de obligaciones sin el cumplimiento de la totalidad de los requisitos legales o mediante la acreditación de documentos falsos, debido a falta de verificación de los requisitos para favorecimiento a terceros o intereses personales por falta de ética profesional y presión de algunos grupos de interés, generando sanciones y/o demandas en contra de la entidad y perdida de confiabilidad de la comunidad hacia la entidad</t>
  </si>
  <si>
    <t>por falta de ética profesional y presión de algunos grupos de interés</t>
  </si>
  <si>
    <t>generando sanciones y/o demandas en contra de la entidad y perdida de confiabilidad de la comunidad hacia la entidad</t>
  </si>
  <si>
    <t xml:space="preserve"> El profesional de contabilidad, cada vez que va a realizar la causación de una obligación revisa que todos los soportes hayan sido remitidos por parte del supervisor, en caso de estar incompletos o contener datos erróneos informa al supervisor para que se realicen los ajustes correspondientes
El tesorero de la corporación cada vez que va a tramitar un pago revisa, la correcta causación de las obligaciones con los soportes y carga en el sistema para el correspondiente pago, en caso de que encontrar incompleto o con datos incorrectos lo devuelve al profesional de contabilidad para los ajustes
El subdirector administrativo y financiero, revisa todos los pagos a realizar y los autoriza a través del sistema, en caso de encontrar inconsistencias informa a los profesionales de tesorería y contabilidad para que realicen los ajustes a que haya lugar
En caso de que el subdirector administrativo y financiero, identifique que se realizó la causación sin cumplimiento de requisitos para favorecer a un tercero, que exista un conflicto de interés o por favoritismo; informa a control interno disciplinario para que surta el trámite correspondiente, dejando evidencia de las comunicaciones realizadas</t>
  </si>
  <si>
    <t>Profesionales de la subdirección administrativa y financiera</t>
  </si>
  <si>
    <t>Durante la causación y pago de las obligaciones</t>
  </si>
  <si>
    <t>Identificar el nivel de apropiación del código de integridad
 Implementar acciones de sensibilización de los valores del código de integridad</t>
  </si>
  <si>
    <t>Asesor de Dirección
Profesional gestión humana</t>
  </si>
  <si>
    <t xml:space="preserve">Informes </t>
  </si>
  <si>
    <t>Informes generados</t>
  </si>
  <si>
    <t>GESTIÓN FINANCIERA</t>
  </si>
  <si>
    <t>Informes de Auditoria Interna</t>
  </si>
  <si>
    <t>Asesor de Dirección y profesional SIG</t>
  </si>
  <si>
    <t>Planes de tratamiento</t>
  </si>
  <si>
    <t>Nivel de severidad del Riesgo</t>
  </si>
  <si>
    <t>Posibilidad de recibir o solicitar cualquier dádiva o beneficio a nombre propio o de terceros con el fin de tomar decisiones ajustada a intereses particulares cuando se determina la eligibilidad y   viabilidad de un proyecto</t>
  </si>
  <si>
    <t xml:space="preserve">Asesor de Dirección </t>
  </si>
  <si>
    <t>Posibilidad de recibir o solicitar cualquier dádiva o beneficio a nombre propio o de terceros con el fin de tomar decisiones en materia regulatoria ajustada a sus intereses</t>
  </si>
  <si>
    <t xml:space="preserve"> Pérdida de credibilidad en la entidad
 Procesos administrativos y disciplinarios
 Demandas a la entidad</t>
  </si>
  <si>
    <t>Intereses políticos Presión de grupos armados</t>
  </si>
  <si>
    <t>Realiza auditorías especiales de seguimiento a expedientes de infracciones ambientales y licencias y permisos ambientales en las Direcciones Territoriales para observar el estricto cumplimiento del procedimiento y la normatividad vigente. En caso de encontrarse inconsistencias, éstas serán consignadas en el informe y la Dirección Territorial generará las acciones de mejora a que hayan lugar. La evidencia del control son los informes de auditoría y/o Actas de Encuentros Conversacionales.</t>
  </si>
  <si>
    <t>Profesional Jurídico SRCA</t>
  </si>
  <si>
    <t>Semestral</t>
  </si>
  <si>
    <t>Documentar procedimiento de conflicto de intereses</t>
  </si>
  <si>
    <t>procedimiento</t>
  </si>
  <si>
    <t>Profesional gestión humana</t>
  </si>
  <si>
    <t>Procedimiento</t>
  </si>
  <si>
    <t>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</si>
</sst>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4"/>
      <color rgb="FFFF0000"/>
      <name val="Calibri"/>
      <family val="2"/>
      <scheme val="minor"/>
    </font>
    <font>
      <b/>
      <sz val="14"/>
      <color rgb="FF000000"/>
      <name val="Calibri"/>
      <family val="2"/>
      <scheme val="minor"/>
    </font>
    <font>
      <b/>
      <sz val="14"/>
      <color indexed="8"/>
      <name val="Calibri"/>
      <family val="2"/>
      <scheme val="minor"/>
    </font>
    <font>
      <sz val="12"/>
      <color indexed="8"/>
      <name val="Calibri"/>
      <family val="2"/>
      <scheme val="minor"/>
    </font>
    <font>
      <b/>
      <sz val="36"/>
      <color rgb="FF000000"/>
      <name val="Calibri"/>
      <family val="2"/>
      <scheme val="minor"/>
    </font>
    <font>
      <b/>
      <sz val="11"/>
      <color indexed="8"/>
      <name val="Calibri"/>
      <family val="2"/>
      <scheme val="minor"/>
    </font>
    <font>
      <sz val="12"/>
      <color theme="1"/>
      <name val="Calibri"/>
      <family val="2"/>
      <scheme val="minor"/>
    </font>
    <font>
      <b/>
      <sz val="8"/>
      <color theme="1"/>
      <name val="Calibri"/>
      <family val="2"/>
      <scheme val="minor"/>
    </font>
    <font>
      <b/>
      <sz val="9"/>
      <color indexed="81"/>
      <name val="Tahoma"/>
      <family val="2"/>
    </font>
    <font>
      <sz val="9"/>
      <color indexed="81"/>
      <name val="Tahoma"/>
      <family val="2"/>
    </font>
    <font>
      <sz val="10"/>
      <name val="Arial"/>
      <family val="2"/>
    </font>
    <font>
      <sz val="11"/>
      <color theme="1"/>
      <name val="Calibri"/>
      <family val="2"/>
    </font>
    <font>
      <sz val="16"/>
      <color rgb="FF00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CCFF99"/>
        <bgColor indexed="64"/>
      </patternFill>
    </fill>
    <fill>
      <patternFill patternType="solid">
        <fgColor rgb="FFCCFFCC"/>
        <bgColor indexed="64"/>
      </patternFill>
    </fill>
    <fill>
      <patternFill patternType="solid">
        <fgColor rgb="FFFF000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4" fillId="0" borderId="0"/>
  </cellStyleXfs>
  <cellXfs count="146">
    <xf numFmtId="0" fontId="0" fillId="0" borderId="0" xfId="0"/>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0"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2" xfId="0" applyFont="1" applyFill="1" applyBorder="1" applyAlignment="1">
      <alignment vertical="center" wrapText="1"/>
    </xf>
    <xf numFmtId="0" fontId="0" fillId="0" borderId="4" xfId="0" applyFont="1" applyFill="1" applyBorder="1" applyAlignment="1">
      <alignment horizontal="center" vertical="center" wrapText="1"/>
    </xf>
    <xf numFmtId="14" fontId="10" fillId="0" borderId="0" xfId="0" applyNumberFormat="1"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14" fontId="10" fillId="0" borderId="3" xfId="0" applyNumberFormat="1" applyFont="1" applyFill="1" applyBorder="1" applyAlignment="1">
      <alignment horizontal="center" vertical="center" textRotation="90" wrapText="1"/>
    </xf>
    <xf numFmtId="0" fontId="5" fillId="2" borderId="2"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0" borderId="4" xfId="0" applyFont="1" applyFill="1" applyBorder="1" applyAlignment="1">
      <alignment vertical="center" wrapText="1"/>
    </xf>
    <xf numFmtId="0" fontId="0"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6" xfId="0" applyFont="1" applyFill="1" applyBorder="1" applyAlignment="1">
      <alignment vertical="center" wrapText="1"/>
    </xf>
    <xf numFmtId="0" fontId="0" fillId="2" borderId="2" xfId="0" applyFont="1" applyFill="1" applyBorder="1" applyAlignment="1">
      <alignment horizontal="left"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14" fontId="10" fillId="0" borderId="3" xfId="0" applyNumberFormat="1"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0" fontId="0" fillId="0" borderId="6" xfId="0" applyFont="1" applyFill="1" applyBorder="1" applyAlignment="1">
      <alignment vertical="center" wrapText="1"/>
    </xf>
    <xf numFmtId="0" fontId="2" fillId="5" borderId="3" xfId="0" applyFont="1" applyFill="1" applyBorder="1" applyAlignment="1">
      <alignment horizontal="center" vertical="center" wrapText="1"/>
    </xf>
    <xf numFmtId="0" fontId="0" fillId="0" borderId="2" xfId="0" applyFont="1" applyFill="1" applyBorder="1" applyAlignment="1">
      <alignment vertical="center" wrapText="1"/>
    </xf>
    <xf numFmtId="0" fontId="0" fillId="2"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10" fillId="0" borderId="3" xfId="0" applyNumberFormat="1"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0" fontId="0" fillId="0" borderId="6"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15" fillId="0" borderId="2" xfId="0" applyFont="1" applyFill="1" applyBorder="1" applyAlignment="1" applyProtection="1">
      <alignment horizontal="center" vertical="center" wrapText="1"/>
      <protection locked="0"/>
    </xf>
    <xf numFmtId="0" fontId="0" fillId="0" borderId="2"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10" fillId="0" borderId="3" xfId="0" applyNumberFormat="1"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0" fillId="2" borderId="3" xfId="0"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14" fontId="10" fillId="0" borderId="3" xfId="0" applyNumberFormat="1"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2"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wrapText="1"/>
    </xf>
    <xf numFmtId="14" fontId="10" fillId="0" borderId="11" xfId="0" applyNumberFormat="1" applyFont="1" applyFill="1" applyBorder="1" applyAlignment="1">
      <alignment horizontal="center" vertical="center" textRotation="90" wrapText="1"/>
    </xf>
    <xf numFmtId="14" fontId="10" fillId="0" borderId="10" xfId="0" applyNumberFormat="1" applyFont="1" applyFill="1" applyBorder="1" applyAlignment="1">
      <alignment horizontal="center" vertical="center" textRotation="90" wrapText="1"/>
    </xf>
    <xf numFmtId="14" fontId="10" fillId="0" borderId="3" xfId="0" applyNumberFormat="1"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0" fillId="0" borderId="2" xfId="0" applyNumberFormat="1" applyFont="1" applyFill="1" applyBorder="1" applyAlignment="1">
      <alignment vertical="center" wrapText="1"/>
    </xf>
  </cellXfs>
  <cellStyles count="2">
    <cellStyle name="Normal" xfId="0" builtinId="0"/>
    <cellStyle name="Normal 2" xfId="1"/>
  </cellStyles>
  <dxfs count="164">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22"/>
  <sheetViews>
    <sheetView showGridLines="0" tabSelected="1" view="pageBreakPreview" topLeftCell="A2" zoomScaleNormal="85" zoomScaleSheetLayoutView="100" workbookViewId="0">
      <selection activeCell="D9" sqref="D9"/>
    </sheetView>
  </sheetViews>
  <sheetFormatPr baseColWidth="10" defaultColWidth="11.5703125" defaultRowHeight="15" x14ac:dyDescent="0.25"/>
  <cols>
    <col min="1" max="1" width="11.5703125" style="1"/>
    <col min="2" max="3" width="38.42578125" style="1" customWidth="1"/>
    <col min="4" max="4" width="31.42578125" style="1" customWidth="1"/>
    <col min="5" max="5" width="11.5703125" style="1" bestFit="1" customWidth="1"/>
    <col min="6" max="8" width="13.42578125" style="1" customWidth="1"/>
    <col min="9" max="9" width="42.140625" style="1" customWidth="1"/>
    <col min="10" max="10" width="30.42578125" style="1" customWidth="1"/>
    <col min="11" max="11" width="16.42578125" style="1" customWidth="1"/>
    <col min="12" max="12" width="14.5703125" style="1" bestFit="1" customWidth="1"/>
    <col min="13" max="13" width="22.5703125" style="1" customWidth="1"/>
    <col min="14" max="14" width="24.42578125" style="1" bestFit="1" customWidth="1"/>
    <col min="15" max="15" width="17.5703125" style="1" bestFit="1" customWidth="1"/>
    <col min="16" max="26" width="11.5703125" style="1"/>
    <col min="27" max="27" width="19" style="1" customWidth="1"/>
    <col min="28" max="32" width="11.5703125" style="1"/>
    <col min="33" max="33" width="16.42578125" style="1" customWidth="1"/>
    <col min="34" max="34" width="17.42578125" style="1" customWidth="1"/>
    <col min="35" max="40" width="11.5703125" style="1"/>
    <col min="41" max="41" width="16.5703125" style="1" customWidth="1"/>
    <col min="42" max="47" width="11.5703125" style="1"/>
    <col min="48" max="48" width="15.5703125" style="1" customWidth="1"/>
    <col min="49" max="16384" width="11.5703125" style="1"/>
  </cols>
  <sheetData>
    <row r="1" spans="1:24" ht="94.35" customHeight="1" x14ac:dyDescent="0.25">
      <c r="A1" s="81" t="s">
        <v>73</v>
      </c>
      <c r="B1" s="82"/>
      <c r="C1" s="82"/>
      <c r="D1" s="82"/>
      <c r="E1" s="82"/>
      <c r="F1" s="82"/>
      <c r="G1" s="82"/>
      <c r="H1" s="82"/>
      <c r="I1" s="82"/>
      <c r="J1" s="82"/>
      <c r="K1" s="82"/>
      <c r="L1" s="82"/>
      <c r="M1" s="82"/>
      <c r="N1" s="83"/>
    </row>
    <row r="2" spans="1:24" ht="15.6" customHeight="1" x14ac:dyDescent="0.25">
      <c r="B2" s="18"/>
      <c r="C2" s="18"/>
      <c r="D2" s="18"/>
    </row>
    <row r="3" spans="1:24" ht="15.6" customHeight="1" x14ac:dyDescent="0.25">
      <c r="B3" s="86" t="s">
        <v>13</v>
      </c>
      <c r="C3" s="86"/>
      <c r="D3" s="86"/>
    </row>
    <row r="5" spans="1:24" ht="27.6" customHeight="1" x14ac:dyDescent="0.25">
      <c r="A5" s="84" t="s">
        <v>12</v>
      </c>
      <c r="B5" s="84"/>
      <c r="C5" s="145" t="s">
        <v>260</v>
      </c>
      <c r="D5" s="145"/>
    </row>
    <row r="6" spans="1:24" x14ac:dyDescent="0.25">
      <c r="B6" s="17"/>
      <c r="C6" s="17"/>
      <c r="D6" s="17"/>
    </row>
    <row r="7" spans="1:24" ht="89.45" customHeight="1" x14ac:dyDescent="0.25">
      <c r="A7" s="16" t="s">
        <v>11</v>
      </c>
      <c r="B7" s="16" t="s">
        <v>10</v>
      </c>
      <c r="C7" s="16" t="s">
        <v>9</v>
      </c>
      <c r="D7" s="16" t="s">
        <v>8</v>
      </c>
      <c r="E7" s="14" t="s">
        <v>7</v>
      </c>
      <c r="F7" s="14" t="s">
        <v>6</v>
      </c>
      <c r="G7" s="15" t="s">
        <v>5</v>
      </c>
      <c r="H7" s="15" t="s">
        <v>4</v>
      </c>
      <c r="I7" s="14" t="s">
        <v>165</v>
      </c>
      <c r="J7" s="14" t="s">
        <v>3</v>
      </c>
      <c r="K7" s="14" t="s">
        <v>2</v>
      </c>
      <c r="L7" s="14" t="s">
        <v>1</v>
      </c>
      <c r="M7" s="14" t="s">
        <v>0</v>
      </c>
      <c r="N7" s="13"/>
      <c r="O7" s="12"/>
      <c r="R7" s="11"/>
      <c r="S7" s="11"/>
      <c r="T7" s="11"/>
      <c r="U7" s="11"/>
      <c r="V7" s="11"/>
      <c r="W7" s="11"/>
      <c r="X7" s="11"/>
    </row>
    <row r="8" spans="1:24" ht="87.75" customHeight="1" x14ac:dyDescent="0.25">
      <c r="A8" s="4">
        <v>1</v>
      </c>
      <c r="B8" s="10" t="str">
        <f>IF('Constr - Riesgos de Corrupción'!A7="","",'Constr - Riesgos de Corrupción'!A7)</f>
        <v>Posibilidad de Violación al régimen constitucional y/o legal de inhabilidades e incompatibilidades y conflicto de intereses, para obtener beneficio a nombre propio o de terceros</v>
      </c>
      <c r="C8" s="32" t="str">
        <f>IF('Constr - Riesgos de Corrupción'!C7="","",'Constr - Riesgos de Corrupción'!C7)</f>
        <v>Corrupción Fraude Interno</v>
      </c>
      <c r="D8" s="4" t="str">
        <f>IF('Constr - Riesgos de Corrupción'!D7="","",'Constr - Riesgos de Corrupción'!D7)</f>
        <v>No información de inhabilidad por parte del funcionario para participar en procesos de contratación</v>
      </c>
      <c r="E8" s="9">
        <f>IF('Constr - Riesgos de Corrupción'!AU7="","",'Constr - Riesgos de Corrupción'!AU7)</f>
        <v>3</v>
      </c>
      <c r="F8" s="8">
        <f>IF('Constr - Riesgos de Corrupción'!AV7="","",'Constr - Riesgos de Corrupción'!AV7)</f>
        <v>4</v>
      </c>
      <c r="G8" s="7" t="str">
        <f>IF('Constr - Riesgos de Corrupción'!AX7="","",'Constr - Riesgos de Corrupción'!AX7)</f>
        <v>Extremo</v>
      </c>
      <c r="H8" s="6" t="s">
        <v>75</v>
      </c>
      <c r="I8" s="5" t="str">
        <f>IF('Constr - Riesgos de Corrupción'!AY7="","",'Constr - Riesgos de Corrupción'!AY7)</f>
        <v>Auditorias Internas de control interno de gestión y sistema integrado de gestión</v>
      </c>
      <c r="J8" s="4" t="str">
        <f>IF('Constr - Riesgos de Corrupción'!AZ7="","",'Constr - Riesgos de Corrupción'!AZ7)</f>
        <v>Informes de Auditoria Interna</v>
      </c>
      <c r="K8" s="4" t="str">
        <f>IF('Constr - Riesgos de Corrupción'!BA7="","",'Constr - Riesgos de Corrupción'!BA7)</f>
        <v>Asesor de Dirección y profesional SIG</v>
      </c>
      <c r="L8" s="80">
        <f>IF('Constr - Riesgos de Corrupción'!BB7="","",'Constr - Riesgos de Corrupción'!BB7)</f>
        <v>44561</v>
      </c>
      <c r="M8" s="4" t="str">
        <f>IF('Constr - Riesgos de Corrupción'!BC7="","",'Constr - Riesgos de Corrupción'!BC7)</f>
        <v>Auditorias realizadas</v>
      </c>
      <c r="N8" s="3"/>
      <c r="O8" s="2"/>
    </row>
    <row r="9" spans="1:24" ht="107.45" customHeight="1" x14ac:dyDescent="0.25">
      <c r="A9" s="66">
        <v>2</v>
      </c>
      <c r="B9" s="66" t="str">
        <f>IF('Constr - Riesgos de Corrupción'!A8="","",'Constr - Riesgos de Corrupción'!A8)</f>
        <v>Posibilidad de recibir o solicitar cualquier dádiva o beneficio a nombre propio o de terceros con el fin de celebrar un contrato</v>
      </c>
      <c r="C9" s="67" t="str">
        <f>IF('Constr - Riesgos de Corrupción'!C8="","",'Constr - Riesgos de Corrupción'!C8)</f>
        <v>Corrupción Fraude Interno</v>
      </c>
      <c r="D9" s="4" t="str">
        <f>IF('Constr - Riesgos de Corrupción'!D8="","",'Constr - Riesgos de Corrupción'!D8)</f>
        <v xml:space="preserve">Presiones de funcionarios con poder de decisión.
</v>
      </c>
      <c r="E9" s="68">
        <f>IF('Constr - Riesgos de Corrupción'!AU8="","",'Constr - Riesgos de Corrupción'!AU8)</f>
        <v>3</v>
      </c>
      <c r="F9" s="69">
        <f>IF('Constr - Riesgos de Corrupción'!AV8="","",'Constr - Riesgos de Corrupción'!AV8)</f>
        <v>5</v>
      </c>
      <c r="G9" s="64" t="str">
        <f>IF('Constr - Riesgos de Corrupción'!AX8="","",'Constr - Riesgos de Corrupción'!AX8)</f>
        <v>Extremo</v>
      </c>
      <c r="H9" s="6" t="s">
        <v>75</v>
      </c>
      <c r="I9" s="5" t="str">
        <f>IF('Constr - Riesgos de Corrupción'!AY8="","",'Constr - Riesgos de Corrupción'!AY8)</f>
        <v>Divulgar e interiorizar el Código de Integridad que incorpora lineamientos claros y precisos sobre temas de conflicto de intereses, canales de denuncia de hechos de corrupción, mecanismos para la protección al denunciante.</v>
      </c>
      <c r="J9" s="44" t="str">
        <f>IF('Constr - Riesgos de Corrupción'!AZ8="","",'Constr - Riesgos de Corrupción'!AZ8)</f>
        <v>Evidencias de divulgación</v>
      </c>
      <c r="K9" s="44" t="str">
        <f>IF('Constr - Riesgos de Corrupción'!BA8="","",'Constr - Riesgos de Corrupción'!BA8)</f>
        <v xml:space="preserve">Profesional de Talento humano, 
Asesor de Dirección
</v>
      </c>
      <c r="L9" s="80">
        <f>IF('Constr - Riesgos de Corrupción'!BB8="","",'Constr - Riesgos de Corrupción'!BB8)</f>
        <v>44561</v>
      </c>
      <c r="M9" s="44" t="str">
        <f>IF('Constr - Riesgos de Corrupción'!BC8="","",'Constr - Riesgos de Corrupción'!BC8)</f>
        <v>Mínimo una actividad en el año</v>
      </c>
      <c r="N9" s="3"/>
      <c r="O9" s="2"/>
    </row>
    <row r="10" spans="1:24" ht="135" customHeight="1" x14ac:dyDescent="0.25">
      <c r="A10" s="4">
        <v>3</v>
      </c>
      <c r="B10" s="10" t="str">
        <f>IF('Constr - Riesgos de Corrupción'!A9="","",'Constr - Riesgos de Corrupción'!A9)</f>
        <v>Posibilidad de recibir beneficio a nombre propio o de terceros; por utilización de bienes de propiedad de la corporación en actividades propias del tenedor o de terceros</v>
      </c>
      <c r="C10" s="32" t="str">
        <f>IF('Constr - Riesgos de Corrupción'!C9="","",'Constr - Riesgos de Corrupción'!C9)</f>
        <v>Corrupción Fraude Interno</v>
      </c>
      <c r="D10" s="4" t="str">
        <f>IF('Constr - Riesgos de Corrupción'!D9="","",'Constr - Riesgos de Corrupción'!D9)</f>
        <v>Falta de ética profesional y sentido de pertenencia hacia la entidad como servidor público</v>
      </c>
      <c r="E10" s="9">
        <f>IF('Constr - Riesgos de Corrupción'!AU9="","",'Constr - Riesgos de Corrupción'!AU9)</f>
        <v>1</v>
      </c>
      <c r="F10" s="8">
        <f>IF('Constr - Riesgos de Corrupción'!AV9="","",'Constr - Riesgos de Corrupción'!AV9)</f>
        <v>4</v>
      </c>
      <c r="G10" s="7" t="str">
        <f>IF('Constr - Riesgos de Corrupción'!AX9="","",'Constr - Riesgos de Corrupción'!AX9)</f>
        <v>Moderado</v>
      </c>
      <c r="H10" s="6" t="s">
        <v>75</v>
      </c>
      <c r="I10" s="73" t="s">
        <v>190</v>
      </c>
      <c r="J10" s="4" t="s">
        <v>104</v>
      </c>
      <c r="K10" s="4" t="s">
        <v>105</v>
      </c>
      <c r="L10" s="44" t="s">
        <v>183</v>
      </c>
      <c r="M10" s="4" t="s">
        <v>106</v>
      </c>
      <c r="N10" s="3"/>
      <c r="O10" s="2"/>
    </row>
    <row r="11" spans="1:24" ht="107.45" customHeight="1" x14ac:dyDescent="0.25">
      <c r="A11" s="4">
        <v>4</v>
      </c>
      <c r="B11" s="10" t="str">
        <f>IF('Constr - Riesgos de Corrupción'!A12="","",'Constr - Riesgos de Corrupción'!A12)</f>
        <v>Posibilidad de vinculación o encargo a un servidor que no cumple con los requisitos existentes en el manual de funciones en favor de un tercero</v>
      </c>
      <c r="C11" s="32" t="str">
        <f>IF('Constr - Riesgos de Corrupción'!C12="","",'Constr - Riesgos de Corrupción'!C12)</f>
        <v>Corrupción Fraude Interno</v>
      </c>
      <c r="D11" s="4" t="str">
        <f>IF('Constr - Riesgos de Corrupción'!D12="","",'Constr - Riesgos de Corrupción'!D12)</f>
        <v xml:space="preserve">Presiones de funcionarios con poder de decisión.
</v>
      </c>
      <c r="E11" s="9">
        <f>IF('Constr - Riesgos de Corrupción'!AU12="","",'Constr - Riesgos de Corrupción'!AU12)</f>
        <v>1</v>
      </c>
      <c r="F11" s="8">
        <f>IF('Constr - Riesgos de Corrupción'!AV12="","",'Constr - Riesgos de Corrupción'!AV12)</f>
        <v>5</v>
      </c>
      <c r="G11" s="7" t="str">
        <f>IF('Constr - Riesgos de Corrupción'!AX12="","",'Constr - Riesgos de Corrupción'!AX12)</f>
        <v>Moderado</v>
      </c>
      <c r="H11" s="6" t="s">
        <v>75</v>
      </c>
      <c r="I11" s="5" t="str">
        <f>IF('Constr - Riesgos de Corrupción'!AY12="","",'Constr - Riesgos de Corrupción'!AY12)</f>
        <v>El profesional de gestión humana en caso de conocer que existe conflicto de intereses con algún candidato al cual le deba realizar la evaluación de hoja de vida, reporta al jefe inmediato para que se proceda conforme al procedimiento de conflicto de intereses</v>
      </c>
      <c r="J11" s="44" t="str">
        <f>IF('Constr - Riesgos de Corrupción'!AZ12="","",'Constr - Riesgos de Corrupción'!AZ12)</f>
        <v>Reporte de conflicto de intereses</v>
      </c>
      <c r="K11" s="44" t="str">
        <f>IF('Constr - Riesgos de Corrupción'!BA12="","",'Constr - Riesgos de Corrupción'!BA12)</f>
        <v>El subdirector  Administrativo y financiero</v>
      </c>
      <c r="L11" s="80" t="str">
        <f>IF('Constr - Riesgos de Corrupción'!BB12="","",'Constr - Riesgos de Corrupción'!BB12)</f>
        <v>Cada que realiza una evaluación de hoja de vida</v>
      </c>
      <c r="M11" s="44" t="str">
        <f>IF('Constr - Riesgos de Corrupción'!BC12="","",'Constr - Riesgos de Corrupción'!BC12)</f>
        <v>Hojas de vida evaluadas/personal vinculado</v>
      </c>
      <c r="N11" s="3"/>
      <c r="O11" s="2"/>
    </row>
    <row r="12" spans="1:24" ht="107.45" customHeight="1" x14ac:dyDescent="0.25">
      <c r="A12" s="4">
        <v>5</v>
      </c>
      <c r="B12" s="10" t="str">
        <f>IF('Constr - Riesgos de Corrupción'!A14="","",'Constr - Riesgos de Corrupción'!A14)</f>
        <v>Posibilidad de recibir o solicitar cualquier dádiva o beneficio a nombre propio o de terceros dentro de algunas de las etapas previstas en la atención de infracciones o en el otorgamiento de licencias y permisos sin el cumplimiento de requisitos legales</v>
      </c>
      <c r="C12" s="32" t="str">
        <f>IF('Constr - Riesgos de Corrupción'!C14="","",'Constr - Riesgos de Corrupción'!C14)</f>
        <v>Corrupción Fraude Interno</v>
      </c>
      <c r="D12" s="4" t="str">
        <f>IF('Constr - Riesgos de Corrupción'!D14="","",'Constr - Riesgos de Corrupción'!D14)</f>
        <v>Falta ética profesional y sentido de pertenencia
Desintegración social
y económica de la
región</v>
      </c>
      <c r="E12" s="9">
        <f>IF('Constr - Riesgos de Corrupción'!AU14="","",'Constr - Riesgos de Corrupción'!AU14)</f>
        <v>1</v>
      </c>
      <c r="F12" s="8">
        <f>IF('Constr - Riesgos de Corrupción'!AV14="","",'Constr - Riesgos de Corrupción'!AV14)</f>
        <v>5</v>
      </c>
      <c r="G12" s="7" t="str">
        <f>IF('Constr - Riesgos de Corrupción'!AX14="","",'Constr - Riesgos de Corrupción'!AX14)</f>
        <v>Moderado</v>
      </c>
      <c r="H12" s="6" t="s">
        <v>75</v>
      </c>
      <c r="I12" s="5" t="str">
        <f>IF('Constr - Riesgos de Corrupción'!AY14="","",'Constr - Riesgos de Corrupción'!AY14)</f>
        <v xml:space="preserve">Hacer seguimiento a la aplicación del procedimiento de conflicto de intereses </v>
      </c>
      <c r="J12" s="44" t="str">
        <f>IF('Constr - Riesgos de Corrupción'!AZ14="","",'Constr - Riesgos de Corrupción'!AZ14)</f>
        <v>Informe de seguimiento</v>
      </c>
      <c r="K12" s="44" t="str">
        <f>IF('Constr - Riesgos de Corrupción'!BA14="","",'Constr - Riesgos de Corrupción'!BA14)</f>
        <v>Profesional de Talento Humano</v>
      </c>
      <c r="L12" s="80">
        <f>IF('Constr - Riesgos de Corrupción'!BB14="","",'Constr - Riesgos de Corrupción'!BB14)</f>
        <v>44561</v>
      </c>
      <c r="M12" s="44" t="str">
        <f>IF('Constr - Riesgos de Corrupción'!BC14="","",'Constr - Riesgos de Corrupción'!BC14)</f>
        <v>Documentación relacionada con la política de conflicto de intereses aprobada</v>
      </c>
      <c r="N12" s="3"/>
      <c r="O12" s="2"/>
    </row>
    <row r="13" spans="1:24" ht="107.45" customHeight="1" x14ac:dyDescent="0.25">
      <c r="A13" s="4">
        <v>6</v>
      </c>
      <c r="B13" s="10" t="str">
        <f>IF('Constr - Riesgos de Corrupción'!A15="","",'Constr - Riesgos de Corrupción'!A15)</f>
        <v>Posibilidad de divulgación o suministro de información privilegiada para beneficio particular o de un tercero mediante los canales de atención formales o informales</v>
      </c>
      <c r="C13" s="32" t="str">
        <f>IF('Constr - Riesgos de Corrupción'!C19="","",'Constr - Riesgos de Corrupción'!C19)</f>
        <v>Corrupción Fraude Interno</v>
      </c>
      <c r="D13" s="4" t="str">
        <f>IF('Constr - Riesgos de Corrupción'!D15="","",'Constr - Riesgos de Corrupción'!D15)</f>
        <v>Intereses políticos
Presión de grupos armados</v>
      </c>
      <c r="E13" s="9">
        <f>IF('Constr - Riesgos de Corrupción'!AU19="","",'Constr - Riesgos de Corrupción'!AU19)</f>
        <v>2</v>
      </c>
      <c r="F13" s="8">
        <f>IF('Constr - Riesgos de Corrupción'!AV19="","",'Constr - Riesgos de Corrupción'!AV19)</f>
        <v>5</v>
      </c>
      <c r="G13" s="7" t="str">
        <f>IF('Constr - Riesgos de Corrupción'!AX19="","",'Constr - Riesgos de Corrupción'!AX19)</f>
        <v>Extremo</v>
      </c>
      <c r="H13" s="6" t="s">
        <v>75</v>
      </c>
      <c r="I13" s="71" t="str">
        <f>IF('Constr - Riesgos de Corrupción'!AY15="","",'Constr - Riesgos de Corrupción'!AY15)</f>
        <v>Divulgación del índice de información clasificada y reservada, actualizado</v>
      </c>
      <c r="J13" s="44" t="str">
        <f>IF('Constr - Riesgos de Corrupción'!AZ15="","",'Constr - Riesgos de Corrupción'!AZ15)</f>
        <v>Estudios previos</v>
      </c>
      <c r="K13" s="44" t="str">
        <f>IF('Constr - Riesgos de Corrupción'!BA15="","",'Constr - Riesgos de Corrupción'!BA15)</f>
        <v>Técnico Gestión Documental
Asesor de dirección
Coordinador de Sistemas</v>
      </c>
      <c r="L13" s="80">
        <f>IF('Constr - Riesgos de Corrupción'!BB15="","",'Constr - Riesgos de Corrupción'!BB15)</f>
        <v>44926</v>
      </c>
      <c r="M13" s="44" t="str">
        <f>IF('Constr - Riesgos de Corrupción'!BC15="","",'Constr - Riesgos de Corrupción'!BC15)</f>
        <v>Gestiones realizadas</v>
      </c>
      <c r="N13" s="3"/>
      <c r="O13" s="2"/>
    </row>
    <row r="14" spans="1:24" ht="125.25" customHeight="1" x14ac:dyDescent="0.25">
      <c r="A14" s="4">
        <v>7</v>
      </c>
      <c r="B14" s="10" t="str">
        <f>IF('Constr - Riesgos de Corrupción'!A16="","",'Constr - Riesgos de Corrupción'!A16)</f>
        <v>Posibilidad de recibir o solicitar cualquier dádiva o beneficio a nombre propio o de terceros con el fin de tomar decisiones ajustada a intereses particulares cuando se determina la eligibilidad y   viabilidad de un proyecto</v>
      </c>
      <c r="C14" s="32" t="str">
        <f>IF('Constr - Riesgos de Corrupción'!C21="","",'Constr - Riesgos de Corrupción'!C21)</f>
        <v>Corrupción Fraude Interno</v>
      </c>
      <c r="D14" s="4" t="str">
        <f>IF('Constr - Riesgos de Corrupción'!D16="","",'Constr - Riesgos de Corrupción'!D16)</f>
        <v xml:space="preserve">Intereses políticos
Intereses personales o para beneficios a terceros </v>
      </c>
      <c r="E14" s="9">
        <f>IF('Constr - Riesgos de Corrupción'!AU16="","",'Constr - Riesgos de Corrupción'!AU16)</f>
        <v>2</v>
      </c>
      <c r="F14" s="8">
        <f>IF('Constr - Riesgos de Corrupción'!AV16="","",'Constr - Riesgos de Corrupción'!AV16)</f>
        <v>5</v>
      </c>
      <c r="G14" s="7" t="str">
        <f>IF('Constr - Riesgos de Corrupción'!AX16="","",'Constr - Riesgos de Corrupción'!AX16)</f>
        <v>Extremo</v>
      </c>
      <c r="H14" s="6" t="s">
        <v>75</v>
      </c>
      <c r="I14" s="5" t="str">
        <f>IF('Constr - Riesgos de Corrupción'!AY16="","",'Constr - Riesgos de Corrupción'!AY16)</f>
        <v xml:space="preserve">Socializar el código de integridad en reunión de participación general de funcionarios y contratistas de la entidad </v>
      </c>
      <c r="J14" s="44" t="str">
        <f>IF('Constr - Riesgos de Corrupción'!AZ16="","",'Constr - Riesgos de Corrupción'!AZ16)</f>
        <v>Listado de asistencia</v>
      </c>
      <c r="K14" s="44" t="str">
        <f>IF('Constr - Riesgos de Corrupción'!BA16="","",'Constr - Riesgos de Corrupción'!BA16)</f>
        <v>Talento Humano</v>
      </c>
      <c r="L14" s="80" t="str">
        <f>IF('Constr - Riesgos de Corrupción'!BB16="","",'Constr - Riesgos de Corrupción'!BB16)</f>
        <v xml:space="preserve">anual </v>
      </c>
      <c r="M14" s="44" t="str">
        <f>IF('Constr - Riesgos de Corrupción'!BC16="","",'Constr - Riesgos de Corrupción'!BC16)</f>
        <v>actividad realizada / actividad programada</v>
      </c>
      <c r="N14" s="3"/>
      <c r="O14" s="2"/>
    </row>
    <row r="15" spans="1:24" ht="125.25" customHeight="1" x14ac:dyDescent="0.25">
      <c r="A15" s="4">
        <v>8</v>
      </c>
      <c r="B15" s="10" t="str">
        <f>IF('Constr - Riesgos de Corrupción'!A17="","",'Constr - Riesgos de Corrupción'!A17)</f>
        <v xml:space="preserve">Posibilidad de recibir o solicitar cualquier dádiva o beneficio a nombre propio o de terceros a cambio de entregar o manipular información </v>
      </c>
      <c r="C15" s="32" t="str">
        <f>IF('Constr - Riesgos de Corrupción'!C22="","",'Constr - Riesgos de Corrupción'!C22)</f>
        <v>Corrupción Fraude Interno</v>
      </c>
      <c r="D15" s="44" t="str">
        <f>IF('Constr - Riesgos de Corrupción'!D17="","",'Constr - Riesgos de Corrupción'!D17)</f>
        <v>Influencia de particulares   o   terceros interesados
Intereses políticos
Acceso a herramientas por trabajo remoto sin controles</v>
      </c>
      <c r="E15" s="9">
        <f>IF('Constr - Riesgos de Corrupción'!AU17="","",'Constr - Riesgos de Corrupción'!AU17)</f>
        <v>1</v>
      </c>
      <c r="F15" s="8">
        <f>IF('Constr - Riesgos de Corrupción'!AV17="","",'Constr - Riesgos de Corrupción'!AV17)</f>
        <v>5</v>
      </c>
      <c r="G15" s="7" t="str">
        <f>IF('Constr - Riesgos de Corrupción'!AX17="","",'Constr - Riesgos de Corrupción'!AX17)</f>
        <v>Moderado</v>
      </c>
      <c r="H15" s="65" t="s">
        <v>75</v>
      </c>
      <c r="I15" s="71" t="str">
        <f>IF('Constr - Riesgos de Corrupción'!AY16="","",'Constr - Riesgos de Corrupción'!AY16)</f>
        <v xml:space="preserve">Socializar el código de integridad en reunión de participación general de funcionarios y contratistas de la entidad </v>
      </c>
      <c r="J15" s="44" t="str">
        <f>IF('Constr - Riesgos de Corrupción'!AZ16="","",'Constr - Riesgos de Corrupción'!AZ16)</f>
        <v>Listado de asistencia</v>
      </c>
      <c r="K15" s="44" t="str">
        <f>IF('Constr - Riesgos de Corrupción'!BA16="","",'Constr - Riesgos de Corrupción'!BA16)</f>
        <v>Talento Humano</v>
      </c>
      <c r="L15" s="80" t="str">
        <f>IF('Constr - Riesgos de Corrupción'!BB16="","",'Constr - Riesgos de Corrupción'!BB16)</f>
        <v xml:space="preserve">anual </v>
      </c>
      <c r="M15" s="44" t="str">
        <f>IF('Constr - Riesgos de Corrupción'!BC16="","",'Constr - Riesgos de Corrupción'!BC16)</f>
        <v>actividad realizada / actividad programada</v>
      </c>
      <c r="N15" s="3"/>
      <c r="O15" s="2"/>
    </row>
    <row r="16" spans="1:24" ht="125.25" customHeight="1" x14ac:dyDescent="0.25">
      <c r="A16" s="4">
        <v>9</v>
      </c>
      <c r="B16" s="10" t="str">
        <f>IF('Constr - Riesgos de Corrupción'!A18="","",'Constr - Riesgos de Corrupción'!A18)</f>
        <v>Posibilidad de recibir o solicitar cualquier dádiva o beneficio a nombre propio o de terceros a cambio de procesos de Planificación del Territorio sesgados a intereses particulares</v>
      </c>
      <c r="C16" s="32" t="str">
        <f>IF('Constr - Riesgos de Corrupción'!C23="","",'Constr - Riesgos de Corrupción'!C23)</f>
        <v>Corrupción Fraude Interno</v>
      </c>
      <c r="D16" s="44" t="str">
        <f>IF('Constr - Riesgos de Corrupción'!D18="","",'Constr - Riesgos de Corrupción'!D18)</f>
        <v>Influencia de particulares   o   terceros interesados
Intereses políticos</v>
      </c>
      <c r="E16" s="9">
        <f>IF('Constr - Riesgos de Corrupción'!AU18="","",'Constr - Riesgos de Corrupción'!AU18)</f>
        <v>1</v>
      </c>
      <c r="F16" s="8">
        <f>IF('Constr - Riesgos de Corrupción'!AV18="","",'Constr - Riesgos de Corrupción'!AV18)</f>
        <v>5</v>
      </c>
      <c r="G16" s="7" t="str">
        <f>IF('Constr - Riesgos de Corrupción'!AX18="","",'Constr - Riesgos de Corrupción'!AX18)</f>
        <v>Moderado</v>
      </c>
      <c r="H16" s="65" t="s">
        <v>75</v>
      </c>
      <c r="I16" s="71" t="s">
        <v>158</v>
      </c>
      <c r="J16" s="44" t="s">
        <v>162</v>
      </c>
      <c r="K16" s="44" t="s">
        <v>159</v>
      </c>
      <c r="L16" s="80" t="s">
        <v>160</v>
      </c>
      <c r="M16" s="44" t="s">
        <v>161</v>
      </c>
      <c r="N16" s="3"/>
      <c r="O16" s="2"/>
    </row>
    <row r="17" spans="1:15" ht="125.25" customHeight="1" x14ac:dyDescent="0.25">
      <c r="A17" s="4">
        <v>10</v>
      </c>
      <c r="B17" s="10" t="str">
        <f>IF('Constr - Riesgos de Corrupción'!A19="","",'Constr - Riesgos de Corrupción'!A19)</f>
        <v>Posibilidad de recibir o solicitar cualquier dádiva o beneficio a nombre propio o de terceros a cambio de no ejercer adecuada y oportunamente la defensa judicial</v>
      </c>
      <c r="C17" s="32" t="s">
        <v>109</v>
      </c>
      <c r="D17" s="44" t="str">
        <f>IF('Constr - Riesgos de Corrupción'!D19="","",'Constr - Riesgos de Corrupción'!D19)</f>
        <v>Influencia de particulares   o   terceros interesados
Intereses políticos</v>
      </c>
      <c r="E17" s="9">
        <f>IF('Constr - Riesgos de Corrupción'!AU19="","",'Constr - Riesgos de Corrupción'!AU19)</f>
        <v>2</v>
      </c>
      <c r="F17" s="8">
        <f>IF('Constr - Riesgos de Corrupción'!AV19="","",'Constr - Riesgos de Corrupción'!AV19)</f>
        <v>5</v>
      </c>
      <c r="G17" s="7" t="str">
        <f>IF('Constr - Riesgos de Corrupción'!AX19="","",'Constr - Riesgos de Corrupción'!AX19)</f>
        <v>Extremo</v>
      </c>
      <c r="H17" s="65" t="s">
        <v>75</v>
      </c>
      <c r="I17" s="5" t="s">
        <v>158</v>
      </c>
      <c r="J17" s="4" t="s">
        <v>162</v>
      </c>
      <c r="K17" s="4" t="s">
        <v>159</v>
      </c>
      <c r="L17" s="44" t="s">
        <v>160</v>
      </c>
      <c r="M17" s="4" t="s">
        <v>161</v>
      </c>
      <c r="N17" s="3"/>
      <c r="O17" s="2"/>
    </row>
    <row r="18" spans="1:15" ht="125.25" customHeight="1" x14ac:dyDescent="0.25">
      <c r="A18" s="44">
        <v>11</v>
      </c>
      <c r="B18" s="10" t="str">
        <f>IF('Constr - Riesgos de Corrupción'!A20="","",'Constr - Riesgos de Corrupción'!A20)</f>
        <v>Posibilidad de recibir o solicitar cualquier dádiva o beneficio a nombre propio o de terceros con el fin de tomar decisiones en materia regulatoria ajustada a sus intereses</v>
      </c>
      <c r="C18" s="32" t="s">
        <v>109</v>
      </c>
      <c r="D18" s="44" t="str">
        <f>IF('Constr - Riesgos de Corrupción'!D20="","",'Constr - Riesgos de Corrupción'!D20)</f>
        <v>Intereses políticos Presión de grupos armados</v>
      </c>
      <c r="E18" s="9">
        <f>IF('Constr - Riesgos de Corrupción'!AU20="","",'Constr - Riesgos de Corrupción'!AU20)</f>
        <v>4</v>
      </c>
      <c r="F18" s="8">
        <f>IF('Constr - Riesgos de Corrupción'!AV20="","",'Constr - Riesgos de Corrupción'!AV20)</f>
        <v>3</v>
      </c>
      <c r="G18" s="7" t="str">
        <f>IF('Constr - Riesgos de Corrupción'!AX20="","",'Constr - Riesgos de Corrupción'!AX20)</f>
        <v>Alto</v>
      </c>
      <c r="H18" s="75" t="s">
        <v>75</v>
      </c>
      <c r="I18" s="79" t="s">
        <v>158</v>
      </c>
      <c r="J18" s="44" t="s">
        <v>162</v>
      </c>
      <c r="K18" s="44" t="s">
        <v>159</v>
      </c>
      <c r="L18" s="44" t="s">
        <v>160</v>
      </c>
      <c r="M18" s="44" t="s">
        <v>161</v>
      </c>
      <c r="N18" s="3"/>
      <c r="O18" s="2"/>
    </row>
    <row r="19" spans="1:15" ht="147" customHeight="1" x14ac:dyDescent="0.25">
      <c r="A19" s="4">
        <v>12</v>
      </c>
      <c r="B19" s="10" t="str">
        <f>IF('Constr - Riesgos de Corrupción'!A21="","",'Constr - Riesgos de Corrupción'!A21)</f>
        <v>Inadvertencia posibles situaciones que puedan derivar actos de corrupción a causa de influencia en las auditorias, manipulación indebida y/o ocultamiento de la información analizada por OCI y relevante en la gestión de la entidad para favorecer a un tercero, provocando pérdida de confiabilidad de la comunidad en general y al interior de la entidad</v>
      </c>
      <c r="C19" s="32" t="s">
        <v>109</v>
      </c>
      <c r="D19" s="44" t="str">
        <f>IF('Constr - Riesgos de Corrupción'!D21="","",'Constr - Riesgos de Corrupción'!D21)</f>
        <v xml:space="preserve"> influencia en las auditorias, manipulación indebida y/o ocultamiento de la información analizada por OCI y relevante en la gestión de la entidad para favorecer a un tercero</v>
      </c>
      <c r="E19" s="9">
        <f>IF('Constr - Riesgos de Corrupción'!AU21="","",'Constr - Riesgos de Corrupción'!AU21)</f>
        <v>1</v>
      </c>
      <c r="F19" s="8">
        <f>IF('Constr - Riesgos de Corrupción'!AV21="","",'Constr - Riesgos de Corrupción'!AV21)</f>
        <v>3</v>
      </c>
      <c r="G19" s="7" t="str">
        <f>IF('Constr - Riesgos de Corrupción'!AX21="","",'Constr - Riesgos de Corrupción'!AX21)</f>
        <v>Moderado</v>
      </c>
      <c r="H19" s="65" t="s">
        <v>75</v>
      </c>
      <c r="I19" s="71" t="str">
        <f>IF('Constr - Riesgos de Corrupción'!AY21="","",'Constr - Riesgos de Corrupción'!AY21)</f>
        <v>Crear formato para carta representación en la que se establece la veracidad, calidad y oportunidad de la entrega de la información por parte del auditado y la carta de compromiso en la cual se describe la naturaleza y alcance de la auditoría y la responsabilidad del auditor</v>
      </c>
      <c r="J19" s="44" t="str">
        <f>IF('Constr - Riesgos de Corrupción'!AZ21="","",'Constr - Riesgos de Corrupción'!AZ21)</f>
        <v>formatos establecidos</v>
      </c>
      <c r="K19" s="44" t="str">
        <f>IF('Constr - Riesgos de Corrupción'!BA21="","",'Constr - Riesgos de Corrupción'!BA21)</f>
        <v xml:space="preserve">Asesor de Dirección </v>
      </c>
      <c r="L19" s="80">
        <f>IF('Constr - Riesgos de Corrupción'!BB21="","",'Constr - Riesgos de Corrupción'!BB21)</f>
        <v>45169</v>
      </c>
      <c r="M19" s="44" t="str">
        <f>IF('Constr - Riesgos de Corrupción'!BC21="","",'Constr - Riesgos de Corrupción'!BC21)</f>
        <v>formatos establecidos</v>
      </c>
      <c r="N19" s="3"/>
      <c r="O19" s="2"/>
    </row>
    <row r="20" spans="1:15" ht="144" customHeight="1" x14ac:dyDescent="0.25">
      <c r="A20" s="4">
        <v>13</v>
      </c>
      <c r="B20" s="10" t="str">
        <f>IF('Constr - Riesgos de Corrupción'!A22="","",'Constr - Riesgos de Corrupción'!A22)</f>
        <v>Posibilidad de adulteración o sustracción de documentos de expedientes en custodia de archivo central para recibir beneficio a nombre propio o de terceros; debido al acceso de personal de la corporación a los expendientes en calidad de préstamo, generando pérdida de memoria institucional y sanciones e investigaciones</v>
      </c>
      <c r="C20" s="32" t="s">
        <v>109</v>
      </c>
      <c r="D20" s="44" t="str">
        <f>IF('Constr - Riesgos de Corrupción'!D22="","",'Constr - Riesgos de Corrupción'!D22)</f>
        <v>acceso de personal de la corporación a los expendientes en calidad de préstamo,</v>
      </c>
      <c r="E20" s="9">
        <f>IF('Constr - Riesgos de Corrupción'!AU22="","",'Constr - Riesgos de Corrupción'!AU22)</f>
        <v>1</v>
      </c>
      <c r="F20" s="8">
        <f>IF('Constr - Riesgos de Corrupción'!AV22="","",'Constr - Riesgos de Corrupción'!AV22)</f>
        <v>3</v>
      </c>
      <c r="G20" s="7" t="str">
        <f>IF('Constr - Riesgos de Corrupción'!AX22="","",'Constr - Riesgos de Corrupción'!AX22)</f>
        <v>Moderado</v>
      </c>
      <c r="H20" s="65" t="s">
        <v>75</v>
      </c>
      <c r="I20" s="71" t="str">
        <f>IF('Constr - Riesgos de Corrupción'!AY22="","",'Constr - Riesgos de Corrupción'!AY22)</f>
        <v>Actualización del índice de información clasificada y Reservada con base en las nuevas tablas de retención documental</v>
      </c>
      <c r="J20" s="44" t="str">
        <f>IF('Constr - Riesgos de Corrupción'!AZ22="","",'Constr - Riesgos de Corrupción'!AZ22)</f>
        <v xml:space="preserve">Indice de información clasificada y reservada actualizado </v>
      </c>
      <c r="K20" s="44" t="str">
        <f>IF('Constr - Riesgos de Corrupción'!BA22="","",'Constr - Riesgos de Corrupción'!BA22)</f>
        <v>Profesional gestión documental</v>
      </c>
      <c r="L20" s="80">
        <f>IF('Constr - Riesgos de Corrupción'!BB22="","",'Constr - Riesgos de Corrupción'!BB22)</f>
        <v>45473</v>
      </c>
      <c r="M20" s="44" t="str">
        <f>IF('Constr - Riesgos de Corrupción'!BC22="","",'Constr - Riesgos de Corrupción'!BC22)</f>
        <v xml:space="preserve">Indice de información clasificada y reservada actualizado </v>
      </c>
      <c r="N20" s="3"/>
      <c r="O20" s="2"/>
    </row>
    <row r="21" spans="1:15" ht="171" customHeight="1" x14ac:dyDescent="0.25">
      <c r="A21" s="4">
        <v>14</v>
      </c>
      <c r="B21" s="10" t="str">
        <f>IF('Constr - Riesgos de Corrupción'!A23="","",'Constr - Riesgos de Corrupción'!A23)</f>
        <v>Pago de obligaciones sin el cumplimiento de la totalidad de los requisitos legales o mediante la acreditación de documentos falsos, debido a falta de verificación de los requisitos para favorecimiento a terceros o intereses personales por falta de ética profesional y presión de algunos grupos de interés, generando sanciones y/o demandas en contra de la entidad y perdida de confiabilidad de la comunidad hacia la entidad</v>
      </c>
      <c r="C21" s="32" t="s">
        <v>109</v>
      </c>
      <c r="D21" s="44" t="str">
        <f>IF('Constr - Riesgos de Corrupción'!D23="","",'Constr - Riesgos de Corrupción'!D23)</f>
        <v>por falta de ética profesional y presión de algunos grupos de interés</v>
      </c>
      <c r="E21" s="9">
        <f>IF('Constr - Riesgos de Corrupción'!AU23="","",'Constr - Riesgos de Corrupción'!AU23)</f>
        <v>1</v>
      </c>
      <c r="F21" s="8">
        <f>IF('Constr - Riesgos de Corrupción'!AV23="","",'Constr - Riesgos de Corrupción'!AV23)</f>
        <v>3</v>
      </c>
      <c r="G21" s="7" t="str">
        <f>IF('Constr - Riesgos de Corrupción'!AX23="","",'Constr - Riesgos de Corrupción'!AX23)</f>
        <v>Moderado</v>
      </c>
      <c r="H21" s="65" t="s">
        <v>75</v>
      </c>
      <c r="I21" s="71" t="str">
        <f>IF('Constr - Riesgos de Corrupción'!AY23="","",'Constr - Riesgos de Corrupción'!AY23)</f>
        <v>Identificar el nivel de apropiación del código de integridad
 Implementar acciones de sensibilización de los valores del código de integridad</v>
      </c>
      <c r="J21" s="44" t="str">
        <f>IF('Constr - Riesgos de Corrupción'!AZ23="","",'Constr - Riesgos de Corrupción'!AZ23)</f>
        <v xml:space="preserve">Informes </v>
      </c>
      <c r="K21" s="44" t="str">
        <f>IF('Constr - Riesgos de Corrupción'!BA23="","",'Constr - Riesgos de Corrupción'!BA23)</f>
        <v>Asesor de Dirección
Profesional gestión humana</v>
      </c>
      <c r="L21" s="80">
        <f>IF('Constr - Riesgos de Corrupción'!BB23="","",'Constr - Riesgos de Corrupción'!BB23)</f>
        <v>45291</v>
      </c>
      <c r="M21" s="44" t="str">
        <f>IF('Constr - Riesgos de Corrupción'!BC23="","",'Constr - Riesgos de Corrupción'!BC23)</f>
        <v>Informes generados</v>
      </c>
      <c r="N21" s="3"/>
      <c r="O21" s="2"/>
    </row>
    <row r="22" spans="1:15" ht="131.44999999999999" customHeight="1" x14ac:dyDescent="0.25">
      <c r="A22" s="4"/>
      <c r="B22" s="10" t="str">
        <f>IF('Constr - Riesgos de Corrupción'!A26="","",'Constr - Riesgos de Corrupción'!A26)</f>
        <v/>
      </c>
      <c r="C22" s="32" t="str">
        <f>IF('Constr - Riesgos de Corrupción'!C24="","",'Constr - Riesgos de Corrupción'!C24)</f>
        <v/>
      </c>
      <c r="D22" s="4" t="str">
        <f>IF('Constr - Riesgos de Corrupción'!D24="","",'Constr - Riesgos de Corrupción'!D24)</f>
        <v/>
      </c>
      <c r="E22" s="9" t="str">
        <f>IF('Constr - Riesgos de Corrupción'!AU24="","",'Constr - Riesgos de Corrupción'!AU24)</f>
        <v/>
      </c>
      <c r="F22" s="8" t="str">
        <f>IF('Constr - Riesgos de Corrupción'!AV24="","",'Constr - Riesgos de Corrupción'!AV24)</f>
        <v/>
      </c>
      <c r="G22" s="7" t="str">
        <f>IF('Constr - Riesgos de Corrupción'!AX24="","",'Constr - Riesgos de Corrupción'!AX24)</f>
        <v/>
      </c>
      <c r="H22" s="6"/>
      <c r="I22" s="5"/>
      <c r="J22" s="4"/>
      <c r="K22" s="4"/>
      <c r="L22" s="44"/>
      <c r="M22" s="4"/>
      <c r="N22" s="3"/>
      <c r="O22" s="2"/>
    </row>
  </sheetData>
  <mergeCells count="4">
    <mergeCell ref="A1:N1"/>
    <mergeCell ref="A5:B5"/>
    <mergeCell ref="C5:D5"/>
    <mergeCell ref="B3:D3"/>
  </mergeCells>
  <conditionalFormatting sqref="G8:G14 G22">
    <cfRule type="cellIs" dxfId="163" priority="37" operator="equal">
      <formula>"Bajo"</formula>
    </cfRule>
    <cfRule type="cellIs" dxfId="162" priority="38" operator="equal">
      <formula>"Moderado"</formula>
    </cfRule>
    <cfRule type="cellIs" dxfId="161" priority="39" operator="equal">
      <formula>"Alto"</formula>
    </cfRule>
    <cfRule type="cellIs" dxfId="160" priority="40" operator="equal">
      <formula>"Extremo"</formula>
    </cfRule>
  </conditionalFormatting>
  <conditionalFormatting sqref="G15">
    <cfRule type="cellIs" dxfId="159" priority="29" operator="equal">
      <formula>"Bajo"</formula>
    </cfRule>
    <cfRule type="cellIs" dxfId="158" priority="30" operator="equal">
      <formula>"Moderado"</formula>
    </cfRule>
    <cfRule type="cellIs" dxfId="157" priority="31" operator="equal">
      <formula>"Alto"</formula>
    </cfRule>
    <cfRule type="cellIs" dxfId="156" priority="32" operator="equal">
      <formula>"Extremo"</formula>
    </cfRule>
  </conditionalFormatting>
  <conditionalFormatting sqref="G16">
    <cfRule type="cellIs" dxfId="155" priority="25" operator="equal">
      <formula>"Bajo"</formula>
    </cfRule>
    <cfRule type="cellIs" dxfId="154" priority="26" operator="equal">
      <formula>"Moderado"</formula>
    </cfRule>
    <cfRule type="cellIs" dxfId="153" priority="27" operator="equal">
      <formula>"Alto"</formula>
    </cfRule>
    <cfRule type="cellIs" dxfId="152" priority="28" operator="equal">
      <formula>"Extremo"</formula>
    </cfRule>
  </conditionalFormatting>
  <conditionalFormatting sqref="G17">
    <cfRule type="cellIs" dxfId="151" priority="21" operator="equal">
      <formula>"Bajo"</formula>
    </cfRule>
    <cfRule type="cellIs" dxfId="150" priority="22" operator="equal">
      <formula>"Moderado"</formula>
    </cfRule>
    <cfRule type="cellIs" dxfId="149" priority="23" operator="equal">
      <formula>"Alto"</formula>
    </cfRule>
    <cfRule type="cellIs" dxfId="148" priority="24" operator="equal">
      <formula>"Extremo"</formula>
    </cfRule>
  </conditionalFormatting>
  <conditionalFormatting sqref="G19">
    <cfRule type="cellIs" dxfId="147" priority="17" operator="equal">
      <formula>"Bajo"</formula>
    </cfRule>
    <cfRule type="cellIs" dxfId="146" priority="18" operator="equal">
      <formula>"Moderado"</formula>
    </cfRule>
    <cfRule type="cellIs" dxfId="145" priority="19" operator="equal">
      <formula>"Alto"</formula>
    </cfRule>
    <cfRule type="cellIs" dxfId="144" priority="20" operator="equal">
      <formula>"Extremo"</formula>
    </cfRule>
  </conditionalFormatting>
  <conditionalFormatting sqref="G20">
    <cfRule type="cellIs" dxfId="143" priority="13" operator="equal">
      <formula>"Bajo"</formula>
    </cfRule>
    <cfRule type="cellIs" dxfId="142" priority="14" operator="equal">
      <formula>"Moderado"</formula>
    </cfRule>
    <cfRule type="cellIs" dxfId="141" priority="15" operator="equal">
      <formula>"Alto"</formula>
    </cfRule>
    <cfRule type="cellIs" dxfId="140" priority="16" operator="equal">
      <formula>"Extremo"</formula>
    </cfRule>
  </conditionalFormatting>
  <conditionalFormatting sqref="G21">
    <cfRule type="cellIs" dxfId="139" priority="9" operator="equal">
      <formula>"Bajo"</formula>
    </cfRule>
    <cfRule type="cellIs" dxfId="138" priority="10" operator="equal">
      <formula>"Moderado"</formula>
    </cfRule>
    <cfRule type="cellIs" dxfId="137" priority="11" operator="equal">
      <formula>"Alto"</formula>
    </cfRule>
    <cfRule type="cellIs" dxfId="136" priority="12" operator="equal">
      <formula>"Extremo"</formula>
    </cfRule>
  </conditionalFormatting>
  <conditionalFormatting sqref="G18">
    <cfRule type="cellIs" dxfId="131" priority="1" operator="equal">
      <formula>"Bajo"</formula>
    </cfRule>
    <cfRule type="cellIs" dxfId="130" priority="2" operator="equal">
      <formula>"Moderado"</formula>
    </cfRule>
    <cfRule type="cellIs" dxfId="129" priority="3" operator="equal">
      <formula>"Alto"</formula>
    </cfRule>
    <cfRule type="cellIs" dxfId="128" priority="4" operator="equal">
      <formula>"Extremo"</formula>
    </cfRule>
  </conditionalFormatting>
  <pageMargins left="0.70866141732283472" right="0.70866141732283472" top="0.74803149606299213" bottom="0.74803149606299213" header="0.31496062992125984" footer="0.31496062992125984"/>
  <pageSetup paperSize="5" scale="2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K48"/>
  <sheetViews>
    <sheetView showGridLines="0" view="pageBreakPreview" zoomScale="60" zoomScaleNormal="85" workbookViewId="0">
      <pane ySplit="6" topLeftCell="A22" activePane="bottomLeft" state="frozen"/>
      <selection activeCell="A6" sqref="A6"/>
      <selection pane="bottomLeft" activeCell="B2" sqref="B2:F2"/>
    </sheetView>
  </sheetViews>
  <sheetFormatPr baseColWidth="10" defaultColWidth="11.5703125" defaultRowHeight="15" x14ac:dyDescent="0.25"/>
  <cols>
    <col min="1" max="3" width="38.42578125" style="1" customWidth="1"/>
    <col min="4" max="4" width="31.42578125" style="1" customWidth="1"/>
    <col min="5" max="5" width="30" style="1" customWidth="1"/>
    <col min="6" max="6" width="20.140625" style="35" customWidth="1"/>
    <col min="7" max="7" width="20.140625" style="1" customWidth="1"/>
    <col min="8" max="8" width="12" style="1" customWidth="1"/>
    <col min="9" max="9" width="14.5703125" style="1" customWidth="1"/>
    <col min="10" max="12" width="12" style="1" customWidth="1"/>
    <col min="13" max="14" width="18.42578125" style="1" customWidth="1"/>
    <col min="15" max="15" width="16.5703125" style="1" bestFit="1" customWidth="1"/>
    <col min="16" max="16" width="16.5703125" style="1" customWidth="1"/>
    <col min="17" max="17" width="14.5703125" style="1" customWidth="1"/>
    <col min="18" max="18" width="35.28515625" style="1" customWidth="1"/>
    <col min="19" max="19" width="22.42578125" style="1" customWidth="1"/>
    <col min="20" max="20" width="52.140625" style="1" customWidth="1"/>
    <col min="21" max="22" width="20" style="19" customWidth="1"/>
    <col min="23" max="23" width="20" style="1" customWidth="1"/>
    <col min="24" max="24" width="18.140625" style="1" customWidth="1"/>
    <col min="25" max="31" width="14.5703125" style="1" customWidth="1"/>
    <col min="32" max="32" width="10.42578125" style="1" customWidth="1"/>
    <col min="33" max="33" width="13.42578125" style="1" customWidth="1"/>
    <col min="34" max="34" width="12.85546875" style="1" customWidth="1"/>
    <col min="35" max="35" width="11.42578125" style="1" customWidth="1"/>
    <col min="36" max="36" width="11.85546875" style="1" customWidth="1"/>
    <col min="37" max="37" width="30.42578125" style="1" customWidth="1"/>
    <col min="38" max="38" width="16.42578125" style="1" customWidth="1"/>
    <col min="39" max="39" width="14.5703125" style="1" bestFit="1" customWidth="1"/>
    <col min="40" max="40" width="24.42578125" style="1" bestFit="1" customWidth="1"/>
    <col min="41" max="41" width="27.5703125" style="1" customWidth="1"/>
    <col min="42" max="42" width="28" style="1" customWidth="1"/>
    <col min="43" max="43" width="18.42578125" style="1" bestFit="1" customWidth="1"/>
    <col min="44" max="44" width="11.5703125" style="1"/>
    <col min="45" max="45" width="17.5703125" style="1" bestFit="1" customWidth="1"/>
    <col min="46" max="50" width="11.5703125" style="1"/>
    <col min="51" max="51" width="32" style="1" customWidth="1"/>
    <col min="52" max="55" width="11.5703125" style="1"/>
    <col min="56" max="56" width="31.7109375" style="1" customWidth="1"/>
    <col min="57" max="57" width="19" style="1" customWidth="1"/>
    <col min="58" max="62" width="11.5703125" style="1"/>
    <col min="63" max="63" width="16.42578125" style="1" customWidth="1"/>
    <col min="64" max="64" width="17.42578125" style="1" customWidth="1"/>
    <col min="65" max="70" width="11.5703125" style="1"/>
    <col min="71" max="71" width="16.5703125" style="1" customWidth="1"/>
    <col min="72" max="77" width="11.5703125" style="1"/>
    <col min="78" max="78" width="15.5703125" style="1" customWidth="1"/>
    <col min="79" max="16384" width="11.5703125" style="1"/>
  </cols>
  <sheetData>
    <row r="1" spans="1:63" ht="109.5" customHeight="1" x14ac:dyDescent="0.25">
      <c r="A1" s="81" t="s">
        <v>176</v>
      </c>
      <c r="B1" s="82"/>
      <c r="C1" s="82"/>
      <c r="D1" s="82"/>
      <c r="E1" s="82"/>
      <c r="F1" s="82"/>
      <c r="G1" s="82"/>
      <c r="H1" s="82"/>
      <c r="I1" s="82"/>
      <c r="J1" s="82"/>
      <c r="K1" s="82"/>
      <c r="L1" s="82"/>
      <c r="M1" s="82"/>
      <c r="N1" s="82"/>
      <c r="O1" s="82"/>
      <c r="P1" s="82"/>
      <c r="Q1" s="82"/>
      <c r="R1" s="82"/>
      <c r="S1" s="82"/>
      <c r="T1" s="82"/>
      <c r="U1" s="83"/>
      <c r="V1" s="81" t="s">
        <v>176</v>
      </c>
      <c r="W1" s="82"/>
      <c r="X1" s="82"/>
      <c r="Y1" s="82"/>
      <c r="Z1" s="82"/>
      <c r="AA1" s="82"/>
      <c r="AB1" s="82"/>
      <c r="AC1" s="82"/>
      <c r="AD1" s="82"/>
      <c r="AE1" s="82"/>
      <c r="AF1" s="82"/>
      <c r="AG1" s="82"/>
      <c r="AH1" s="82"/>
      <c r="AI1" s="82"/>
      <c r="AJ1" s="82"/>
      <c r="AK1" s="82"/>
      <c r="AL1" s="82"/>
      <c r="AM1" s="82"/>
      <c r="AN1" s="82"/>
      <c r="AO1" s="82"/>
      <c r="AP1" s="83"/>
      <c r="AQ1" s="81" t="s">
        <v>176</v>
      </c>
      <c r="AR1" s="82"/>
      <c r="AS1" s="82"/>
      <c r="AT1" s="82"/>
      <c r="AU1" s="82"/>
      <c r="AV1" s="82"/>
      <c r="AW1" s="82"/>
      <c r="AX1" s="82"/>
      <c r="AY1" s="82"/>
      <c r="AZ1" s="82"/>
      <c r="BA1" s="82"/>
      <c r="BB1" s="82"/>
      <c r="BC1" s="82"/>
      <c r="BD1" s="82"/>
      <c r="BE1" s="60"/>
      <c r="BF1" s="60"/>
      <c r="BG1" s="60"/>
      <c r="BH1" s="60"/>
      <c r="BI1" s="60"/>
      <c r="BJ1" s="60"/>
      <c r="BK1" s="61"/>
    </row>
    <row r="2" spans="1:63" ht="60" customHeight="1" x14ac:dyDescent="0.25">
      <c r="A2" s="27" t="s">
        <v>12</v>
      </c>
      <c r="B2" s="85" t="s">
        <v>210</v>
      </c>
      <c r="C2" s="85"/>
      <c r="D2" s="85"/>
      <c r="E2" s="85"/>
      <c r="F2" s="85"/>
      <c r="G2" s="17"/>
      <c r="H2" s="17"/>
      <c r="I2" s="17"/>
      <c r="J2" s="17"/>
      <c r="K2" s="17"/>
      <c r="L2" s="17"/>
      <c r="M2" s="17"/>
      <c r="N2" s="23"/>
      <c r="U2" s="1"/>
      <c r="V2" s="1"/>
    </row>
    <row r="3" spans="1:63" ht="37.5" customHeight="1" x14ac:dyDescent="0.25">
      <c r="A3" s="17"/>
      <c r="B3" s="17"/>
      <c r="C3" s="17"/>
      <c r="D3" s="17"/>
      <c r="E3" s="17"/>
      <c r="F3" s="36"/>
      <c r="G3" s="17"/>
      <c r="H3" s="17"/>
      <c r="I3" s="17"/>
      <c r="J3" s="17"/>
      <c r="K3" s="17"/>
      <c r="L3" s="17"/>
      <c r="M3" s="17"/>
      <c r="N3" s="17"/>
      <c r="U3" s="1"/>
      <c r="V3" s="1"/>
    </row>
    <row r="4" spans="1:63" ht="67.5" customHeight="1" x14ac:dyDescent="0.25">
      <c r="A4" s="126" t="s">
        <v>72</v>
      </c>
      <c r="B4" s="127"/>
      <c r="C4" s="127"/>
      <c r="D4" s="127"/>
      <c r="E4" s="127"/>
      <c r="F4" s="127"/>
      <c r="G4" s="122" t="s">
        <v>71</v>
      </c>
      <c r="H4" s="122"/>
      <c r="I4" s="122"/>
      <c r="J4" s="122"/>
      <c r="K4" s="122"/>
      <c r="L4" s="122"/>
      <c r="M4" s="122"/>
      <c r="N4" s="122"/>
      <c r="O4" s="122"/>
      <c r="P4" s="122"/>
      <c r="Q4" s="122"/>
      <c r="R4" s="134" t="s">
        <v>70</v>
      </c>
      <c r="S4" s="135"/>
      <c r="T4" s="135"/>
      <c r="U4" s="135"/>
      <c r="V4" s="135"/>
      <c r="W4" s="135"/>
      <c r="X4" s="135" t="s">
        <v>69</v>
      </c>
      <c r="Y4" s="135"/>
      <c r="Z4" s="135"/>
      <c r="AA4" s="135"/>
      <c r="AB4" s="135"/>
      <c r="AC4" s="135"/>
      <c r="AD4" s="135"/>
      <c r="AE4" s="135"/>
      <c r="AF4" s="135"/>
      <c r="AG4" s="135"/>
      <c r="AH4" s="135"/>
      <c r="AI4" s="135"/>
      <c r="AJ4" s="135"/>
      <c r="AK4" s="135"/>
      <c r="AL4" s="135"/>
      <c r="AM4" s="135"/>
      <c r="AN4" s="135"/>
      <c r="AO4" s="135"/>
      <c r="AP4" s="135"/>
      <c r="AQ4" s="127" t="s">
        <v>68</v>
      </c>
      <c r="AR4" s="128"/>
      <c r="AS4" s="132" t="s">
        <v>67</v>
      </c>
      <c r="AT4" s="132" t="s">
        <v>66</v>
      </c>
      <c r="AU4" s="122" t="s">
        <v>74</v>
      </c>
      <c r="AV4" s="122"/>
      <c r="AW4" s="122"/>
      <c r="AX4" s="122"/>
      <c r="AY4" s="122" t="s">
        <v>246</v>
      </c>
      <c r="AZ4" s="122"/>
      <c r="BA4" s="122"/>
      <c r="BB4" s="122"/>
      <c r="BC4" s="122"/>
      <c r="BD4" s="99" t="s">
        <v>126</v>
      </c>
    </row>
    <row r="5" spans="1:63" ht="62.25" customHeight="1" x14ac:dyDescent="0.25">
      <c r="A5" s="129"/>
      <c r="B5" s="130"/>
      <c r="C5" s="130"/>
      <c r="D5" s="130"/>
      <c r="E5" s="130"/>
      <c r="F5" s="130"/>
      <c r="G5" s="123" t="s">
        <v>65</v>
      </c>
      <c r="H5" s="124"/>
      <c r="I5" s="124"/>
      <c r="J5" s="124"/>
      <c r="K5" s="124"/>
      <c r="L5" s="124"/>
      <c r="M5" s="124"/>
      <c r="N5" s="124"/>
      <c r="O5" s="124"/>
      <c r="P5" s="124"/>
      <c r="Q5" s="125"/>
      <c r="R5" s="126" t="s">
        <v>64</v>
      </c>
      <c r="S5" s="127"/>
      <c r="T5" s="128"/>
      <c r="U5" s="132" t="s">
        <v>2</v>
      </c>
      <c r="V5" s="132" t="s">
        <v>63</v>
      </c>
      <c r="W5" s="132" t="s">
        <v>62</v>
      </c>
      <c r="X5" s="134" t="s">
        <v>61</v>
      </c>
      <c r="Y5" s="135"/>
      <c r="Z5" s="135"/>
      <c r="AA5" s="135"/>
      <c r="AB5" s="135"/>
      <c r="AC5" s="135"/>
      <c r="AD5" s="135"/>
      <c r="AE5" s="135"/>
      <c r="AF5" s="135"/>
      <c r="AG5" s="135"/>
      <c r="AH5" s="135"/>
      <c r="AI5" s="135"/>
      <c r="AJ5" s="135"/>
      <c r="AK5" s="136"/>
      <c r="AL5" s="126" t="s">
        <v>60</v>
      </c>
      <c r="AM5" s="127"/>
      <c r="AN5" s="128" t="s">
        <v>59</v>
      </c>
      <c r="AO5" s="126" t="s">
        <v>58</v>
      </c>
      <c r="AP5" s="128"/>
      <c r="AQ5" s="130"/>
      <c r="AR5" s="131"/>
      <c r="AS5" s="138"/>
      <c r="AT5" s="138"/>
      <c r="AU5" s="122" t="s">
        <v>5</v>
      </c>
      <c r="AV5" s="122"/>
      <c r="AW5" s="122"/>
      <c r="AX5" s="122"/>
      <c r="AY5" s="122"/>
      <c r="AZ5" s="122"/>
      <c r="BA5" s="122"/>
      <c r="BB5" s="122"/>
      <c r="BC5" s="122"/>
      <c r="BD5" s="99"/>
    </row>
    <row r="6" spans="1:63" ht="89.45" customHeight="1" x14ac:dyDescent="0.25">
      <c r="A6" s="30" t="s">
        <v>10</v>
      </c>
      <c r="B6" s="30" t="s">
        <v>57</v>
      </c>
      <c r="C6" s="30" t="s">
        <v>9</v>
      </c>
      <c r="D6" s="30" t="s">
        <v>8</v>
      </c>
      <c r="E6" s="30" t="s">
        <v>56</v>
      </c>
      <c r="F6" s="30" t="s">
        <v>93</v>
      </c>
      <c r="G6" s="30" t="s">
        <v>55</v>
      </c>
      <c r="H6" s="30" t="s">
        <v>54</v>
      </c>
      <c r="I6" s="30" t="s">
        <v>53</v>
      </c>
      <c r="J6" s="30" t="s">
        <v>52</v>
      </c>
      <c r="K6" s="26" t="s">
        <v>51</v>
      </c>
      <c r="L6" s="120" t="s">
        <v>7</v>
      </c>
      <c r="M6" s="121"/>
      <c r="N6" s="120" t="s">
        <v>6</v>
      </c>
      <c r="O6" s="121"/>
      <c r="P6" s="120" t="s">
        <v>247</v>
      </c>
      <c r="Q6" s="121"/>
      <c r="R6" s="129"/>
      <c r="S6" s="130"/>
      <c r="T6" s="131"/>
      <c r="U6" s="133"/>
      <c r="V6" s="133"/>
      <c r="W6" s="133"/>
      <c r="X6" s="137" t="s">
        <v>50</v>
      </c>
      <c r="Y6" s="137"/>
      <c r="Z6" s="137" t="s">
        <v>49</v>
      </c>
      <c r="AA6" s="137"/>
      <c r="AB6" s="137" t="s">
        <v>48</v>
      </c>
      <c r="AC6" s="137"/>
      <c r="AD6" s="137" t="s">
        <v>47</v>
      </c>
      <c r="AE6" s="137"/>
      <c r="AF6" s="137" t="s">
        <v>46</v>
      </c>
      <c r="AG6" s="137"/>
      <c r="AH6" s="137" t="s">
        <v>45</v>
      </c>
      <c r="AI6" s="137"/>
      <c r="AJ6" s="137" t="s">
        <v>44</v>
      </c>
      <c r="AK6" s="137"/>
      <c r="AL6" s="129"/>
      <c r="AM6" s="130"/>
      <c r="AN6" s="131"/>
      <c r="AO6" s="129"/>
      <c r="AP6" s="131"/>
      <c r="AQ6" s="30" t="s">
        <v>43</v>
      </c>
      <c r="AR6" s="30" t="s">
        <v>42</v>
      </c>
      <c r="AS6" s="133"/>
      <c r="AT6" s="133"/>
      <c r="AU6" s="25" t="s">
        <v>7</v>
      </c>
      <c r="AV6" s="25" t="s">
        <v>6</v>
      </c>
      <c r="AW6" s="120" t="s">
        <v>41</v>
      </c>
      <c r="AX6" s="121"/>
      <c r="AY6" s="25" t="s">
        <v>164</v>
      </c>
      <c r="AZ6" s="25" t="s">
        <v>3</v>
      </c>
      <c r="BA6" s="25" t="s">
        <v>2</v>
      </c>
      <c r="BB6" s="25" t="s">
        <v>1</v>
      </c>
      <c r="BC6" s="25" t="s">
        <v>0</v>
      </c>
      <c r="BD6" s="99"/>
    </row>
    <row r="7" spans="1:63" ht="130.5" customHeight="1" x14ac:dyDescent="0.25">
      <c r="A7" s="10" t="s">
        <v>163</v>
      </c>
      <c r="B7" s="10" t="s">
        <v>180</v>
      </c>
      <c r="C7" s="10" t="s">
        <v>109</v>
      </c>
      <c r="D7" s="44" t="s">
        <v>80</v>
      </c>
      <c r="E7" s="44" t="s">
        <v>79</v>
      </c>
      <c r="F7" s="58" t="s">
        <v>107</v>
      </c>
      <c r="G7" s="44">
        <v>4</v>
      </c>
      <c r="H7" s="44">
        <v>4</v>
      </c>
      <c r="I7" s="44">
        <v>4</v>
      </c>
      <c r="J7" s="44"/>
      <c r="K7" s="44"/>
      <c r="L7" s="7">
        <f t="shared" ref="L7:L8" si="0">IF(AND(G7="",H7="",I7="",J7="",K7=""),"",AVERAGE(G7:K7))</f>
        <v>4</v>
      </c>
      <c r="M7" s="7" t="str">
        <f t="shared" ref="M7:M8" si="1">IF(L7="","",IF(L7&lt;=1,"1 - Rara Vez",IF(AND(L7&gt;1,L7&lt;=2),"2 - Improbable",IF(AND(L7&gt;2,L7&lt;=3),"3 - Posible",IF(AND(L7&gt;3,L7&lt;=4),"4-Probable",IF(L7&gt;4,"5 - Casi seguro",""))))))</f>
        <v>4-Probable</v>
      </c>
      <c r="N7" s="7" t="str">
        <f>IF(A7="","",VLOOKUP(A7,$A$33:$W$47,23,FALSE))</f>
        <v>4 - Mayor</v>
      </c>
      <c r="O7" s="7">
        <f>IF(N7="5 - Catastrófico",5,IF(N7="4 - Mayor",4,IF(N7="3 - Moderado",3,IF(N7="2 - Menor",2,1))))</f>
        <v>4</v>
      </c>
      <c r="P7" s="7">
        <f t="shared" ref="P7:P8" si="2">IF(L7="","",L7*O7)</f>
        <v>16</v>
      </c>
      <c r="Q7" s="7" t="str">
        <f>IF(AND(L7=1,O7=5),"Extremo",IF(AND(L7=5,O7=1),"Alto",IF(AND(L7=1,O7=4),"Alto",IF(AND(L7=4,O7=1),"Moderado",IF(AND(L7=1,O7=3),"Moderado",IF(P7=6,"Moderado",IF(OR(P7=8,P7=9),"Alto",IF(AND(L7=5,O7=2),"Alto",IF(AND(L7=4,O7=3),"Alto",IF(AND(L7=2,O7=5),"Extremo",IF(AND(L7=3,O7=4),"Extremo",IF(P7&gt;=15,"Extremo","Moderado"))))))))))))</f>
        <v>Extremo</v>
      </c>
      <c r="R7" s="139" t="s">
        <v>177</v>
      </c>
      <c r="S7" s="140"/>
      <c r="T7" s="141"/>
      <c r="U7" s="56" t="s">
        <v>127</v>
      </c>
      <c r="V7" s="56" t="s">
        <v>101</v>
      </c>
      <c r="W7" s="44" t="s">
        <v>81</v>
      </c>
      <c r="X7" s="44" t="s">
        <v>82</v>
      </c>
      <c r="Y7" s="7">
        <f t="shared" ref="Y7:Y8" si="3">IF(X7="","",IF(X7="Asignado",15,0))</f>
        <v>15</v>
      </c>
      <c r="Z7" s="44" t="s">
        <v>83</v>
      </c>
      <c r="AA7" s="7">
        <f t="shared" ref="AA7:AA8" si="4">IF(Z7="","",IF(Z7="Adecuado",15,0))</f>
        <v>15</v>
      </c>
      <c r="AB7" s="44" t="s">
        <v>84</v>
      </c>
      <c r="AC7" s="7">
        <f t="shared" ref="AC7:AC8" si="5">IF(AB7="","",IF(AB7="Oportuna",15,0))</f>
        <v>15</v>
      </c>
      <c r="AD7" s="44" t="s">
        <v>81</v>
      </c>
      <c r="AE7" s="7">
        <f t="shared" ref="AE7:AE8" si="6">IF(AD7="","",IF(AD7="Prevenir",15,IF(AD7="Detectar",10,0)))</f>
        <v>15</v>
      </c>
      <c r="AF7" s="44" t="s">
        <v>85</v>
      </c>
      <c r="AG7" s="7">
        <f t="shared" ref="AG7:AG8" si="7">IF(AF7="","",IF(AF7="Confiable",15,0))</f>
        <v>15</v>
      </c>
      <c r="AH7" s="44" t="s">
        <v>86</v>
      </c>
      <c r="AI7" s="7">
        <f t="shared" ref="AI7:AI8" si="8">IF(AH7="","",IF(AH7="Se investigan y resuelven oportunamente",15,0))</f>
        <v>15</v>
      </c>
      <c r="AJ7" s="44" t="s">
        <v>87</v>
      </c>
      <c r="AK7" s="7">
        <f>IF(AJ7="","",IF(AJ7="Completa",10,IF(AJ7="Incompleta",5,0)))</f>
        <v>10</v>
      </c>
      <c r="AL7" s="7">
        <f t="shared" ref="AL7:AL8" si="9">IF(W7="","",AK7+AI7+AG7+AE7+AC7+AA7+Y7)</f>
        <v>100</v>
      </c>
      <c r="AM7" s="7" t="str">
        <f>IF(A7="","",IF(AL7&lt;=85,"Débil",IF(AL7&gt;=96,"Fuerte","Moderado")))</f>
        <v>Fuerte</v>
      </c>
      <c r="AN7" s="44" t="s">
        <v>88</v>
      </c>
      <c r="AO7" s="7" t="str">
        <f t="shared" ref="AO7:AO8" si="10">IF(AN7="","",IF(AND(AM7="Fuerte",AN7="Fuerte"),"Fuerte",IF(AND(AM7="Fuerte",AN7="Moderado"),"Moderado",IF(AND(AM7="Moderado",AN7="Fuerte"),"Moderado",IF(AND(AM7="Moderado",AN7="Moderado"),"Moderado","Débil")))))</f>
        <v>Moderado</v>
      </c>
      <c r="AP7" s="7">
        <f>IF(A7="","",IF(AO7="Débil",0,IF(AO7="Moderado",50,100)))</f>
        <v>50</v>
      </c>
      <c r="AQ7" s="44">
        <f>AP7</f>
        <v>50</v>
      </c>
      <c r="AR7" s="7" t="str">
        <f t="shared" ref="AR7:AR8" si="11">IF(AQ7="","",IF(AQ7=100,"Fuerte",IF(AP7&lt;50,"Débil","Moderado")))</f>
        <v>Moderado</v>
      </c>
      <c r="AS7" s="44" t="s">
        <v>89</v>
      </c>
      <c r="AT7" s="44" t="s">
        <v>90</v>
      </c>
      <c r="AU7" s="8">
        <f>IF(L7="","",IF(AND(AR7="Fuerte",L7&gt;=3,OR(AS7="Directamente",AT7="Indirectamente",AT7="No disminuye")),L7-2,IF(AND(AR7="Fuerte",AS7="No disminuye",AT7="Directamente"),L7,IF(AND(AR7="Moderado",AS7="No disminuye",AT7="Directamente"),L7,IF(AND(AR7="Moderado",L7&gt;=2,OR(AS7="Directamente",AT7="Indirectamente",AT7="No disminuye")),L7-1,L7)))))</f>
        <v>3</v>
      </c>
      <c r="AV7" s="8">
        <f>IF(AND(AR7="Moderado",AS7="Directamente",OR(AT7="Indirectamente",AT7="No disminuye")),O7,IF(AND(AR7="Fuerte",AS7="Directamente",AT7="No disminuye"),O7,IF(AND(AR7="Fuerte",AT7="Directamente",O7&gt;=3,OR(AS7="Directamente",AS7="No disminuye")),O7-2,IF(AND(O7&gt;=2,AR7="Moderado",AT7="Directamente",OR(AS7="Directamente",AS7="No disminuye")),O7,IF(AND(O7&gt;=2,AR7="Fuerte",AS7="Directamente",AT7="Indirectamente"),O7-1,O7)))))</f>
        <v>4</v>
      </c>
      <c r="AW7" s="7">
        <f t="shared" ref="AW7:AW8" si="12">IF(AF7="","",AV7*AU7)</f>
        <v>12</v>
      </c>
      <c r="AX7" s="7" t="str">
        <f>IF(AND(AU7=1,AV7=5),"Moderado",IF(AND(AU7=5,AV7=1),"Extremo",IF(AND(AU7=1,AV7=4),"Moderado",IF(AND(AU7=4,AV7=1),"Alto",IF(AND(AU7=1,AV7=3),"Moderado",IF(AW7=6,"Moderado",IF(OR(AW7=8,AW7=9),"Alto",IF(AND(AU7=5,AV7=2),"Alto",IF(AND(AU7=4,AV7=3),"Alto",IF(AND(AU7=2,AV7=5),"Extremo",IF(AND(AU7=3,AV7=4),"Extremo",IF(AW7&gt;=15,"Extremo",IF(AW7&lt;=2,"Bajo",IF(AND(AU7=1,AV7=3),"Bajo","Bajo"))))))))))))))</f>
        <v>Extremo</v>
      </c>
      <c r="AY7" s="55" t="s">
        <v>199</v>
      </c>
      <c r="AZ7" s="44" t="s">
        <v>244</v>
      </c>
      <c r="BA7" s="56" t="s">
        <v>245</v>
      </c>
      <c r="BB7" s="54">
        <v>44561</v>
      </c>
      <c r="BC7" s="54" t="s">
        <v>200</v>
      </c>
      <c r="BD7" s="93" t="s">
        <v>130</v>
      </c>
    </row>
    <row r="8" spans="1:63" ht="244.5" customHeight="1" x14ac:dyDescent="0.25">
      <c r="A8" s="59" t="s">
        <v>91</v>
      </c>
      <c r="B8" s="52" t="s">
        <v>94</v>
      </c>
      <c r="C8" s="52" t="s">
        <v>109</v>
      </c>
      <c r="D8" s="44" t="s">
        <v>111</v>
      </c>
      <c r="E8" s="52" t="s">
        <v>92</v>
      </c>
      <c r="F8" s="57" t="s">
        <v>107</v>
      </c>
      <c r="G8" s="52">
        <v>4</v>
      </c>
      <c r="H8" s="52">
        <v>4</v>
      </c>
      <c r="I8" s="52">
        <v>4</v>
      </c>
      <c r="J8" s="52"/>
      <c r="K8" s="52"/>
      <c r="L8" s="51">
        <f t="shared" si="0"/>
        <v>4</v>
      </c>
      <c r="M8" s="51" t="str">
        <f t="shared" si="1"/>
        <v>4-Probable</v>
      </c>
      <c r="N8" s="51" t="str">
        <f>IF(A8="","",VLOOKUP(A8,$A$33:$W$47,23,FALSE))</f>
        <v>5 - Catastrófico</v>
      </c>
      <c r="O8" s="51">
        <f>IF(N8="5 - Catastrófico",5,IF(N8="4 - Mayor",4,IF(N8="3 - Moderado",3,IF(N8="2 - Menor",2,1))))</f>
        <v>5</v>
      </c>
      <c r="P8" s="51">
        <f t="shared" si="2"/>
        <v>20</v>
      </c>
      <c r="Q8" s="51" t="str">
        <f>IF(AND(L8=1,O8=5),"Extremo",IF(AND(L8=5,O8=1),"Alto",IF(AND(L8=1,O8=4),"Alto",IF(AND(L8=4,O8=1),"Moderado",IF(AND(L8=1,O8=3),"Moderado",IF(P8=6,"Moderado",IF(OR(P8=8,P8=9),"Alto",IF(AND(L8=5,O8=2),"Alto",IF(AND(L8=4,O8=3),"Alto",IF(AND(L8=2,O8=5),"Extremo",IF(AND(L8=3,O8=4),"Extremo",IF(P8&gt;=15,"Extremo","Moderado"))))))))))))</f>
        <v>Extremo</v>
      </c>
      <c r="R8" s="139" t="s">
        <v>151</v>
      </c>
      <c r="S8" s="140"/>
      <c r="T8" s="141"/>
      <c r="U8" s="56" t="s">
        <v>95</v>
      </c>
      <c r="V8" s="56" t="s">
        <v>96</v>
      </c>
      <c r="W8" s="44" t="s">
        <v>81</v>
      </c>
      <c r="X8" s="44" t="s">
        <v>82</v>
      </c>
      <c r="Y8" s="7">
        <f t="shared" si="3"/>
        <v>15</v>
      </c>
      <c r="Z8" s="44" t="s">
        <v>83</v>
      </c>
      <c r="AA8" s="7">
        <f t="shared" si="4"/>
        <v>15</v>
      </c>
      <c r="AB8" s="44" t="s">
        <v>84</v>
      </c>
      <c r="AC8" s="7">
        <f t="shared" si="5"/>
        <v>15</v>
      </c>
      <c r="AD8" s="44" t="s">
        <v>81</v>
      </c>
      <c r="AE8" s="7">
        <f t="shared" si="6"/>
        <v>15</v>
      </c>
      <c r="AF8" s="44" t="s">
        <v>85</v>
      </c>
      <c r="AG8" s="7">
        <f t="shared" si="7"/>
        <v>15</v>
      </c>
      <c r="AH8" s="44" t="s">
        <v>86</v>
      </c>
      <c r="AI8" s="7">
        <f t="shared" si="8"/>
        <v>15</v>
      </c>
      <c r="AJ8" s="44" t="s">
        <v>87</v>
      </c>
      <c r="AK8" s="7">
        <f t="shared" ref="AK8" si="13">IF(AJ8="","",IF(AJ8="Completa",10,IF(AJ8="Incompleta",5,0)))</f>
        <v>10</v>
      </c>
      <c r="AL8" s="7">
        <f t="shared" si="9"/>
        <v>100</v>
      </c>
      <c r="AM8" s="7" t="str">
        <f>IF(A8="","",IF(AL8&lt;=85,"Débil",IF(AL8&gt;=96,"Fuerte","Moderado")))</f>
        <v>Fuerte</v>
      </c>
      <c r="AN8" s="44" t="s">
        <v>88</v>
      </c>
      <c r="AO8" s="7" t="str">
        <f t="shared" si="10"/>
        <v>Moderado</v>
      </c>
      <c r="AP8" s="7">
        <f>IF(A8="","",IF(AO8="Débil",0,IF(AO8="Moderado",50,100)))</f>
        <v>50</v>
      </c>
      <c r="AQ8" s="52">
        <v>50</v>
      </c>
      <c r="AR8" s="51" t="str">
        <f t="shared" si="11"/>
        <v>Moderado</v>
      </c>
      <c r="AS8" s="44" t="s">
        <v>89</v>
      </c>
      <c r="AT8" s="44" t="s">
        <v>90</v>
      </c>
      <c r="AU8" s="53">
        <f>IF(L8="","",IF(AND(AR8="Fuerte",L8&gt;=3,OR(AS8="Directamente",AT8="Indirectamente",AT8="No disminuye")),L8-2,IF(AND(AR8="Fuerte",AS8="No disminuye",AT8="Directamente"),L8,IF(AND(AR8="Moderado",AS8="No disminuye",AT8="Directamente"),L8,IF(AND(AR8="Moderado",L8&gt;=2,OR(AS8="Directamente",AT8="Indirectamente",AT8="No disminuye")),L8-1,L8)))))</f>
        <v>3</v>
      </c>
      <c r="AV8" s="53">
        <f>IF(AND(AR8="Moderado",AS8="Directamente",OR(AT8="Indirectamente",AT8="No disminuye")),O8,IF(AND(AR8="Fuerte",AS8="Directamente",AT8="No disminuye"),O8,IF(AND(AR8="Fuerte",AT8="Directamente",O8&gt;=3,OR(AS8="Directamente",AS8="No disminuye")),O8-2,IF(AND(O8&gt;=2,AR8="Moderado",AT8="Directamente",OR(AS8="Directamente",AS8="No disminuye")),O8,IF(AND(O8&gt;=2,AR8="Fuerte",AS8="Directamente",AT8="Indirectamente"),O8-1,O8)))))</f>
        <v>5</v>
      </c>
      <c r="AW8" s="51">
        <f t="shared" si="12"/>
        <v>15</v>
      </c>
      <c r="AX8" s="51" t="str">
        <f>IF(AND(AU8=1,AV8=5),"Extremo",IF(AND(AU8=5,AV8=1),"Alto",IF(AND(AU8=1,AV8=4),"Alto",IF(AND(AU8=4,AV8=1),"Moderado",IF(AND(AU8=1,AV8=3),"Moderado",IF(AW8=6,"Moderado",IF(OR(AW8=8,AW8=9),"Alto",IF(AND(AU8=5,AV8=2),"Alto",IF(AND(AU8=4,AV8=3),"Alto",IF(AND(AU8=2,AV8=5),"Extremo",IF(AND(AU8=3,AV8=4),"Extremo",IF(AW8&gt;=15,"Extremo",IF(AW8&lt;=2,"Bajo",IF(AND(AU8=1,AV8=3),"Bajo","Bajo"))))))))))))))</f>
        <v>Extremo</v>
      </c>
      <c r="AY8" s="55" t="s">
        <v>131</v>
      </c>
      <c r="AZ8" s="44" t="s">
        <v>133</v>
      </c>
      <c r="BA8" s="56" t="s">
        <v>132</v>
      </c>
      <c r="BB8" s="54">
        <v>44561</v>
      </c>
      <c r="BC8" s="54" t="s">
        <v>134</v>
      </c>
      <c r="BD8" s="94"/>
    </row>
    <row r="9" spans="1:63" ht="183" customHeight="1" x14ac:dyDescent="0.25">
      <c r="A9" s="93" t="s">
        <v>191</v>
      </c>
      <c r="B9" s="93" t="s">
        <v>196</v>
      </c>
      <c r="C9" s="93" t="s">
        <v>109</v>
      </c>
      <c r="D9" s="93" t="s">
        <v>124</v>
      </c>
      <c r="E9" s="93" t="s">
        <v>99</v>
      </c>
      <c r="F9" s="142" t="s">
        <v>113</v>
      </c>
      <c r="G9" s="93">
        <v>3</v>
      </c>
      <c r="H9" s="93">
        <v>3</v>
      </c>
      <c r="I9" s="93"/>
      <c r="J9" s="93"/>
      <c r="K9" s="93"/>
      <c r="L9" s="100">
        <f t="shared" ref="L9" si="14">IF(AND(G9="",H9="",I9="",J9="",K9=""),"",AVERAGE(G9:K9))</f>
        <v>3</v>
      </c>
      <c r="M9" s="100" t="str">
        <f t="shared" ref="M9" si="15">IF(L9="","",IF(L9&lt;=1,"1 - Rara Vez",IF(AND(L9&gt;1,L9&lt;=2),"2 - Improbable",IF(AND(L9&gt;2,L9&lt;=3),"3 - Posible",IF(AND(L9&gt;3,L9&lt;=4),"4-Probable",IF(L9&gt;4,"5 - Casi seguro",""))))))</f>
        <v>3 - Posible</v>
      </c>
      <c r="N9" s="100" t="str">
        <f>IF(A9="","",VLOOKUP(A9,$A$34:$W$47,23,FALSE))</f>
        <v>4 - Mayor</v>
      </c>
      <c r="O9" s="100">
        <f t="shared" ref="O9:O18" si="16">IF(N9="5 - Catastrófico",5,IF(N9="4 - Mayor",4,IF(N9="3 - Moderado",3,IF(N9="2 - Menor",2,1))))</f>
        <v>4</v>
      </c>
      <c r="P9" s="100">
        <f t="shared" ref="P9" si="17">IF(L9="","",L9*O9)</f>
        <v>12</v>
      </c>
      <c r="Q9" s="100" t="str">
        <f t="shared" ref="Q9:Q19" si="18">IF(AND(L9=1,O9=5),"Extremo",IF(AND(L9=5,O9=1),"Alto",IF(AND(L9=1,O9=4),"Alto",IF(AND(L9=4,O9=1),"Moderado",IF(AND(L9=1,O9=3),"Moderado",IF(P9=6,"Moderado",IF(OR(P9=8,P9=9),"Alto",IF(AND(L9=5,O9=2),"Alto",IF(AND(L9=4,O9=3),"Alto",IF(AND(L9=2,O9=5),"Extremo",IF(AND(L9=3,O9=4),"Extremo",IF(P9&gt;=15,"Extremo","Moderado"))))))))))))</f>
        <v>Extremo</v>
      </c>
      <c r="R9" s="87" t="s">
        <v>189</v>
      </c>
      <c r="S9" s="88"/>
      <c r="T9" s="89"/>
      <c r="U9" s="56" t="s">
        <v>100</v>
      </c>
      <c r="V9" s="56" t="s">
        <v>101</v>
      </c>
      <c r="W9" s="44" t="s">
        <v>102</v>
      </c>
      <c r="X9" s="44" t="s">
        <v>82</v>
      </c>
      <c r="Y9" s="7">
        <f t="shared" ref="Y9" si="19">IF(X9="","",IF(X9="Asignado",15,0))</f>
        <v>15</v>
      </c>
      <c r="Z9" s="4" t="s">
        <v>83</v>
      </c>
      <c r="AA9" s="7">
        <f t="shared" ref="AA9" si="20">IF(Z9="","",IF(Z9="Adecuado",15,0))</f>
        <v>15</v>
      </c>
      <c r="AB9" s="4" t="s">
        <v>84</v>
      </c>
      <c r="AC9" s="7">
        <f t="shared" ref="AC9" si="21">IF(AB9="","",IF(AB9="Oportuna",15,0))</f>
        <v>15</v>
      </c>
      <c r="AD9" s="4" t="s">
        <v>102</v>
      </c>
      <c r="AE9" s="7">
        <f t="shared" ref="AE9" si="22">IF(AD9="","",IF(AD9="Prevenir",15,IF(AD9="Detectar",10,0)))</f>
        <v>10</v>
      </c>
      <c r="AF9" s="4" t="s">
        <v>85</v>
      </c>
      <c r="AG9" s="7">
        <f t="shared" ref="AG9" si="23">IF(AF9="","",IF(AF9="Confiable",15,0))</f>
        <v>15</v>
      </c>
      <c r="AH9" s="4" t="s">
        <v>86</v>
      </c>
      <c r="AI9" s="7">
        <f t="shared" ref="AI9" si="24">IF(AH9="","",IF(AH9="Se investigan y resuelven oportunamente",15,0))</f>
        <v>15</v>
      </c>
      <c r="AJ9" s="4" t="s">
        <v>87</v>
      </c>
      <c r="AK9" s="7">
        <f t="shared" ref="AK9:AK19" si="25">IF(AJ9="","",IF(AJ9="Completa",10,IF(AJ9="Incompleta",5,0)))</f>
        <v>10</v>
      </c>
      <c r="AL9" s="7">
        <f t="shared" ref="AL9:AL18" si="26">IF(W9="","",AK9+AI9+AG9+AE9+AC9+AA9+Y9)</f>
        <v>95</v>
      </c>
      <c r="AM9" s="7" t="str">
        <f t="shared" ref="AM9:AM18" si="27">IF(AL9&lt;=85,"Débil",IF(AL9&gt;=96,"Fuerte","Moderado"))</f>
        <v>Moderado</v>
      </c>
      <c r="AN9" s="4" t="s">
        <v>103</v>
      </c>
      <c r="AO9" s="7" t="str">
        <f t="shared" ref="AO9" si="28">IF(AN9="","",IF(AND(AM9="Fuerte",AN9="Fuerte"),"Fuerte",IF(AND(AM9="Fuerte",AN9="Moderado"),"Moderado",IF(AND(AM9="Moderado",AN9="Fuerte"),"Moderado",IF(AND(AM9="Moderado",AN9="Moderado"),"Moderado","Débil")))))</f>
        <v>Moderado</v>
      </c>
      <c r="AP9" s="7">
        <f t="shared" ref="AP9:AP18" si="29">IF(AO9="Débil",0,IF(AO9="Moderado",50,100))</f>
        <v>50</v>
      </c>
      <c r="AQ9" s="93">
        <v>100</v>
      </c>
      <c r="AR9" s="100" t="str">
        <f t="shared" ref="AR9" si="30">IF(AQ9="","",IF(AQ9=100,"Fuerte",IF(AP9&lt;50,"Débil","Moderado")))</f>
        <v>Fuerte</v>
      </c>
      <c r="AS9" s="93" t="s">
        <v>89</v>
      </c>
      <c r="AT9" s="93" t="s">
        <v>90</v>
      </c>
      <c r="AU9" s="111">
        <f t="shared" ref="AU9:AU17" si="31">IF(L9="","",IF(AND(AR9="Fuerte",L9&gt;=3,OR(AS9="Directamente",AT9="Indirectamente",AT9="No disminuye")),L9-2,IF(AND(AR9="Fuerte",AS9="No disminuye",AT9="Directamente"),L9,IF(AND(AR9="Moderado",AS9="No disminuye",AT9="Directamente"),L9,IF(AND(AR9="Moderado",L9&gt;=2,OR(AS9="Directamente",AT9="Indirectamente",AT9="No disminuye")),L9-1,L9)))))</f>
        <v>1</v>
      </c>
      <c r="AV9" s="111">
        <f t="shared" ref="AV9:AV17" si="32">IF(AND(AR9="Moderado",AS9="Directamente",OR(AT9="Indirectamente",AT9="No disminuye")),O9,IF(AND(AR9="Fuerte",AS9="Directamente",AT9="No disminuye"),O9,IF(AND(AR9="Fuerte",AT9="Directamente",O9&gt;=3,OR(AS9="Directamente",AS9="No disminuye")),O9-2,IF(AND(O9&gt;=2,AR9="Moderado",AT9="Directamente",OR(AS9="Directamente",AS9="No disminuye")),O9,IF(AND(O9&gt;=2,AR9="Fuerte",AS9="Directamente",AT9="Indirectamente"),O9-1,O9)))))</f>
        <v>4</v>
      </c>
      <c r="AW9" s="100">
        <f t="shared" ref="AW9" si="33">IF(AF9="","",AV9*AU9)</f>
        <v>4</v>
      </c>
      <c r="AX9" s="100" t="str">
        <f t="shared" ref="AX9:AX19" si="34">IF(AND(AU9=1,AV9=5),"Moderado",IF(AND(AU9=5,AV9=1),"Extremo",IF(AND(AU9=1,AV9=4),"Moderado",IF(AND(AU9=4,AV9=1),"Alto",IF(AND(AU9=1,AV9=3),"Moderado",IF(AW9=6,"Moderado",IF(OR(AW9=8,AW9=9),"Alto",IF(AND(AU9=5,AV9=2),"Alto",IF(AND(AU9=4,AV9=3),"Alto",IF(AND(AU9=2,AV9=5),"Extremo",IF(AND(AU9=3,AV9=4),"Extremo",IF(AW9&gt;=15,"Extremo",IF(AW9&lt;=2,"Bajo",IF(AND(AU9=1,AV9=3),"Bajo","Bajo"))))))))))))))</f>
        <v>Moderado</v>
      </c>
      <c r="AY9" s="90" t="s">
        <v>190</v>
      </c>
      <c r="AZ9" s="93" t="s">
        <v>104</v>
      </c>
      <c r="BA9" s="93" t="s">
        <v>105</v>
      </c>
      <c r="BB9" s="96" t="s">
        <v>183</v>
      </c>
      <c r="BC9" s="96" t="s">
        <v>106</v>
      </c>
      <c r="BD9" s="93" t="s">
        <v>125</v>
      </c>
      <c r="BE9" s="1" t="s">
        <v>186</v>
      </c>
    </row>
    <row r="10" spans="1:63" ht="88.5" customHeight="1" x14ac:dyDescent="0.25">
      <c r="A10" s="94"/>
      <c r="B10" s="94"/>
      <c r="C10" s="94"/>
      <c r="D10" s="94"/>
      <c r="E10" s="94"/>
      <c r="F10" s="144"/>
      <c r="G10" s="94"/>
      <c r="H10" s="94"/>
      <c r="I10" s="94"/>
      <c r="J10" s="94"/>
      <c r="K10" s="94"/>
      <c r="L10" s="101"/>
      <c r="M10" s="101"/>
      <c r="N10" s="101"/>
      <c r="O10" s="101"/>
      <c r="P10" s="101"/>
      <c r="Q10" s="101"/>
      <c r="R10" s="87" t="s">
        <v>187</v>
      </c>
      <c r="S10" s="88"/>
      <c r="T10" s="89"/>
      <c r="U10" s="56" t="s">
        <v>205</v>
      </c>
      <c r="V10" s="56" t="s">
        <v>206</v>
      </c>
      <c r="W10" s="44" t="s">
        <v>81</v>
      </c>
      <c r="X10" s="44" t="s">
        <v>82</v>
      </c>
      <c r="Y10" s="7">
        <f t="shared" ref="Y10:Y11" si="35">IF(X10="","",IF(X10="Asignado",15,0))</f>
        <v>15</v>
      </c>
      <c r="Z10" s="44" t="s">
        <v>83</v>
      </c>
      <c r="AA10" s="7">
        <f t="shared" ref="AA10:AA11" si="36">IF(Z10="","",IF(Z10="Adecuado",15,0))</f>
        <v>15</v>
      </c>
      <c r="AB10" s="44" t="s">
        <v>84</v>
      </c>
      <c r="AC10" s="7">
        <f t="shared" ref="AC10:AC11" si="37">IF(AB10="","",IF(AB10="Oportuna",15,0))</f>
        <v>15</v>
      </c>
      <c r="AD10" s="44" t="s">
        <v>102</v>
      </c>
      <c r="AE10" s="7">
        <f t="shared" ref="AE10:AE11" si="38">IF(AD10="","",IF(AD10="Prevenir",15,IF(AD10="Detectar",10,0)))</f>
        <v>10</v>
      </c>
      <c r="AF10" s="44" t="s">
        <v>85</v>
      </c>
      <c r="AG10" s="7">
        <f t="shared" ref="AG10:AG11" si="39">IF(AF10="","",IF(AF10="Confiable",15,0))</f>
        <v>15</v>
      </c>
      <c r="AH10" s="44" t="s">
        <v>86</v>
      </c>
      <c r="AI10" s="7">
        <f t="shared" ref="AI10:AI11" si="40">IF(AH10="","",IF(AH10="Se investigan y resuelven oportunamente",15,0))</f>
        <v>15</v>
      </c>
      <c r="AJ10" s="44" t="s">
        <v>87</v>
      </c>
      <c r="AK10" s="7">
        <f t="shared" ref="AK10:AK11" si="41">IF(AJ10="","",IF(AJ10="Completa",10,IF(AJ10="Incompleta",5,0)))</f>
        <v>10</v>
      </c>
      <c r="AL10" s="7">
        <f>IF(W10="","",AK10+AI10+AG10+AE10+AC10+AA10+Y10)</f>
        <v>95</v>
      </c>
      <c r="AM10" s="7" t="str">
        <f t="shared" ref="AM10:AM11" si="42">IF(AL10&lt;=85,"Débil",IF(AL10&gt;=96,"Fuerte","Moderado"))</f>
        <v>Moderado</v>
      </c>
      <c r="AN10" s="44" t="s">
        <v>103</v>
      </c>
      <c r="AO10" s="7" t="str">
        <f t="shared" ref="AO10:AO11" si="43">IF(AN10="","",IF(AND(AM10="Fuerte",AN10="Fuerte"),"Fuerte",IF(AND(AM10="Fuerte",AN10="Moderado"),"Moderado",IF(AND(AM10="Moderado",AN10="Fuerte"),"Moderado",IF(AND(AM10="Moderado",AN10="Moderado"),"Moderado","Débil")))))</f>
        <v>Moderado</v>
      </c>
      <c r="AP10" s="7">
        <f t="shared" ref="AP10:AP11" si="44">IF(AO10="Débil",0,IF(AO10="Moderado",50,100))</f>
        <v>50</v>
      </c>
      <c r="AQ10" s="94"/>
      <c r="AR10" s="101"/>
      <c r="AS10" s="94"/>
      <c r="AT10" s="94"/>
      <c r="AU10" s="112"/>
      <c r="AV10" s="112"/>
      <c r="AW10" s="101"/>
      <c r="AX10" s="101"/>
      <c r="AY10" s="91"/>
      <c r="AZ10" s="94"/>
      <c r="BA10" s="94"/>
      <c r="BB10" s="97"/>
      <c r="BC10" s="97"/>
      <c r="BD10" s="94"/>
    </row>
    <row r="11" spans="1:63" ht="111" customHeight="1" x14ac:dyDescent="0.25">
      <c r="A11" s="95"/>
      <c r="B11" s="95"/>
      <c r="C11" s="95"/>
      <c r="D11" s="95"/>
      <c r="E11" s="95"/>
      <c r="F11" s="143"/>
      <c r="G11" s="95"/>
      <c r="H11" s="95"/>
      <c r="I11" s="95"/>
      <c r="J11" s="95"/>
      <c r="K11" s="95"/>
      <c r="L11" s="102"/>
      <c r="M11" s="102"/>
      <c r="N11" s="102"/>
      <c r="O11" s="102"/>
      <c r="P11" s="102"/>
      <c r="Q11" s="102"/>
      <c r="R11" s="87" t="s">
        <v>188</v>
      </c>
      <c r="S11" s="88"/>
      <c r="T11" s="89"/>
      <c r="U11" s="56" t="s">
        <v>207</v>
      </c>
      <c r="V11" s="56" t="s">
        <v>208</v>
      </c>
      <c r="W11" s="44" t="s">
        <v>81</v>
      </c>
      <c r="X11" s="44" t="s">
        <v>82</v>
      </c>
      <c r="Y11" s="7">
        <f t="shared" si="35"/>
        <v>15</v>
      </c>
      <c r="Z11" s="44" t="s">
        <v>83</v>
      </c>
      <c r="AA11" s="7">
        <f t="shared" si="36"/>
        <v>15</v>
      </c>
      <c r="AB11" s="44" t="s">
        <v>84</v>
      </c>
      <c r="AC11" s="7">
        <f t="shared" si="37"/>
        <v>15</v>
      </c>
      <c r="AD11" s="44" t="s">
        <v>102</v>
      </c>
      <c r="AE11" s="7">
        <f t="shared" si="38"/>
        <v>10</v>
      </c>
      <c r="AF11" s="44" t="s">
        <v>85</v>
      </c>
      <c r="AG11" s="7">
        <f t="shared" si="39"/>
        <v>15</v>
      </c>
      <c r="AH11" s="44" t="s">
        <v>86</v>
      </c>
      <c r="AI11" s="7">
        <f t="shared" si="40"/>
        <v>15</v>
      </c>
      <c r="AJ11" s="44" t="s">
        <v>87</v>
      </c>
      <c r="AK11" s="7">
        <f t="shared" si="41"/>
        <v>10</v>
      </c>
      <c r="AL11" s="7">
        <f>IF(W11="","",AK11+AI11+AG11+AE11+AC11+AA11+Y11)</f>
        <v>95</v>
      </c>
      <c r="AM11" s="7" t="str">
        <f t="shared" si="42"/>
        <v>Moderado</v>
      </c>
      <c r="AN11" s="44" t="s">
        <v>103</v>
      </c>
      <c r="AO11" s="7" t="str">
        <f t="shared" si="43"/>
        <v>Moderado</v>
      </c>
      <c r="AP11" s="7">
        <f t="shared" si="44"/>
        <v>50</v>
      </c>
      <c r="AQ11" s="95"/>
      <c r="AR11" s="102"/>
      <c r="AS11" s="95"/>
      <c r="AT11" s="95"/>
      <c r="AU11" s="113"/>
      <c r="AV11" s="113"/>
      <c r="AW11" s="102"/>
      <c r="AX11" s="102"/>
      <c r="AY11" s="92"/>
      <c r="AZ11" s="95"/>
      <c r="BA11" s="95"/>
      <c r="BB11" s="98"/>
      <c r="BC11" s="98"/>
      <c r="BD11" s="95"/>
    </row>
    <row r="12" spans="1:63" ht="156.75" customHeight="1" x14ac:dyDescent="0.25">
      <c r="A12" s="93" t="s">
        <v>108</v>
      </c>
      <c r="B12" s="93" t="s">
        <v>110</v>
      </c>
      <c r="C12" s="93" t="s">
        <v>109</v>
      </c>
      <c r="D12" s="93" t="s">
        <v>111</v>
      </c>
      <c r="E12" s="93" t="s">
        <v>79</v>
      </c>
      <c r="F12" s="142" t="s">
        <v>112</v>
      </c>
      <c r="G12" s="93">
        <v>3</v>
      </c>
      <c r="H12" s="93">
        <v>3</v>
      </c>
      <c r="I12" s="93">
        <v>3</v>
      </c>
      <c r="J12" s="93"/>
      <c r="K12" s="93"/>
      <c r="L12" s="100">
        <f t="shared" ref="L12" si="45">IF(AND(G12="",H12="",I12="",J12="",K12=""),"",AVERAGE(G12:K12))</f>
        <v>3</v>
      </c>
      <c r="M12" s="100" t="str">
        <f t="shared" ref="M12" si="46">IF(L12="","",IF(L12&lt;=1,"1 - Rara Vez",IF(AND(L12&gt;1,L12&lt;=2),"2 - Improbable",IF(AND(L12&gt;2,L12&lt;=3),"3 - Posible",IF(AND(L12&gt;3,L12&lt;=4),"4-Probable",IF(L12&gt;4,"5 - Casi seguro",""))))))</f>
        <v>3 - Posible</v>
      </c>
      <c r="N12" s="100" t="str">
        <f>IF(A12="","",VLOOKUP(A12,$A$34:$W$47,23,FALSE))</f>
        <v>5 - Catastrófico</v>
      </c>
      <c r="O12" s="100">
        <f t="shared" si="16"/>
        <v>5</v>
      </c>
      <c r="P12" s="100">
        <f t="shared" ref="P12" si="47">IF(L12="","",L12*O12)</f>
        <v>15</v>
      </c>
      <c r="Q12" s="100" t="str">
        <f t="shared" si="18"/>
        <v>Extremo</v>
      </c>
      <c r="R12" s="87" t="s">
        <v>181</v>
      </c>
      <c r="S12" s="88"/>
      <c r="T12" s="89"/>
      <c r="U12" s="56" t="s">
        <v>114</v>
      </c>
      <c r="V12" s="56" t="s">
        <v>115</v>
      </c>
      <c r="W12" s="44" t="s">
        <v>81</v>
      </c>
      <c r="X12" s="44" t="s">
        <v>82</v>
      </c>
      <c r="Y12" s="7">
        <f t="shared" ref="Y12" si="48">IF(X12="","",IF(X12="Asignado",15,0))</f>
        <v>15</v>
      </c>
      <c r="Z12" s="4" t="s">
        <v>83</v>
      </c>
      <c r="AA12" s="7">
        <f t="shared" ref="AA12" si="49">IF(Z12="","",IF(Z12="Adecuado",15,0))</f>
        <v>15</v>
      </c>
      <c r="AB12" s="4" t="s">
        <v>84</v>
      </c>
      <c r="AC12" s="7">
        <f t="shared" ref="AC12" si="50">IF(AB12="","",IF(AB12="Oportuna",15,0))</f>
        <v>15</v>
      </c>
      <c r="AD12" s="4" t="s">
        <v>81</v>
      </c>
      <c r="AE12" s="7">
        <f t="shared" ref="AE12" si="51">IF(AD12="","",IF(AD12="Prevenir",15,IF(AD12="Detectar",10,0)))</f>
        <v>15</v>
      </c>
      <c r="AF12" s="4" t="s">
        <v>85</v>
      </c>
      <c r="AG12" s="7">
        <f t="shared" ref="AG12" si="52">IF(AF12="","",IF(AF12="Confiable",15,0))</f>
        <v>15</v>
      </c>
      <c r="AH12" s="4" t="s">
        <v>86</v>
      </c>
      <c r="AI12" s="7">
        <f t="shared" ref="AI12" si="53">IF(AH12="","",IF(AH12="Se investigan y resuelven oportunamente",15,0))</f>
        <v>15</v>
      </c>
      <c r="AJ12" s="4" t="s">
        <v>87</v>
      </c>
      <c r="AK12" s="7">
        <f t="shared" si="25"/>
        <v>10</v>
      </c>
      <c r="AL12" s="7">
        <f t="shared" si="26"/>
        <v>100</v>
      </c>
      <c r="AM12" s="7" t="str">
        <f t="shared" si="27"/>
        <v>Fuerte</v>
      </c>
      <c r="AN12" s="4" t="s">
        <v>103</v>
      </c>
      <c r="AO12" s="7" t="str">
        <f t="shared" ref="AO12" si="54">IF(AN12="","",IF(AND(AM12="Fuerte",AN12="Fuerte"),"Fuerte",IF(AND(AM12="Fuerte",AN12="Moderado"),"Moderado",IF(AND(AM12="Moderado",AN12="Fuerte"),"Moderado",IF(AND(AM12="Moderado",AN12="Moderado"),"Moderado","Débil")))))</f>
        <v>Fuerte</v>
      </c>
      <c r="AP12" s="7">
        <f t="shared" si="29"/>
        <v>100</v>
      </c>
      <c r="AQ12" s="93">
        <v>100</v>
      </c>
      <c r="AR12" s="100" t="str">
        <f t="shared" ref="AR12" si="55">IF(AQ12="","",IF(AQ12=100,"Fuerte",IF(AP12&lt;50,"Débil","Moderado")))</f>
        <v>Fuerte</v>
      </c>
      <c r="AS12" s="93" t="s">
        <v>89</v>
      </c>
      <c r="AT12" s="93" t="s">
        <v>90</v>
      </c>
      <c r="AU12" s="111">
        <f t="shared" si="31"/>
        <v>1</v>
      </c>
      <c r="AV12" s="111">
        <f t="shared" si="32"/>
        <v>5</v>
      </c>
      <c r="AW12" s="100">
        <f t="shared" ref="AW12" si="56">IF(AF12="","",AV12*AU12)</f>
        <v>5</v>
      </c>
      <c r="AX12" s="100" t="str">
        <f t="shared" si="34"/>
        <v>Moderado</v>
      </c>
      <c r="AY12" s="103" t="s">
        <v>185</v>
      </c>
      <c r="AZ12" s="93" t="s">
        <v>182</v>
      </c>
      <c r="BA12" s="93" t="s">
        <v>116</v>
      </c>
      <c r="BB12" s="96" t="s">
        <v>117</v>
      </c>
      <c r="BC12" s="96" t="s">
        <v>118</v>
      </c>
      <c r="BD12" s="93"/>
      <c r="BE12" s="1" t="s">
        <v>186</v>
      </c>
    </row>
    <row r="13" spans="1:63" ht="156.75" customHeight="1" x14ac:dyDescent="0.25">
      <c r="A13" s="95"/>
      <c r="B13" s="95"/>
      <c r="C13" s="95"/>
      <c r="D13" s="95"/>
      <c r="E13" s="95"/>
      <c r="F13" s="143"/>
      <c r="G13" s="95"/>
      <c r="H13" s="95"/>
      <c r="I13" s="95"/>
      <c r="J13" s="95"/>
      <c r="K13" s="95"/>
      <c r="L13" s="102"/>
      <c r="M13" s="102"/>
      <c r="N13" s="102"/>
      <c r="O13" s="102"/>
      <c r="P13" s="102"/>
      <c r="Q13" s="102"/>
      <c r="R13" s="87" t="s">
        <v>184</v>
      </c>
      <c r="S13" s="88"/>
      <c r="T13" s="89"/>
      <c r="U13" s="56" t="s">
        <v>197</v>
      </c>
      <c r="V13" s="56" t="s">
        <v>198</v>
      </c>
      <c r="W13" s="44" t="s">
        <v>81</v>
      </c>
      <c r="X13" s="44" t="s">
        <v>82</v>
      </c>
      <c r="Y13" s="7">
        <f t="shared" ref="Y13" si="57">IF(X13="","",IF(X13="Asignado",15,0))</f>
        <v>15</v>
      </c>
      <c r="Z13" s="44" t="s">
        <v>83</v>
      </c>
      <c r="AA13" s="7">
        <f t="shared" ref="AA13" si="58">IF(Z13="","",IF(Z13="Adecuado",15,0))</f>
        <v>15</v>
      </c>
      <c r="AB13" s="44" t="s">
        <v>84</v>
      </c>
      <c r="AC13" s="7">
        <f t="shared" ref="AC13" si="59">IF(AB13="","",IF(AB13="Oportuna",15,0))</f>
        <v>15</v>
      </c>
      <c r="AD13" s="44" t="s">
        <v>81</v>
      </c>
      <c r="AE13" s="7">
        <f t="shared" ref="AE13" si="60">IF(AD13="","",IF(AD13="Prevenir",15,IF(AD13="Detectar",10,0)))</f>
        <v>15</v>
      </c>
      <c r="AF13" s="44" t="s">
        <v>85</v>
      </c>
      <c r="AG13" s="7">
        <f t="shared" ref="AG13" si="61">IF(AF13="","",IF(AF13="Confiable",15,0))</f>
        <v>15</v>
      </c>
      <c r="AH13" s="44" t="s">
        <v>86</v>
      </c>
      <c r="AI13" s="7">
        <f t="shared" ref="AI13" si="62">IF(AH13="","",IF(AH13="Se investigan y resuelven oportunamente",15,0))</f>
        <v>15</v>
      </c>
      <c r="AJ13" s="44" t="s">
        <v>87</v>
      </c>
      <c r="AK13" s="7">
        <f t="shared" ref="AK13" si="63">IF(AJ13="","",IF(AJ13="Completa",10,IF(AJ13="Incompleta",5,0)))</f>
        <v>10</v>
      </c>
      <c r="AL13" s="7">
        <f t="shared" ref="AL13" si="64">IF(W13="","",AK13+AI13+AG13+AE13+AC13+AA13+Y13)</f>
        <v>100</v>
      </c>
      <c r="AM13" s="7" t="str">
        <f t="shared" ref="AM13" si="65">IF(AL13&lt;=85,"Débil",IF(AL13&gt;=96,"Fuerte","Moderado"))</f>
        <v>Fuerte</v>
      </c>
      <c r="AN13" s="44" t="s">
        <v>103</v>
      </c>
      <c r="AO13" s="7" t="str">
        <f t="shared" ref="AO13" si="66">IF(AN13="","",IF(AND(AM13="Fuerte",AN13="Fuerte"),"Fuerte",IF(AND(AM13="Fuerte",AN13="Moderado"),"Moderado",IF(AND(AM13="Moderado",AN13="Fuerte"),"Moderado",IF(AND(AM13="Moderado",AN13="Moderado"),"Moderado","Débil")))))</f>
        <v>Fuerte</v>
      </c>
      <c r="AP13" s="7">
        <f t="shared" ref="AP13" si="67">IF(AO13="Débil",0,IF(AO13="Moderado",50,100))</f>
        <v>100</v>
      </c>
      <c r="AQ13" s="95"/>
      <c r="AR13" s="102"/>
      <c r="AS13" s="95"/>
      <c r="AT13" s="95"/>
      <c r="AU13" s="113"/>
      <c r="AV13" s="113"/>
      <c r="AW13" s="102"/>
      <c r="AX13" s="102"/>
      <c r="AY13" s="104"/>
      <c r="AZ13" s="95"/>
      <c r="BA13" s="95"/>
      <c r="BB13" s="98"/>
      <c r="BC13" s="98"/>
      <c r="BD13" s="95"/>
    </row>
    <row r="14" spans="1:63" ht="307.5" customHeight="1" x14ac:dyDescent="0.25">
      <c r="A14" s="10" t="s">
        <v>135</v>
      </c>
      <c r="B14" s="10" t="s">
        <v>119</v>
      </c>
      <c r="C14" s="10" t="s">
        <v>109</v>
      </c>
      <c r="D14" s="44" t="s">
        <v>120</v>
      </c>
      <c r="E14" s="44" t="s">
        <v>121</v>
      </c>
      <c r="F14" s="58" t="s">
        <v>122</v>
      </c>
      <c r="G14" s="44">
        <v>3</v>
      </c>
      <c r="H14" s="44">
        <v>3</v>
      </c>
      <c r="I14" s="44">
        <v>3</v>
      </c>
      <c r="J14" s="44">
        <v>3</v>
      </c>
      <c r="K14" s="44">
        <v>3</v>
      </c>
      <c r="L14" s="7">
        <f t="shared" ref="L14" si="68">IF(AND(G14="",H14="",I14="",J14="",K14=""),"",AVERAGE(G14:K14))</f>
        <v>3</v>
      </c>
      <c r="M14" s="7" t="str">
        <f t="shared" ref="M14" si="69">IF(L14="","",IF(L14&lt;=1,"1 - Rara Vez",IF(AND(L14&gt;1,L14&lt;=2),"2 - Improbable",IF(AND(L14&gt;2,L14&lt;=3),"3 - Posible",IF(AND(L14&gt;3,L14&lt;=4),"4-Probable",IF(L14&gt;4,"5 - Casi seguro",""))))))</f>
        <v>3 - Posible</v>
      </c>
      <c r="N14" s="7" t="str">
        <f>IF(A14="","",VLOOKUP(A14,$A$31:$W$45,23,FALSE))</f>
        <v>5 - Catastrófico</v>
      </c>
      <c r="O14" s="7">
        <f t="shared" ref="O14" si="70">IF(N14="5 - Catastrófico",5,IF(N14="4 - Mayor",4,IF(N14="3 - Moderado",3,IF(N14="2 - Menor",2,1))))</f>
        <v>5</v>
      </c>
      <c r="P14" s="7">
        <f t="shared" ref="P14" si="71">IF(L14="","",L14*O14)</f>
        <v>15</v>
      </c>
      <c r="Q14" s="7" t="str">
        <f t="shared" ref="Q14" si="72">IF(AND(L14=1,O14=5),"Extremo",IF(AND(L14=5,O14=1),"Alto",IF(AND(L14=1,O14=4),"Alto",IF(AND(L14=4,O14=1),"Moderado",IF(AND(L14=1,O14=3),"Moderado",IF(P14=6,"Moderado",IF(OR(P14=8,P14=9),"Alto",IF(AND(L14=5,O14=2),"Alto",IF(AND(L14=4,O14=3),"Alto",IF(AND(L14=2,O14=5),"Extremo",IF(AND(L14=3,O14=4),"Extremo",IF(P14&gt;=15,"Extremo","Moderado"))))))))))))</f>
        <v>Extremo</v>
      </c>
      <c r="R14" s="87" t="s">
        <v>192</v>
      </c>
      <c r="S14" s="88"/>
      <c r="T14" s="89"/>
      <c r="U14" s="56" t="s">
        <v>142</v>
      </c>
      <c r="V14" s="56" t="s">
        <v>101</v>
      </c>
      <c r="W14" s="44" t="s">
        <v>81</v>
      </c>
      <c r="X14" s="44" t="s">
        <v>82</v>
      </c>
      <c r="Y14" s="7">
        <f t="shared" ref="Y14" si="73">IF(X14="","",IF(X14="Asignado",15,0))</f>
        <v>15</v>
      </c>
      <c r="Z14" s="44" t="s">
        <v>83</v>
      </c>
      <c r="AA14" s="7">
        <f t="shared" ref="AA14" si="74">IF(Z14="","",IF(Z14="Adecuado",15,0))</f>
        <v>15</v>
      </c>
      <c r="AB14" s="44" t="s">
        <v>84</v>
      </c>
      <c r="AC14" s="7">
        <f t="shared" ref="AC14" si="75">IF(AB14="","",IF(AB14="Oportuna",15,0))</f>
        <v>15</v>
      </c>
      <c r="AD14" s="44" t="s">
        <v>81</v>
      </c>
      <c r="AE14" s="7">
        <f t="shared" ref="AE14" si="76">IF(AD14="","",IF(AD14="Prevenir",15,IF(AD14="Detectar",10,0)))</f>
        <v>15</v>
      </c>
      <c r="AF14" s="44" t="s">
        <v>85</v>
      </c>
      <c r="AG14" s="7">
        <f t="shared" ref="AG14" si="77">IF(AF14="","",IF(AF14="Confiable",15,0))</f>
        <v>15</v>
      </c>
      <c r="AH14" s="44" t="s">
        <v>86</v>
      </c>
      <c r="AI14" s="7">
        <f t="shared" ref="AI14" si="78">IF(AH14="","",IF(AH14="Se investigan y resuelven oportunamente",15,0))</f>
        <v>15</v>
      </c>
      <c r="AJ14" s="44" t="s">
        <v>87</v>
      </c>
      <c r="AK14" s="7">
        <f t="shared" ref="AK14" si="79">IF(AJ14="","",IF(AJ14="Completa",10,IF(AJ14="Incompleta",5,0)))</f>
        <v>10</v>
      </c>
      <c r="AL14" s="7">
        <f t="shared" ref="AL14" si="80">IF(W14="","",AK14+AI14+AG14+AE14+AC14+AA14+Y14)</f>
        <v>100</v>
      </c>
      <c r="AM14" s="7" t="str">
        <f t="shared" ref="AM14" si="81">IF(AL14&lt;=85,"Débil",IF(AL14&gt;=96,"Fuerte","Moderado"))</f>
        <v>Fuerte</v>
      </c>
      <c r="AN14" s="44" t="s">
        <v>103</v>
      </c>
      <c r="AO14" s="7" t="str">
        <f t="shared" ref="AO14" si="82">IF(AN14="","",IF(AND(AM14="Fuerte",AN14="Fuerte"),"Fuerte",IF(AND(AM14="Fuerte",AN14="Moderado"),"Moderado",IF(AND(AM14="Moderado",AN14="Fuerte"),"Moderado",IF(AND(AM14="Moderado",AN14="Moderado"),"Moderado","Débil")))))</f>
        <v>Fuerte</v>
      </c>
      <c r="AP14" s="7">
        <f t="shared" ref="AP14" si="83">IF(AO14="Débil",0,IF(AO14="Moderado",50,100))</f>
        <v>100</v>
      </c>
      <c r="AQ14" s="44">
        <v>100</v>
      </c>
      <c r="AR14" s="7" t="str">
        <f t="shared" ref="AR14" si="84">IF(AQ14="","",IF(AQ14=100,"Fuerte",IF(AP14&lt;50,"Débil","Moderado")))</f>
        <v>Fuerte</v>
      </c>
      <c r="AS14" s="44" t="s">
        <v>89</v>
      </c>
      <c r="AT14" s="44" t="s">
        <v>90</v>
      </c>
      <c r="AU14" s="8">
        <f t="shared" si="31"/>
        <v>1</v>
      </c>
      <c r="AV14" s="8">
        <f t="shared" ref="AV14" si="85">IF(AND(AR14="Moderado",AS14="Directamente",OR(AT14="Indirectamente",AT14="No disminuye")),O14,IF(AND(AR14="Fuerte",AS14="Directamente",AT14="No disminuye"),O14,IF(AND(AR14="Fuerte",AT14="Directamente",O14&gt;=3,OR(AS14="Directamente",AS14="No disminuye")),O14-2,IF(AND(O14&gt;=2,AR14="Moderado",AT14="Directamente",OR(AS14="Directamente",AS14="No disminuye")),O14,IF(AND(O14&gt;=2,AR14="Fuerte",AS14="Directamente",AT14="Indirectamente"),O14-1,O14)))))</f>
        <v>5</v>
      </c>
      <c r="AW14" s="7">
        <f t="shared" ref="AW14" si="86">IF(AF14="","",AV14*AU14)</f>
        <v>5</v>
      </c>
      <c r="AX14" s="7" t="str">
        <f t="shared" si="34"/>
        <v>Moderado</v>
      </c>
      <c r="AY14" s="49" t="s">
        <v>193</v>
      </c>
      <c r="AZ14" s="44" t="s">
        <v>194</v>
      </c>
      <c r="BA14" s="48" t="s">
        <v>128</v>
      </c>
      <c r="BB14" s="46">
        <v>44561</v>
      </c>
      <c r="BC14" s="46" t="s">
        <v>129</v>
      </c>
      <c r="BD14" s="45" t="s">
        <v>136</v>
      </c>
    </row>
    <row r="15" spans="1:63" ht="174.75" customHeight="1" x14ac:dyDescent="0.25">
      <c r="A15" s="10" t="s">
        <v>137</v>
      </c>
      <c r="B15" s="10" t="s">
        <v>138</v>
      </c>
      <c r="C15" s="10" t="s">
        <v>109</v>
      </c>
      <c r="D15" s="44" t="s">
        <v>123</v>
      </c>
      <c r="E15" s="62" t="s">
        <v>139</v>
      </c>
      <c r="F15" s="58" t="s">
        <v>122</v>
      </c>
      <c r="G15" s="44">
        <v>4</v>
      </c>
      <c r="H15" s="44">
        <v>4</v>
      </c>
      <c r="I15" s="44">
        <v>4</v>
      </c>
      <c r="J15" s="44">
        <v>4</v>
      </c>
      <c r="K15" s="44">
        <v>4</v>
      </c>
      <c r="L15" s="7">
        <f t="shared" ref="L15:L18" si="87">IF(AND(G15="",H15="",I15="",J15="",K15=""),"",AVERAGE(G15:K15))</f>
        <v>4</v>
      </c>
      <c r="M15" s="7" t="str">
        <f t="shared" ref="M15:M18" si="88">IF(L15="","",IF(L15&lt;=1,"1 - Rara Vez",IF(AND(L15&gt;1,L15&lt;=2),"2 - Improbable",IF(AND(L15&gt;2,L15&lt;=3),"3 - Posible",IF(AND(L15&gt;3,L15&lt;=4),"4-Probable",IF(L15&gt;4,"5 - Casi seguro",""))))))</f>
        <v>4-Probable</v>
      </c>
      <c r="N15" s="7" t="str">
        <f>IF(A15="","",VLOOKUP(A15,$A$31:$W$45,23,FALSE))</f>
        <v>5 - Catastrófico</v>
      </c>
      <c r="O15" s="7">
        <f t="shared" si="16"/>
        <v>5</v>
      </c>
      <c r="P15" s="7">
        <f>IF(L15="","",L15*O15)</f>
        <v>20</v>
      </c>
      <c r="Q15" s="7" t="str">
        <f t="shared" si="18"/>
        <v>Extremo</v>
      </c>
      <c r="R15" s="87" t="s">
        <v>195</v>
      </c>
      <c r="S15" s="88"/>
      <c r="T15" s="89"/>
      <c r="U15" s="56" t="s">
        <v>143</v>
      </c>
      <c r="V15" s="56" t="s">
        <v>101</v>
      </c>
      <c r="W15" s="44" t="s">
        <v>81</v>
      </c>
      <c r="X15" s="44" t="s">
        <v>82</v>
      </c>
      <c r="Y15" s="7">
        <f t="shared" ref="Y15:Y18" si="89">IF(X15="","",IF(X15="Asignado",15,0))</f>
        <v>15</v>
      </c>
      <c r="Z15" s="44" t="s">
        <v>83</v>
      </c>
      <c r="AA15" s="7">
        <f t="shared" ref="AA15:AA18" si="90">IF(Z15="","",IF(Z15="Adecuado",15,0))</f>
        <v>15</v>
      </c>
      <c r="AB15" s="44" t="s">
        <v>84</v>
      </c>
      <c r="AC15" s="7">
        <f t="shared" ref="AC15:AC18" si="91">IF(AB15="","",IF(AB15="Oportuna",15,0))</f>
        <v>15</v>
      </c>
      <c r="AD15" s="44" t="s">
        <v>81</v>
      </c>
      <c r="AE15" s="7">
        <f t="shared" ref="AE15:AE18" si="92">IF(AD15="","",IF(AD15="Prevenir",15,IF(AD15="Detectar",10,0)))</f>
        <v>15</v>
      </c>
      <c r="AF15" s="44" t="s">
        <v>85</v>
      </c>
      <c r="AG15" s="7">
        <f t="shared" ref="AG15:AG18" si="93">IF(AF15="","",IF(AF15="Confiable",15,0))</f>
        <v>15</v>
      </c>
      <c r="AH15" s="44" t="s">
        <v>86</v>
      </c>
      <c r="AI15" s="7">
        <f t="shared" ref="AI15:AI18" si="94">IF(AH15="","",IF(AH15="Se investigan y resuelven oportunamente",15,0))</f>
        <v>15</v>
      </c>
      <c r="AJ15" s="44" t="s">
        <v>87</v>
      </c>
      <c r="AK15" s="7">
        <f t="shared" si="25"/>
        <v>10</v>
      </c>
      <c r="AL15" s="7">
        <f t="shared" si="26"/>
        <v>100</v>
      </c>
      <c r="AM15" s="7" t="str">
        <f t="shared" si="27"/>
        <v>Fuerte</v>
      </c>
      <c r="AN15" s="44" t="s">
        <v>103</v>
      </c>
      <c r="AO15" s="7" t="str">
        <f t="shared" ref="AO15:AO18" si="95">IF(AN15="","",IF(AND(AM15="Fuerte",AN15="Fuerte"),"Fuerte",IF(AND(AM15="Fuerte",AN15="Moderado"),"Moderado",IF(AND(AM15="Moderado",AN15="Fuerte"),"Moderado",IF(AND(AM15="Moderado",AN15="Moderado"),"Moderado","Débil")))))</f>
        <v>Fuerte</v>
      </c>
      <c r="AP15" s="7">
        <f t="shared" si="29"/>
        <v>100</v>
      </c>
      <c r="AQ15" s="44">
        <v>100</v>
      </c>
      <c r="AR15" s="7" t="str">
        <f t="shared" ref="AR15:AR18" si="96">IF(AQ15="","",IF(AQ15=100,"Fuerte",IF(AP15&lt;50,"Débil","Moderado")))</f>
        <v>Fuerte</v>
      </c>
      <c r="AS15" s="44" t="s">
        <v>89</v>
      </c>
      <c r="AT15" s="44" t="s">
        <v>90</v>
      </c>
      <c r="AU15" s="8">
        <f t="shared" si="31"/>
        <v>2</v>
      </c>
      <c r="AV15" s="8">
        <f t="shared" si="32"/>
        <v>5</v>
      </c>
      <c r="AW15" s="7">
        <f t="shared" ref="AW15:AW18" si="97">IF(AF15="","",AV15*AU15)</f>
        <v>10</v>
      </c>
      <c r="AX15" s="7" t="str">
        <f t="shared" si="34"/>
        <v>Extremo</v>
      </c>
      <c r="AY15" s="47" t="s">
        <v>221</v>
      </c>
      <c r="AZ15" s="44" t="s">
        <v>140</v>
      </c>
      <c r="BA15" s="48" t="s">
        <v>178</v>
      </c>
      <c r="BB15" s="46">
        <v>44926</v>
      </c>
      <c r="BC15" s="46" t="s">
        <v>141</v>
      </c>
      <c r="BD15" s="45" t="s">
        <v>125</v>
      </c>
    </row>
    <row r="16" spans="1:63" ht="126" customHeight="1" x14ac:dyDescent="0.25">
      <c r="A16" s="10" t="s">
        <v>248</v>
      </c>
      <c r="B16" s="10" t="s">
        <v>144</v>
      </c>
      <c r="C16" s="10" t="s">
        <v>109</v>
      </c>
      <c r="D16" s="44" t="s">
        <v>166</v>
      </c>
      <c r="E16" s="62" t="s">
        <v>145</v>
      </c>
      <c r="F16" s="58" t="s">
        <v>209</v>
      </c>
      <c r="G16" s="44">
        <v>4</v>
      </c>
      <c r="H16" s="44">
        <v>4</v>
      </c>
      <c r="I16" s="44">
        <v>4</v>
      </c>
      <c r="J16" s="44"/>
      <c r="K16" s="44"/>
      <c r="L16" s="7">
        <f t="shared" si="87"/>
        <v>4</v>
      </c>
      <c r="M16" s="7" t="str">
        <f t="shared" si="88"/>
        <v>4-Probable</v>
      </c>
      <c r="N16" s="7" t="str">
        <f>IF(A16="","",VLOOKUP(A16,$A$33:$W$47,23,FALSE))</f>
        <v>5 - Catastrófico</v>
      </c>
      <c r="O16" s="7">
        <f t="shared" si="16"/>
        <v>5</v>
      </c>
      <c r="P16" s="7">
        <f t="shared" ref="P16:P18" si="98">IF(L16="","",L16*O16)</f>
        <v>20</v>
      </c>
      <c r="Q16" s="7" t="str">
        <f t="shared" si="18"/>
        <v>Extremo</v>
      </c>
      <c r="R16" s="108" t="s">
        <v>173</v>
      </c>
      <c r="S16" s="109"/>
      <c r="T16" s="110"/>
      <c r="U16" s="56" t="s">
        <v>174</v>
      </c>
      <c r="V16" s="56" t="s">
        <v>175</v>
      </c>
      <c r="W16" s="44" t="s">
        <v>81</v>
      </c>
      <c r="X16" s="44" t="s">
        <v>82</v>
      </c>
      <c r="Y16" s="7">
        <f t="shared" si="89"/>
        <v>15</v>
      </c>
      <c r="Z16" s="44" t="s">
        <v>83</v>
      </c>
      <c r="AA16" s="7">
        <f t="shared" si="90"/>
        <v>15</v>
      </c>
      <c r="AB16" s="44" t="s">
        <v>84</v>
      </c>
      <c r="AC16" s="7">
        <f t="shared" si="91"/>
        <v>15</v>
      </c>
      <c r="AD16" s="44" t="s">
        <v>81</v>
      </c>
      <c r="AE16" s="7">
        <f t="shared" si="92"/>
        <v>15</v>
      </c>
      <c r="AF16" s="44" t="s">
        <v>85</v>
      </c>
      <c r="AG16" s="7">
        <f t="shared" si="93"/>
        <v>15</v>
      </c>
      <c r="AH16" s="44" t="s">
        <v>86</v>
      </c>
      <c r="AI16" s="7">
        <f t="shared" si="94"/>
        <v>15</v>
      </c>
      <c r="AJ16" s="44" t="s">
        <v>87</v>
      </c>
      <c r="AK16" s="7">
        <f t="shared" si="25"/>
        <v>10</v>
      </c>
      <c r="AL16" s="7">
        <f t="shared" si="26"/>
        <v>100</v>
      </c>
      <c r="AM16" s="7" t="str">
        <f t="shared" si="27"/>
        <v>Fuerte</v>
      </c>
      <c r="AN16" s="44" t="s">
        <v>103</v>
      </c>
      <c r="AO16" s="7" t="str">
        <f t="shared" si="95"/>
        <v>Fuerte</v>
      </c>
      <c r="AP16" s="7">
        <f t="shared" si="29"/>
        <v>100</v>
      </c>
      <c r="AQ16" s="44">
        <v>100</v>
      </c>
      <c r="AR16" s="7" t="str">
        <f t="shared" si="96"/>
        <v>Fuerte</v>
      </c>
      <c r="AS16" s="44" t="s">
        <v>89</v>
      </c>
      <c r="AT16" s="44" t="s">
        <v>90</v>
      </c>
      <c r="AU16" s="8">
        <f t="shared" si="31"/>
        <v>2</v>
      </c>
      <c r="AV16" s="8">
        <f t="shared" si="32"/>
        <v>5</v>
      </c>
      <c r="AW16" s="7">
        <f t="shared" si="97"/>
        <v>10</v>
      </c>
      <c r="AX16" s="7" t="str">
        <f t="shared" si="34"/>
        <v>Extremo</v>
      </c>
      <c r="AY16" s="105" t="s">
        <v>158</v>
      </c>
      <c r="AZ16" s="93" t="s">
        <v>162</v>
      </c>
      <c r="BA16" s="93" t="s">
        <v>159</v>
      </c>
      <c r="BB16" s="96" t="s">
        <v>160</v>
      </c>
      <c r="BC16" s="96" t="s">
        <v>161</v>
      </c>
      <c r="BD16" s="93" t="s">
        <v>130</v>
      </c>
    </row>
    <row r="17" spans="1:56" ht="126" customHeight="1" x14ac:dyDescent="0.25">
      <c r="A17" s="10" t="s">
        <v>146</v>
      </c>
      <c r="B17" s="10" t="s">
        <v>147</v>
      </c>
      <c r="C17" s="10" t="s">
        <v>109</v>
      </c>
      <c r="D17" s="44" t="s">
        <v>148</v>
      </c>
      <c r="E17" s="62" t="s">
        <v>149</v>
      </c>
      <c r="F17" s="58" t="s">
        <v>150</v>
      </c>
      <c r="G17" s="44">
        <v>3</v>
      </c>
      <c r="H17" s="44">
        <v>3</v>
      </c>
      <c r="I17" s="44"/>
      <c r="J17" s="44"/>
      <c r="K17" s="44"/>
      <c r="L17" s="7">
        <f t="shared" si="87"/>
        <v>3</v>
      </c>
      <c r="M17" s="7" t="str">
        <f t="shared" si="88"/>
        <v>3 - Posible</v>
      </c>
      <c r="N17" s="7" t="str">
        <f>IF(A17="","",VLOOKUP(A17,$A$33:$W$47,23,FALSE))</f>
        <v>5 - Catastrófico</v>
      </c>
      <c r="O17" s="7">
        <f t="shared" si="16"/>
        <v>5</v>
      </c>
      <c r="P17" s="7">
        <f t="shared" si="98"/>
        <v>15</v>
      </c>
      <c r="Q17" s="7" t="str">
        <f t="shared" si="18"/>
        <v>Extremo</v>
      </c>
      <c r="R17" s="87" t="s">
        <v>201</v>
      </c>
      <c r="S17" s="88"/>
      <c r="T17" s="89"/>
      <c r="U17" s="56" t="s">
        <v>179</v>
      </c>
      <c r="V17" s="56" t="s">
        <v>202</v>
      </c>
      <c r="W17" s="44" t="s">
        <v>81</v>
      </c>
      <c r="X17" s="44" t="s">
        <v>82</v>
      </c>
      <c r="Y17" s="7">
        <f t="shared" si="89"/>
        <v>15</v>
      </c>
      <c r="Z17" s="44" t="s">
        <v>83</v>
      </c>
      <c r="AA17" s="7">
        <f t="shared" si="90"/>
        <v>15</v>
      </c>
      <c r="AB17" s="44" t="s">
        <v>84</v>
      </c>
      <c r="AC17" s="7">
        <f t="shared" si="91"/>
        <v>15</v>
      </c>
      <c r="AD17" s="44" t="s">
        <v>81</v>
      </c>
      <c r="AE17" s="7">
        <f t="shared" si="92"/>
        <v>15</v>
      </c>
      <c r="AF17" s="44" t="s">
        <v>85</v>
      </c>
      <c r="AG17" s="7">
        <f t="shared" si="93"/>
        <v>15</v>
      </c>
      <c r="AH17" s="44" t="s">
        <v>86</v>
      </c>
      <c r="AI17" s="7">
        <f t="shared" si="94"/>
        <v>15</v>
      </c>
      <c r="AJ17" s="44" t="s">
        <v>87</v>
      </c>
      <c r="AK17" s="7">
        <f t="shared" si="25"/>
        <v>10</v>
      </c>
      <c r="AL17" s="7">
        <f t="shared" si="26"/>
        <v>100</v>
      </c>
      <c r="AM17" s="7" t="str">
        <f t="shared" si="27"/>
        <v>Fuerte</v>
      </c>
      <c r="AN17" s="44" t="s">
        <v>103</v>
      </c>
      <c r="AO17" s="7" t="str">
        <f t="shared" si="95"/>
        <v>Fuerte</v>
      </c>
      <c r="AP17" s="7">
        <f t="shared" si="29"/>
        <v>100</v>
      </c>
      <c r="AQ17" s="44">
        <v>100</v>
      </c>
      <c r="AR17" s="7" t="str">
        <f t="shared" si="96"/>
        <v>Fuerte</v>
      </c>
      <c r="AS17" s="44" t="s">
        <v>89</v>
      </c>
      <c r="AT17" s="44" t="s">
        <v>90</v>
      </c>
      <c r="AU17" s="8">
        <f t="shared" si="31"/>
        <v>1</v>
      </c>
      <c r="AV17" s="8">
        <f t="shared" si="32"/>
        <v>5</v>
      </c>
      <c r="AW17" s="7">
        <f t="shared" si="97"/>
        <v>5</v>
      </c>
      <c r="AX17" s="7" t="str">
        <f t="shared" si="34"/>
        <v>Moderado</v>
      </c>
      <c r="AY17" s="106"/>
      <c r="AZ17" s="94"/>
      <c r="BA17" s="94"/>
      <c r="BB17" s="97"/>
      <c r="BC17" s="97"/>
      <c r="BD17" s="94"/>
    </row>
    <row r="18" spans="1:56" ht="126" customHeight="1" x14ac:dyDescent="0.25">
      <c r="A18" s="10" t="s">
        <v>153</v>
      </c>
      <c r="B18" s="10" t="s">
        <v>154</v>
      </c>
      <c r="C18" s="10" t="s">
        <v>109</v>
      </c>
      <c r="D18" s="44" t="s">
        <v>155</v>
      </c>
      <c r="E18" s="62" t="s">
        <v>149</v>
      </c>
      <c r="F18" s="58" t="s">
        <v>152</v>
      </c>
      <c r="G18" s="44">
        <v>3</v>
      </c>
      <c r="H18" s="44">
        <v>3</v>
      </c>
      <c r="I18" s="44"/>
      <c r="J18" s="44"/>
      <c r="K18" s="44"/>
      <c r="L18" s="7">
        <f t="shared" si="87"/>
        <v>3</v>
      </c>
      <c r="M18" s="7" t="str">
        <f t="shared" si="88"/>
        <v>3 - Posible</v>
      </c>
      <c r="N18" s="7" t="str">
        <f>IF(A18="","",VLOOKUP(A18,$A$33:$W$47,23,FALSE))</f>
        <v>5 - Catastrófico</v>
      </c>
      <c r="O18" s="7">
        <f t="shared" si="16"/>
        <v>5</v>
      </c>
      <c r="P18" s="7">
        <f t="shared" si="98"/>
        <v>15</v>
      </c>
      <c r="Q18" s="7" t="str">
        <f t="shared" si="18"/>
        <v>Extremo</v>
      </c>
      <c r="R18" s="87" t="s">
        <v>203</v>
      </c>
      <c r="S18" s="88"/>
      <c r="T18" s="89"/>
      <c r="U18" s="56" t="s">
        <v>204</v>
      </c>
      <c r="V18" s="56" t="s">
        <v>157</v>
      </c>
      <c r="W18" s="44" t="s">
        <v>102</v>
      </c>
      <c r="X18" s="44" t="s">
        <v>82</v>
      </c>
      <c r="Y18" s="7">
        <f t="shared" si="89"/>
        <v>15</v>
      </c>
      <c r="Z18" s="44" t="s">
        <v>83</v>
      </c>
      <c r="AA18" s="7">
        <f t="shared" si="90"/>
        <v>15</v>
      </c>
      <c r="AB18" s="44" t="s">
        <v>84</v>
      </c>
      <c r="AC18" s="7">
        <f t="shared" si="91"/>
        <v>15</v>
      </c>
      <c r="AD18" s="44" t="s">
        <v>81</v>
      </c>
      <c r="AE18" s="7">
        <f t="shared" si="92"/>
        <v>15</v>
      </c>
      <c r="AF18" s="44" t="s">
        <v>85</v>
      </c>
      <c r="AG18" s="7">
        <f t="shared" si="93"/>
        <v>15</v>
      </c>
      <c r="AH18" s="44" t="s">
        <v>86</v>
      </c>
      <c r="AI18" s="7">
        <f t="shared" si="94"/>
        <v>15</v>
      </c>
      <c r="AJ18" s="44" t="s">
        <v>87</v>
      </c>
      <c r="AK18" s="7">
        <f t="shared" si="25"/>
        <v>10</v>
      </c>
      <c r="AL18" s="7">
        <f t="shared" si="26"/>
        <v>100</v>
      </c>
      <c r="AM18" s="7" t="str">
        <f t="shared" si="27"/>
        <v>Fuerte</v>
      </c>
      <c r="AN18" s="44" t="s">
        <v>103</v>
      </c>
      <c r="AO18" s="7" t="str">
        <f t="shared" si="95"/>
        <v>Fuerte</v>
      </c>
      <c r="AP18" s="7">
        <f t="shared" si="29"/>
        <v>100</v>
      </c>
      <c r="AQ18" s="44">
        <v>100</v>
      </c>
      <c r="AR18" s="7" t="str">
        <f t="shared" si="96"/>
        <v>Fuerte</v>
      </c>
      <c r="AS18" s="44" t="s">
        <v>89</v>
      </c>
      <c r="AT18" s="44" t="s">
        <v>90</v>
      </c>
      <c r="AU18" s="8">
        <f>IF(L18="","",IF(AND(AR18="Fuerte",L18&gt;=3,OR(AS18="Directamente",AT18="Indirectamente",AT18="No disminuye")),L18-2,IF(AND(AR18="Fuerte",AS18="No disminuye",AT18="Directamente"),L18,IF(AND(AR18="Moderado",AS18="No disminuye",AT18="Directamente"),L18,IF(AND(AR18="Moderado",L18&gt;=2,OR(AS18="Directamente",AT18="Indirectamente",AT18="No disminuye")),L18-1,L18)))))</f>
        <v>1</v>
      </c>
      <c r="AV18" s="8">
        <f>IF(AND(AR18="Moderado",AS18="Directamente",OR(AT18="Indirectamente",AT18="No disminuye")),O18,IF(AND(AR18="Fuerte",AS18="Directamente",AT18="No disminuye"),O18,IF(AND(AR18="Fuerte",AT18="Directamente",O18&gt;=3,OR(AS18="Directamente",AS18="No disminuye")),O18-2,IF(AND(O18&gt;=2,AR18="Moderado",AT18="Directamente",OR(AS18="Directamente",AS18="No disminuye")),O18,IF(AND(O18&gt;=2,AR18="Fuerte",AS18="Directamente",AT18="Indirectamente"),O18-1,O18)))))</f>
        <v>5</v>
      </c>
      <c r="AW18" s="7">
        <f t="shared" si="97"/>
        <v>5</v>
      </c>
      <c r="AX18" s="7" t="str">
        <f t="shared" si="34"/>
        <v>Moderado</v>
      </c>
      <c r="AY18" s="106"/>
      <c r="AZ18" s="94"/>
      <c r="BA18" s="94"/>
      <c r="BB18" s="97"/>
      <c r="BC18" s="97"/>
      <c r="BD18" s="94"/>
    </row>
    <row r="19" spans="1:56" ht="114.6" customHeight="1" x14ac:dyDescent="0.25">
      <c r="A19" s="10" t="s">
        <v>167</v>
      </c>
      <c r="B19" s="10" t="s">
        <v>168</v>
      </c>
      <c r="C19" s="10" t="s">
        <v>109</v>
      </c>
      <c r="D19" s="44" t="s">
        <v>155</v>
      </c>
      <c r="E19" s="62" t="s">
        <v>149</v>
      </c>
      <c r="F19" s="58" t="s">
        <v>169</v>
      </c>
      <c r="G19" s="44">
        <v>2</v>
      </c>
      <c r="H19" s="44">
        <v>2</v>
      </c>
      <c r="I19" s="44"/>
      <c r="J19" s="44"/>
      <c r="K19" s="44"/>
      <c r="L19" s="7">
        <f t="shared" ref="L19" si="99">IF(AND(G19="",H19="",I19="",J19="",K19=""),"",AVERAGE(G19:K19))</f>
        <v>2</v>
      </c>
      <c r="M19" s="7" t="str">
        <f t="shared" ref="M19" si="100">IF(L19="","",IF(L19&lt;=1,"1 - Rara Vez",IF(AND(L19&gt;1,L19&lt;=2),"2 - Improbable",IF(AND(L19&gt;2,L19&lt;=3),"3 - Posible",IF(AND(L19&gt;3,L19&lt;=4),"4-Probable",IF(L19&gt;4,"5 - Casi seguro",""))))))</f>
        <v>2 - Improbable</v>
      </c>
      <c r="N19" s="7" t="str">
        <f>IF(A19="","",VLOOKUP(A19,$A$34:$W$47,23,FALSE))</f>
        <v>5 - Catastrófico</v>
      </c>
      <c r="O19" s="7">
        <f t="shared" ref="O19" si="101">IF(N19="5 - Catastrófico",5,IF(N19="4 - Mayor",4,IF(N19="3 - Moderado",3,IF(N19="2 - Menor",2,1))))</f>
        <v>5</v>
      </c>
      <c r="P19" s="7">
        <f t="shared" ref="P19" si="102">IF(L19="","",L19*O19)</f>
        <v>10</v>
      </c>
      <c r="Q19" s="7" t="str">
        <f t="shared" si="18"/>
        <v>Extremo</v>
      </c>
      <c r="R19" s="87" t="s">
        <v>170</v>
      </c>
      <c r="S19" s="88"/>
      <c r="T19" s="89"/>
      <c r="U19" s="56" t="s">
        <v>171</v>
      </c>
      <c r="V19" s="56" t="s">
        <v>172</v>
      </c>
      <c r="W19" s="44" t="s">
        <v>81</v>
      </c>
      <c r="X19" s="44" t="s">
        <v>82</v>
      </c>
      <c r="Y19" s="7">
        <f t="shared" ref="Y19" si="103">IF(X19="","",IF(X19="Asignado",15,0))</f>
        <v>15</v>
      </c>
      <c r="Z19" s="4" t="s">
        <v>83</v>
      </c>
      <c r="AA19" s="7">
        <f t="shared" ref="AA19" si="104">IF(Z19="","",IF(Z19="Adecuado",15,0))</f>
        <v>15</v>
      </c>
      <c r="AB19" s="4" t="s">
        <v>84</v>
      </c>
      <c r="AC19" s="7">
        <f t="shared" ref="AC19" si="105">IF(AB19="","",IF(AB19="Oportuna",15,0))</f>
        <v>15</v>
      </c>
      <c r="AD19" s="4" t="s">
        <v>81</v>
      </c>
      <c r="AE19" s="7">
        <f t="shared" ref="AE19" si="106">IF(AD19="","",IF(AD19="Prevenir",15,IF(AD19="Detectar",10,0)))</f>
        <v>15</v>
      </c>
      <c r="AF19" s="4" t="s">
        <v>85</v>
      </c>
      <c r="AG19" s="7">
        <f t="shared" ref="AG19" si="107">IF(AF19="","",IF(AF19="Confiable",15,0))</f>
        <v>15</v>
      </c>
      <c r="AH19" s="4" t="s">
        <v>86</v>
      </c>
      <c r="AI19" s="7">
        <f t="shared" ref="AI19" si="108">IF(AH19="","",IF(AH19="Se investigan y resuelven oportunamente",15,0))</f>
        <v>15</v>
      </c>
      <c r="AJ19" s="4" t="s">
        <v>87</v>
      </c>
      <c r="AK19" s="7">
        <f t="shared" si="25"/>
        <v>10</v>
      </c>
      <c r="AL19" s="7">
        <f t="shared" ref="AL19" si="109">IF(W19="","",AK19+AI19+AG19+AE19+AC19+AA19+Y19)</f>
        <v>100</v>
      </c>
      <c r="AM19" s="7" t="str">
        <f t="shared" ref="AM19" si="110">IF(AL19&lt;=85,"Débil",IF(AL19&gt;=96,"Fuerte","Moderado"))</f>
        <v>Fuerte</v>
      </c>
      <c r="AN19" s="4" t="s">
        <v>103</v>
      </c>
      <c r="AO19" s="7" t="str">
        <f t="shared" ref="AO19" si="111">IF(AN19="","",IF(AND(AM19="Fuerte",AN19="Fuerte"),"Fuerte",IF(AND(AM19="Fuerte",AN19="Moderado"),"Moderado",IF(AND(AM19="Moderado",AN19="Fuerte"),"Moderado",IF(AND(AM19="Moderado",AN19="Moderado"),"Moderado","Débil")))))</f>
        <v>Fuerte</v>
      </c>
      <c r="AP19" s="7">
        <f t="shared" ref="AP19" si="112">IF(AO19="Débil",0,IF(AO19="Moderado",50,100))</f>
        <v>100</v>
      </c>
      <c r="AQ19" s="4">
        <v>100</v>
      </c>
      <c r="AR19" s="7" t="str">
        <f t="shared" ref="AR19" si="113">IF(AQ19="","",IF(AQ19=100,"Fuerte",IF(AP19&lt;50,"Débil","Moderado")))</f>
        <v>Fuerte</v>
      </c>
      <c r="AS19" s="4" t="s">
        <v>89</v>
      </c>
      <c r="AT19" s="4" t="s">
        <v>90</v>
      </c>
      <c r="AU19" s="8">
        <f>IF(L19="","",IF(AND(AR19="Fuerte",L19&gt;=3,OR(AS19="Directamente",AT19="Indirectamente",AT19="No disminuye")),L19-2,IF(AND(AR19="Fuerte",AS19="No disminuye",AT19="Directamente"),L19,IF(AND(AR19="Moderado",AS19="No disminuye",AT19="Directamente"),L19,IF(AND(AR19="Moderado",L19&gt;=2,OR(AS19="Directamente",AT19="Indirectamente",AT19="No disminuye")),L19-1,L19)))))</f>
        <v>2</v>
      </c>
      <c r="AV19" s="8">
        <f>IF(AND(AR19="Moderado",AS19="Directamente",OR(AT19="Indirectamente",AT19="No disminuye")),O19,IF(AND(AR19="Fuerte",AS19="Directamente",AT19="No disminuye"),O19,IF(AND(AR19="Fuerte",AT19="Directamente",O19&gt;=3,OR(AS19="Directamente",AS19="No disminuye")),O19-2,IF(AND(O19&gt;=2,AR19="Moderado",AT19="Directamente",OR(AS19="Directamente",AS19="No disminuye")),O19,IF(AND(O19&gt;=2,AR19="Fuerte",AS19="Directamente",AT19="Indirectamente"),O19-1,O19)))))</f>
        <v>5</v>
      </c>
      <c r="AW19" s="7">
        <f t="shared" ref="AW19" si="114">IF(AF19="","",AV19*AU19)</f>
        <v>10</v>
      </c>
      <c r="AX19" s="7" t="str">
        <f t="shared" si="34"/>
        <v>Extremo</v>
      </c>
      <c r="AY19" s="107"/>
      <c r="AZ19" s="95"/>
      <c r="BA19" s="95"/>
      <c r="BB19" s="98"/>
      <c r="BC19" s="98"/>
      <c r="BD19" s="95"/>
    </row>
    <row r="20" spans="1:56" ht="114.6" customHeight="1" x14ac:dyDescent="0.25">
      <c r="A20" s="10" t="s">
        <v>250</v>
      </c>
      <c r="B20" s="10" t="s">
        <v>250</v>
      </c>
      <c r="C20" s="10" t="s">
        <v>109</v>
      </c>
      <c r="D20" s="44" t="s">
        <v>252</v>
      </c>
      <c r="E20" s="28" t="s">
        <v>251</v>
      </c>
      <c r="F20" s="77" t="s">
        <v>122</v>
      </c>
      <c r="G20" s="44">
        <v>4</v>
      </c>
      <c r="H20" s="44">
        <v>4</v>
      </c>
      <c r="I20" s="44">
        <v>3</v>
      </c>
      <c r="J20" s="44"/>
      <c r="K20" s="44"/>
      <c r="L20" s="7">
        <v>4</v>
      </c>
      <c r="M20" s="7" t="str">
        <f t="shared" ref="M20" si="115">IF(L20="","",IF(L20&lt;=1,"1 - Rara Vez",IF(AND(L20&gt;1,L20&lt;=2),"2 - Improbable",IF(AND(L20&gt;2,L20&lt;=3),"3 - Posible",IF(AND(L20&gt;3,L20&lt;=4),"4-Probable",IF(L20&gt;4,"5 - Casi seguro",""))))))</f>
        <v>4-Probable</v>
      </c>
      <c r="N20" s="7" t="str">
        <f>IF(A20="","",VLOOKUP(A20,$A$34:$W$47,23,FALSE))</f>
        <v>5 - Catastrófico</v>
      </c>
      <c r="O20" s="7">
        <f t="shared" ref="O20" si="116">IF(N20="5 - Catastrófico",5,IF(N20="4 - Mayor",4,IF(N20="3 - Moderado",3,IF(N20="2 - Menor",2,1))))</f>
        <v>5</v>
      </c>
      <c r="P20" s="7">
        <f>IF(L20="","",L20*O20)</f>
        <v>20</v>
      </c>
      <c r="Q20" s="7" t="str">
        <f>IF(AND(L20=1,O20=5),"Extremo",IF(AND(L20=5,O20=1),"Alto",IF(AND(L20=1,O20=4),"Alto",IF(AND(L20=4,O20=1),"Moderado",IF(AND(L20=1,O20=3),"Moderado",IF(P20=6,"Moderado",IF(OR(P20=8,P20=9),"Alto",IF(AND(L20=5,O20=2),"Alto",IF(AND(L20=4,O20=3),"Alto",IF(AND(L20=2,O20=5),"Extremo",IF(AND(L20=3,O20=4),"Extremo",IF(P20&gt;=15,"Extremo","Moderado"))))))))))))</f>
        <v>Extremo</v>
      </c>
      <c r="R20" s="87" t="s">
        <v>253</v>
      </c>
      <c r="S20" s="88"/>
      <c r="T20" s="89"/>
      <c r="U20" s="74" t="s">
        <v>254</v>
      </c>
      <c r="V20" s="74" t="s">
        <v>255</v>
      </c>
      <c r="W20" s="44" t="s">
        <v>102</v>
      </c>
      <c r="X20" s="44" t="s">
        <v>82</v>
      </c>
      <c r="Y20" s="7">
        <f t="shared" ref="Y20" si="117">IF(X20="","",IF(X20="Asignado",15,0))</f>
        <v>15</v>
      </c>
      <c r="Z20" s="44" t="s">
        <v>83</v>
      </c>
      <c r="AA20" s="7">
        <f t="shared" ref="AA20" si="118">IF(Z20="","",IF(Z20="Adecuado",15,0))</f>
        <v>15</v>
      </c>
      <c r="AB20" s="44" t="s">
        <v>84</v>
      </c>
      <c r="AC20" s="7">
        <f t="shared" ref="AC20" si="119">IF(AB20="","",IF(AB20="Oportuna",15,0))</f>
        <v>15</v>
      </c>
      <c r="AD20" s="44" t="s">
        <v>81</v>
      </c>
      <c r="AE20" s="7">
        <f t="shared" ref="AE20" si="120">IF(AD20="","",IF(AD20="Prevenir",15,IF(AD20="Detectar",10,0)))</f>
        <v>15</v>
      </c>
      <c r="AF20" s="44" t="s">
        <v>85</v>
      </c>
      <c r="AG20" s="7">
        <f t="shared" ref="AG20" si="121">IF(AF20="","",IF(AF20="Confiable",15,0))</f>
        <v>15</v>
      </c>
      <c r="AH20" s="44" t="s">
        <v>86</v>
      </c>
      <c r="AI20" s="7">
        <f t="shared" ref="AI20" si="122">IF(AH20="","",IF(AH20="Se investigan y resuelven oportunamente",15,0))</f>
        <v>15</v>
      </c>
      <c r="AJ20" s="44" t="s">
        <v>87</v>
      </c>
      <c r="AK20" s="7">
        <f t="shared" ref="AK20" si="123">IF(AJ20="","",IF(AJ20="Completa",10,IF(AJ20="Incompleta",5,0)))</f>
        <v>10</v>
      </c>
      <c r="AL20" s="7">
        <f t="shared" ref="AL20" si="124">IF(W20="","",AK20+AI20+AG20+AE20+AC20+AA20+Y20)</f>
        <v>100</v>
      </c>
      <c r="AM20" s="7" t="str">
        <f t="shared" ref="AM20" si="125">IF(AL20&lt;=85,"Débil",IF(AL20&gt;=96,"Fuerte","Moderado"))</f>
        <v>Fuerte</v>
      </c>
      <c r="AN20" s="44" t="s">
        <v>103</v>
      </c>
      <c r="AO20" s="7" t="str">
        <f t="shared" ref="AO20" si="126">IF(AN20="","",IF(AND(AM20="Fuerte",AN20="Fuerte"),"Fuerte",IF(AND(AM20="Fuerte",AN20="Moderado"),"Moderado",IF(AND(AM20="Moderado",AN20="Fuerte"),"Moderado",IF(AND(AM20="Moderado",AN20="Moderado"),"Moderado","Débil")))))</f>
        <v>Fuerte</v>
      </c>
      <c r="AP20" s="7">
        <f t="shared" ref="AP20" si="127">IF(AO20="Débil",0,IF(AO20="Moderado",50,100))</f>
        <v>100</v>
      </c>
      <c r="AQ20" s="44">
        <v>100</v>
      </c>
      <c r="AR20" s="7" t="str">
        <f t="shared" ref="AR20" si="128">IF(AQ20="","",IF(AQ20=100,"Fuerte",IF(AP20&lt;50,"Débil","Moderado")))</f>
        <v>Fuerte</v>
      </c>
      <c r="AS20" s="44" t="s">
        <v>90</v>
      </c>
      <c r="AT20" s="44" t="s">
        <v>89</v>
      </c>
      <c r="AU20" s="8">
        <f>IF(L20="","",IF(AND(AR20="Fuerte",L20&gt;=3,OR(AS20="Directamente",AT20="Indirectamente",AT20="No disminuye")),L20-2,IF(AND(AR20="Fuerte",AS20="No disminuye",AT20="Directamente"),L20,IF(AND(AR20="Moderado",AS20="No disminuye",AT20="Directamente"),L20,IF(AND(AR20="Moderado",L20&gt;=2,OR(AS20="Directamente",AT20="Indirectamente",AT20="No disminuye")),L20-1,L20)))))</f>
        <v>4</v>
      </c>
      <c r="AV20" s="8">
        <f>IF(AND(AR20="Moderado",AS20="Directamente",OR(AT20="Indirectamente",AT20="No disminuye")),O20,IF(AND(AR20="Fuerte",AS20="Directamente",AT20="No disminuye"),O20,IF(AND(AR20="Fuerte",AT20="Directamente",O20&gt;=3,OR(AS20="Directamente",AS20="No disminuye")),O20-2,IF(AND(O20&gt;=2,AR20="Moderado",AT20="Directamente",OR(AS20="Directamente",AS20="No disminuye")),O20,IF(AND(O20&gt;=2,AR20="Fuerte",AS20="Directamente",AT20="Indirectamente"),O20-1,O20)))))</f>
        <v>3</v>
      </c>
      <c r="AW20" s="7">
        <f t="shared" ref="AW20" si="129">IF(AF20="","",AV20*AU20)</f>
        <v>12</v>
      </c>
      <c r="AX20" s="7" t="str">
        <f t="shared" ref="AX20" si="130">IF(AND(AU20=1,AV20=5),"Moderado",IF(AND(AU20=5,AV20=1),"Extremo",IF(AND(AU20=1,AV20=4),"Moderado",IF(AND(AU20=4,AV20=1),"Alto",IF(AND(AU20=1,AV20=3),"Moderado",IF(AW20=6,"Moderado",IF(OR(AW20=8,AW20=9),"Alto",IF(AND(AU20=5,AV20=2),"Alto",IF(AND(AU20=4,AV20=3),"Alto",IF(AND(AU20=2,AV20=5),"Extremo",IF(AND(AU20=3,AV20=4),"Extremo",IF(AW20&gt;=15,"Extremo",IF(AW20&lt;=2,"Bajo",IF(AND(AU20=1,AV20=3),"Bajo","Bajo"))))))))))))))</f>
        <v>Alto</v>
      </c>
      <c r="AY20" s="71" t="s">
        <v>256</v>
      </c>
      <c r="AZ20" s="44" t="s">
        <v>259</v>
      </c>
      <c r="BA20" s="74" t="s">
        <v>258</v>
      </c>
      <c r="BB20" s="78">
        <v>44561</v>
      </c>
      <c r="BC20" s="44" t="s">
        <v>257</v>
      </c>
      <c r="BD20" s="76" t="s">
        <v>220</v>
      </c>
    </row>
    <row r="21" spans="1:56" ht="409.6" customHeight="1" x14ac:dyDescent="0.25">
      <c r="A21" s="10" t="s">
        <v>211</v>
      </c>
      <c r="B21" s="10" t="s">
        <v>211</v>
      </c>
      <c r="C21" s="10" t="s">
        <v>109</v>
      </c>
      <c r="D21" s="4" t="s">
        <v>212</v>
      </c>
      <c r="E21" s="28" t="s">
        <v>213</v>
      </c>
      <c r="F21" s="34" t="s">
        <v>214</v>
      </c>
      <c r="G21" s="4">
        <v>1</v>
      </c>
      <c r="H21" s="4">
        <v>1</v>
      </c>
      <c r="I21" s="4">
        <v>1</v>
      </c>
      <c r="J21" s="4"/>
      <c r="K21" s="4"/>
      <c r="L21" s="7">
        <f t="shared" ref="L21:L22" si="131">IF(AND(G21="",H21="",I21="",J21="",K21=""),"",AVERAGE(G21:K21))</f>
        <v>1</v>
      </c>
      <c r="M21" s="7" t="str">
        <f t="shared" ref="M21:M22" si="132">IF(L21="","",IF(L21&lt;=1,"1 - Rara Vez",IF(AND(L21&gt;1,L21&lt;=2),"2 - Improbable",IF(AND(L21&gt;2,L21&lt;=3),"3 - Posible",IF(AND(L21&gt;3,L21&lt;=4),"4-Probable",IF(L21&gt;4,"5 - Casi seguro",""))))))</f>
        <v>1 - Rara Vez</v>
      </c>
      <c r="N21" s="7" t="s">
        <v>215</v>
      </c>
      <c r="O21" s="7">
        <v>4</v>
      </c>
      <c r="P21" s="7">
        <f t="shared" ref="P21:P22" si="133">IF(L21="","",L21*O21)</f>
        <v>4</v>
      </c>
      <c r="Q21" s="7" t="str">
        <f t="shared" ref="Q21:Q22" si="134">IF(AND(L21=1,O21=5),"Extremo",IF(AND(L21=5,O21=1),"Alto",IF(AND(L21=1,O21=4),"Alto",IF(AND(L21=4,O21=1),"Moderado",IF(AND(L21=1,O21=3),"Moderado",IF(P21=6,"Moderado",IF(OR(P21=8,P21=9),"Alto",IF(AND(L21=5,O21=2),"Alto",IF(AND(L21=4,O21=3),"Alto",IF(AND(L21=2,O21=5),"Extremo",IF(AND(L21=3,O21=4),"Extremo",IF(P21&gt;=15,"Extremo","Moderado"))))))))))))</f>
        <v>Alto</v>
      </c>
      <c r="R21" s="87" t="s">
        <v>216</v>
      </c>
      <c r="S21" s="88"/>
      <c r="T21" s="89"/>
      <c r="U21" s="74" t="s">
        <v>217</v>
      </c>
      <c r="V21" s="74" t="s">
        <v>172</v>
      </c>
      <c r="W21" s="44" t="s">
        <v>81</v>
      </c>
      <c r="X21" s="44" t="s">
        <v>82</v>
      </c>
      <c r="Y21" s="7">
        <f t="shared" ref="Y21:Y22" si="135">IF(X21="","",IF(X21="Asignado",15,0))</f>
        <v>15</v>
      </c>
      <c r="Z21" s="44" t="s">
        <v>83</v>
      </c>
      <c r="AA21" s="7">
        <f t="shared" ref="AA21:AA22" si="136">IF(Z21="","",IF(Z21="Adecuado",15,0))</f>
        <v>15</v>
      </c>
      <c r="AB21" s="44" t="s">
        <v>84</v>
      </c>
      <c r="AC21" s="7">
        <f t="shared" ref="AC21:AC22" si="137">IF(AB21="","",IF(AB21="Oportuna",15,0))</f>
        <v>15</v>
      </c>
      <c r="AD21" s="44" t="s">
        <v>81</v>
      </c>
      <c r="AE21" s="7">
        <f t="shared" ref="AE21:AE22" si="138">IF(AD21="","",IF(AD21="Prevenir",15,IF(AD21="Detectar",10,0)))</f>
        <v>15</v>
      </c>
      <c r="AF21" s="44" t="s">
        <v>85</v>
      </c>
      <c r="AG21" s="7">
        <f t="shared" ref="AG21:AG22" si="139">IF(AF21="","",IF(AF21="Confiable",15,0))</f>
        <v>15</v>
      </c>
      <c r="AH21" s="44" t="s">
        <v>86</v>
      </c>
      <c r="AI21" s="7">
        <f t="shared" ref="AI21:AI22" si="140">IF(AH21="","",IF(AH21="Se investigan y resuelven oportunamente",15,0))</f>
        <v>15</v>
      </c>
      <c r="AJ21" s="44" t="s">
        <v>87</v>
      </c>
      <c r="AK21" s="7">
        <f t="shared" ref="AK21:AK22" si="141">IF(AJ21="","",IF(AJ21="Completa",10,IF(AJ21="Incompleta",5,0)))</f>
        <v>10</v>
      </c>
      <c r="AL21" s="7">
        <f t="shared" ref="AL21:AL22" si="142">IF(W21="","",AK21+AI21+AG21+AE21+AC21+AA21+Y21)</f>
        <v>100</v>
      </c>
      <c r="AM21" s="7" t="str">
        <f t="shared" ref="AM21:AM22" si="143">IF(AL21&lt;=85,"Débil",IF(AL21&gt;=96,"Fuerte","Moderado"))</f>
        <v>Fuerte</v>
      </c>
      <c r="AN21" s="44" t="s">
        <v>103</v>
      </c>
      <c r="AO21" s="7" t="str">
        <f t="shared" ref="AO21:AO22" si="144">IF(AN21="","",IF(AND(AM21="Fuerte",AN21="Fuerte"),"Fuerte",IF(AND(AM21="Fuerte",AN21="Moderado"),"Moderado",IF(AND(AM21="Moderado",AN21="Fuerte"),"Moderado",IF(AND(AM21="Moderado",AN21="Moderado"),"Moderado","Débil")))))</f>
        <v>Fuerte</v>
      </c>
      <c r="AP21" s="7">
        <f t="shared" ref="AP21:AP22" si="145">IF(AO21="Débil",0,IF(AO21="Moderado",50,100))</f>
        <v>100</v>
      </c>
      <c r="AQ21" s="44">
        <v>100</v>
      </c>
      <c r="AR21" s="7" t="str">
        <f t="shared" ref="AR21:AR22" si="146">IF(AQ21="","",IF(AQ21=100,"Fuerte",IF(AP21&lt;50,"Débil","Moderado")))</f>
        <v>Fuerte</v>
      </c>
      <c r="AS21" s="44" t="s">
        <v>89</v>
      </c>
      <c r="AT21" s="44" t="s">
        <v>229</v>
      </c>
      <c r="AU21" s="8">
        <f>IF(L21="","",IF(AND(AR21="Fuerte",L21&gt;=3,OR(AS21="Directamente",AT21="Indirectamente",AT21="No disminuye")),L21-2,IF(AND(AR21="Fuerte",AS21="No disminuye",AT21="Directamente"),L21,IF(AND(AR21="Moderado",AS21="No disminuye",AT21="Directamente"),L21,IF(AND(AR21="Moderado",L21&gt;=2,OR(AS21="Directamente",AT21="Indirectamente",AT21="No disminuye")),L21-1,L21)))))</f>
        <v>1</v>
      </c>
      <c r="AV21" s="8">
        <f>IF(AND(AR21="Moderado",AS21="Directamente",OR(AT21="Indirectamente",AT21="No disminuye")),O21,IF(AND(AR21="Fuerte",AS21="Directamente",AT21="No disminuye"),O21,IF(AND(AR21="Fuerte",AT21="Directamente",O21&gt;=3,OR(AS21="Directamente",AS21="No disminuye")),O21-2,IF(AND(O21&gt;=2,AR21="Moderado",AT21="Directamente",OR(AS21="Directamente",AS21="No disminuye")),O21,IF(AND(O21&gt;=2,AR21="Fuerte",AS21="Directamente",AT21="Indirectamente"),O21-1,O21)))))</f>
        <v>3</v>
      </c>
      <c r="AW21" s="7">
        <f t="shared" ref="AW21" si="147">IF(AF21="","",AV21*AU21)</f>
        <v>3</v>
      </c>
      <c r="AX21" s="7" t="str">
        <f t="shared" ref="AX21" si="148">IF(AND(AU21=1,AV21=5),"Moderado",IF(AND(AU21=5,AV21=1),"Extremo",IF(AND(AU21=1,AV21=4),"Moderado",IF(AND(AU21=4,AV21=1),"Alto",IF(AND(AU21=1,AV21=3),"Moderado",IF(AW21=6,"Moderado",IF(OR(AW21=8,AW21=9),"Alto",IF(AND(AU21=5,AV21=2),"Alto",IF(AND(AU21=4,AV21=3),"Alto",IF(AND(AU21=2,AV21=5),"Extremo",IF(AND(AU21=3,AV21=4),"Extremo",IF(AW21&gt;=15,"Extremo",IF(AW21&lt;=2,"Bajo",IF(AND(AU21=1,AV21=3),"Bajo","Bajo"))))))))))))))</f>
        <v>Moderado</v>
      </c>
      <c r="AY21" s="5" t="s">
        <v>218</v>
      </c>
      <c r="AZ21" s="70" t="s">
        <v>219</v>
      </c>
      <c r="BA21" s="31" t="s">
        <v>249</v>
      </c>
      <c r="BB21" s="24">
        <v>45169</v>
      </c>
      <c r="BC21" s="24" t="s">
        <v>219</v>
      </c>
      <c r="BD21" s="37" t="s">
        <v>220</v>
      </c>
    </row>
    <row r="22" spans="1:56" ht="270" customHeight="1" x14ac:dyDescent="0.25">
      <c r="A22" s="10" t="s">
        <v>222</v>
      </c>
      <c r="B22" s="10" t="s">
        <v>222</v>
      </c>
      <c r="C22" s="10" t="s">
        <v>109</v>
      </c>
      <c r="D22" s="44" t="s">
        <v>223</v>
      </c>
      <c r="E22" s="62" t="s">
        <v>224</v>
      </c>
      <c r="F22" s="72" t="s">
        <v>225</v>
      </c>
      <c r="G22" s="44">
        <v>1</v>
      </c>
      <c r="H22" s="44">
        <v>1</v>
      </c>
      <c r="I22" s="44"/>
      <c r="J22" s="44"/>
      <c r="K22" s="44"/>
      <c r="L22" s="7">
        <f t="shared" si="131"/>
        <v>1</v>
      </c>
      <c r="M22" s="7" t="str">
        <f t="shared" si="132"/>
        <v>1 - Rara Vez</v>
      </c>
      <c r="N22" s="7" t="s">
        <v>215</v>
      </c>
      <c r="O22" s="7">
        <v>4</v>
      </c>
      <c r="P22" s="7">
        <f t="shared" si="133"/>
        <v>4</v>
      </c>
      <c r="Q22" s="7" t="str">
        <f t="shared" si="134"/>
        <v>Alto</v>
      </c>
      <c r="R22" s="87" t="s">
        <v>226</v>
      </c>
      <c r="S22" s="88"/>
      <c r="T22" s="89"/>
      <c r="U22" s="74" t="s">
        <v>227</v>
      </c>
      <c r="V22" s="74" t="s">
        <v>228</v>
      </c>
      <c r="W22" s="44" t="s">
        <v>102</v>
      </c>
      <c r="X22" s="44" t="s">
        <v>82</v>
      </c>
      <c r="Y22" s="7">
        <f t="shared" si="135"/>
        <v>15</v>
      </c>
      <c r="Z22" s="44" t="s">
        <v>83</v>
      </c>
      <c r="AA22" s="7">
        <f t="shared" si="136"/>
        <v>15</v>
      </c>
      <c r="AB22" s="44" t="s">
        <v>84</v>
      </c>
      <c r="AC22" s="7">
        <f t="shared" si="137"/>
        <v>15</v>
      </c>
      <c r="AD22" s="44" t="s">
        <v>81</v>
      </c>
      <c r="AE22" s="7">
        <f t="shared" si="138"/>
        <v>15</v>
      </c>
      <c r="AF22" s="44" t="s">
        <v>85</v>
      </c>
      <c r="AG22" s="7">
        <f t="shared" si="139"/>
        <v>15</v>
      </c>
      <c r="AH22" s="44" t="s">
        <v>86</v>
      </c>
      <c r="AI22" s="7">
        <f t="shared" si="140"/>
        <v>15</v>
      </c>
      <c r="AJ22" s="44" t="s">
        <v>87</v>
      </c>
      <c r="AK22" s="7">
        <f t="shared" si="141"/>
        <v>10</v>
      </c>
      <c r="AL22" s="7">
        <f t="shared" si="142"/>
        <v>100</v>
      </c>
      <c r="AM22" s="7" t="str">
        <f t="shared" si="143"/>
        <v>Fuerte</v>
      </c>
      <c r="AN22" s="44" t="s">
        <v>103</v>
      </c>
      <c r="AO22" s="7" t="str">
        <f t="shared" si="144"/>
        <v>Fuerte</v>
      </c>
      <c r="AP22" s="7">
        <f t="shared" si="145"/>
        <v>100</v>
      </c>
      <c r="AQ22" s="44">
        <v>100</v>
      </c>
      <c r="AR22" s="7" t="str">
        <f t="shared" si="146"/>
        <v>Fuerte</v>
      </c>
      <c r="AS22" s="44" t="s">
        <v>89</v>
      </c>
      <c r="AT22" s="44" t="s">
        <v>229</v>
      </c>
      <c r="AU22" s="8">
        <f>IF(L22="","",IF(AND(AR22="Fuerte",L22&gt;=3,OR(AS22="Directamente",AT22="Indirectamente",AT22="No disminuye")),L22-2,IF(AND(AR22="Fuerte",AS22="No disminuye",AT22="Directamente"),L22,IF(AND(AR22="Moderado",AS22="No disminuye",AT22="Directamente"),L22,IF(AND(AR22="Moderado",L22&gt;=2,OR(AS22="Directamente",AT22="Indirectamente",AT22="No disminuye")),L22-1,L22)))))</f>
        <v>1</v>
      </c>
      <c r="AV22" s="8">
        <f>IF(AND(AR22="Moderado",AS22="Directamente",OR(AT22="Indirectamente",AT22="No disminuye")),O22,IF(AND(AR22="Fuerte",AS22="Directamente",AT22="No disminuye"),O22,IF(AND(AR22="Fuerte",AT22="Directamente",O22&gt;=3,OR(AS22="Directamente",AS22="No disminuye")),O22-2,IF(AND(O22&gt;=2,AR22="Moderado",AT22="Directamente",OR(AS22="Directamente",AS22="No disminuye")),O22,IF(AND(O22&gt;=2,AR22="Fuerte",AS22="Directamente",AT22="Indirectamente"),O22-1,O22)))))</f>
        <v>3</v>
      </c>
      <c r="AW22" s="7">
        <f t="shared" ref="AW22" si="149">IF(AF22="","",AV22*AU22)</f>
        <v>3</v>
      </c>
      <c r="AX22" s="7" t="str">
        <f t="shared" ref="AX22" si="150">IF(AND(AU22=1,AV22=5),"Moderado",IF(AND(AU22=5,AV22=1),"Extremo",IF(AND(AU22=1,AV22=4),"Moderado",IF(AND(AU22=4,AV22=1),"Alto",IF(AND(AU22=1,AV22=3),"Moderado",IF(AW22=6,"Moderado",IF(OR(AW22=8,AW22=9),"Alto",IF(AND(AU22=5,AV22=2),"Alto",IF(AND(AU22=4,AV22=3),"Alto",IF(AND(AU22=2,AV22=5),"Extremo",IF(AND(AU22=3,AV22=4),"Extremo",IF(AW22&gt;=15,"Extremo",IF(AW22&lt;=2,"Bajo",IF(AND(AU22=1,AV22=3),"Bajo","Bajo"))))))))))))))</f>
        <v>Moderado</v>
      </c>
      <c r="AY22" s="71" t="s">
        <v>230</v>
      </c>
      <c r="AZ22" s="44" t="s">
        <v>232</v>
      </c>
      <c r="BA22" s="74" t="s">
        <v>231</v>
      </c>
      <c r="BB22" s="70">
        <v>45473</v>
      </c>
      <c r="BC22" s="70" t="s">
        <v>232</v>
      </c>
      <c r="BD22" s="63" t="s">
        <v>220</v>
      </c>
    </row>
    <row r="23" spans="1:56" ht="251.25" customHeight="1" x14ac:dyDescent="0.25">
      <c r="A23" s="10" t="s">
        <v>233</v>
      </c>
      <c r="B23" s="10" t="s">
        <v>233</v>
      </c>
      <c r="C23" s="10" t="s">
        <v>109</v>
      </c>
      <c r="D23" s="44" t="s">
        <v>234</v>
      </c>
      <c r="E23" s="62" t="s">
        <v>235</v>
      </c>
      <c r="F23" s="72" t="s">
        <v>243</v>
      </c>
      <c r="G23" s="44">
        <v>1</v>
      </c>
      <c r="H23" s="44">
        <v>1</v>
      </c>
      <c r="I23" s="44"/>
      <c r="J23" s="44"/>
      <c r="K23" s="44"/>
      <c r="L23" s="7">
        <f t="shared" ref="L23" si="151">IF(AND(G23="",H23="",I23="",J23="",K23=""),"",AVERAGE(G23:K23))</f>
        <v>1</v>
      </c>
      <c r="M23" s="7" t="str">
        <f t="shared" ref="M23" si="152">IF(L23="","",IF(L23&lt;=1,"1 - Rara Vez",IF(AND(L23&gt;1,L23&lt;=2),"2 - Improbable",IF(AND(L23&gt;2,L23&lt;=3),"3 - Posible",IF(AND(L23&gt;3,L23&lt;=4),"4-Probable",IF(L23&gt;4,"5 - Casi seguro",""))))))</f>
        <v>1 - Rara Vez</v>
      </c>
      <c r="N23" s="7" t="s">
        <v>215</v>
      </c>
      <c r="O23" s="7">
        <v>4</v>
      </c>
      <c r="P23" s="7">
        <f t="shared" ref="P23" si="153">IF(L23="","",L23*O23)</f>
        <v>4</v>
      </c>
      <c r="Q23" s="7" t="str">
        <f t="shared" ref="Q23" si="154">IF(AND(L23=1,O23=5),"Extremo",IF(AND(L23=5,O23=1),"Alto",IF(AND(L23=1,O23=4),"Alto",IF(AND(L23=4,O23=1),"Moderado",IF(AND(L23=1,O23=3),"Moderado",IF(P23=6,"Moderado",IF(OR(P23=8,P23=9),"Alto",IF(AND(L23=5,O23=2),"Alto",IF(AND(L23=4,O23=3),"Alto",IF(AND(L23=2,O23=5),"Extremo",IF(AND(L23=3,O23=4),"Extremo",IF(P23&gt;=15,"Extremo","Moderado"))))))))))))</f>
        <v>Alto</v>
      </c>
      <c r="R23" s="87" t="s">
        <v>236</v>
      </c>
      <c r="S23" s="88"/>
      <c r="T23" s="89"/>
      <c r="U23" s="74" t="s">
        <v>237</v>
      </c>
      <c r="V23" s="74" t="s">
        <v>238</v>
      </c>
      <c r="W23" s="44" t="s">
        <v>102</v>
      </c>
      <c r="X23" s="44" t="s">
        <v>82</v>
      </c>
      <c r="Y23" s="7">
        <f t="shared" ref="Y23" si="155">IF(X23="","",IF(X23="Asignado",15,0))</f>
        <v>15</v>
      </c>
      <c r="Z23" s="44" t="s">
        <v>83</v>
      </c>
      <c r="AA23" s="7">
        <f t="shared" ref="AA23" si="156">IF(Z23="","",IF(Z23="Adecuado",15,0))</f>
        <v>15</v>
      </c>
      <c r="AB23" s="44" t="s">
        <v>84</v>
      </c>
      <c r="AC23" s="7">
        <f t="shared" ref="AC23" si="157">IF(AB23="","",IF(AB23="Oportuna",15,0))</f>
        <v>15</v>
      </c>
      <c r="AD23" s="44" t="s">
        <v>81</v>
      </c>
      <c r="AE23" s="7">
        <f t="shared" ref="AE23" si="158">IF(AD23="","",IF(AD23="Prevenir",15,IF(AD23="Detectar",10,0)))</f>
        <v>15</v>
      </c>
      <c r="AF23" s="44" t="s">
        <v>85</v>
      </c>
      <c r="AG23" s="7">
        <f t="shared" ref="AG23" si="159">IF(AF23="","",IF(AF23="Confiable",15,0))</f>
        <v>15</v>
      </c>
      <c r="AH23" s="44" t="s">
        <v>86</v>
      </c>
      <c r="AI23" s="7">
        <f t="shared" ref="AI23" si="160">IF(AH23="","",IF(AH23="Se investigan y resuelven oportunamente",15,0))</f>
        <v>15</v>
      </c>
      <c r="AJ23" s="44" t="s">
        <v>87</v>
      </c>
      <c r="AK23" s="7">
        <f t="shared" ref="AK23" si="161">IF(AJ23="","",IF(AJ23="Completa",10,IF(AJ23="Incompleta",5,0)))</f>
        <v>10</v>
      </c>
      <c r="AL23" s="7">
        <f t="shared" ref="AL23" si="162">IF(W23="","",AK23+AI23+AG23+AE23+AC23+AA23+Y23)</f>
        <v>100</v>
      </c>
      <c r="AM23" s="7" t="str">
        <f t="shared" ref="AM23" si="163">IF(AL23&lt;=85,"Débil",IF(AL23&gt;=96,"Fuerte","Moderado"))</f>
        <v>Fuerte</v>
      </c>
      <c r="AN23" s="44" t="s">
        <v>103</v>
      </c>
      <c r="AO23" s="7" t="str">
        <f t="shared" ref="AO23" si="164">IF(AN23="","",IF(AND(AM23="Fuerte",AN23="Fuerte"),"Fuerte",IF(AND(AM23="Fuerte",AN23="Moderado"),"Moderado",IF(AND(AM23="Moderado",AN23="Fuerte"),"Moderado",IF(AND(AM23="Moderado",AN23="Moderado"),"Moderado","Débil")))))</f>
        <v>Fuerte</v>
      </c>
      <c r="AP23" s="7">
        <f t="shared" ref="AP23" si="165">IF(AO23="Débil",0,IF(AO23="Moderado",50,100))</f>
        <v>100</v>
      </c>
      <c r="AQ23" s="44">
        <v>100</v>
      </c>
      <c r="AR23" s="7" t="str">
        <f t="shared" ref="AR23" si="166">IF(AQ23="","",IF(AQ23=100,"Fuerte",IF(AP23&lt;50,"Débil","Moderado")))</f>
        <v>Fuerte</v>
      </c>
      <c r="AS23" s="44" t="s">
        <v>89</v>
      </c>
      <c r="AT23" s="44" t="s">
        <v>229</v>
      </c>
      <c r="AU23" s="8">
        <f>IF(L23="","",IF(AND(AR23="Fuerte",L23&gt;=3,OR(AS23="Directamente",AT23="Indirectamente",AT23="No disminuye")),L23-2,IF(AND(AR23="Fuerte",AS23="No disminuye",AT23="Directamente"),L23,IF(AND(AR23="Moderado",AS23="No disminuye",AT23="Directamente"),L23,IF(AND(AR23="Moderado",L23&gt;=2,OR(AS23="Directamente",AT23="Indirectamente",AT23="No disminuye")),L23-1,L23)))))</f>
        <v>1</v>
      </c>
      <c r="AV23" s="8">
        <f>IF(AND(AR23="Moderado",AS23="Directamente",OR(AT23="Indirectamente",AT23="No disminuye")),O23,IF(AND(AR23="Fuerte",AS23="Directamente",AT23="No disminuye"),O23,IF(AND(AR23="Fuerte",AT23="Directamente",O23&gt;=3,OR(AS23="Directamente",AS23="No disminuye")),O23-2,IF(AND(O23&gt;=2,AR23="Moderado",AT23="Directamente",OR(AS23="Directamente",AS23="No disminuye")),O23,IF(AND(O23&gt;=2,AR23="Fuerte",AS23="Directamente",AT23="Indirectamente"),O23-1,O23)))))</f>
        <v>3</v>
      </c>
      <c r="AW23" s="7">
        <f t="shared" ref="AW23" si="167">IF(AF23="","",AV23*AU23)</f>
        <v>3</v>
      </c>
      <c r="AX23" s="7" t="str">
        <f t="shared" ref="AX23" si="168">IF(AND(AU23=1,AV23=5),"Moderado",IF(AND(AU23=5,AV23=1),"Extremo",IF(AND(AU23=1,AV23=4),"Moderado",IF(AND(AU23=4,AV23=1),"Alto",IF(AND(AU23=1,AV23=3),"Moderado",IF(AW23=6,"Moderado",IF(OR(AW23=8,AW23=9),"Alto",IF(AND(AU23=5,AV23=2),"Alto",IF(AND(AU23=4,AV23=3),"Alto",IF(AND(AU23=2,AV23=5),"Extremo",IF(AND(AU23=3,AV23=4),"Extremo",IF(AW23&gt;=15,"Extremo",IF(AW23&lt;=2,"Bajo",IF(AND(AU23=1,AV23=3),"Bajo","Bajo"))))))))))))))</f>
        <v>Moderado</v>
      </c>
      <c r="AY23" s="71" t="s">
        <v>239</v>
      </c>
      <c r="AZ23" s="44" t="s">
        <v>241</v>
      </c>
      <c r="BA23" s="74" t="s">
        <v>240</v>
      </c>
      <c r="BB23" s="70">
        <v>45291</v>
      </c>
      <c r="BC23" s="70" t="s">
        <v>242</v>
      </c>
      <c r="BD23" s="63" t="s">
        <v>220</v>
      </c>
    </row>
    <row r="24" spans="1:56" ht="89.45" customHeight="1" x14ac:dyDescent="0.25">
      <c r="A24" s="10"/>
      <c r="B24" s="10"/>
      <c r="C24" s="10"/>
      <c r="D24" s="4"/>
      <c r="E24" s="28"/>
      <c r="F24" s="43"/>
      <c r="G24" s="4"/>
      <c r="H24" s="4"/>
      <c r="I24" s="4"/>
      <c r="J24" s="4"/>
      <c r="K24" s="4"/>
      <c r="L24" s="7"/>
      <c r="M24" s="7"/>
      <c r="N24" s="7"/>
      <c r="O24" s="7"/>
      <c r="P24" s="7"/>
      <c r="Q24" s="7"/>
      <c r="R24" s="40"/>
      <c r="S24" s="41"/>
      <c r="T24" s="42"/>
      <c r="U24" s="42"/>
      <c r="V24" s="42"/>
      <c r="W24" s="4"/>
      <c r="X24" s="4"/>
      <c r="Y24" s="7"/>
      <c r="Z24" s="4"/>
      <c r="AA24" s="7"/>
      <c r="AB24" s="4"/>
      <c r="AC24" s="7"/>
      <c r="AD24" s="4"/>
      <c r="AE24" s="7"/>
      <c r="AF24" s="4"/>
      <c r="AG24" s="7"/>
      <c r="AH24" s="4"/>
      <c r="AI24" s="7"/>
      <c r="AJ24" s="4"/>
      <c r="AK24" s="7"/>
      <c r="AL24" s="7"/>
      <c r="AM24" s="7"/>
      <c r="AN24" s="4"/>
      <c r="AO24" s="7"/>
      <c r="AP24" s="7"/>
      <c r="AQ24" s="4"/>
      <c r="AR24" s="7"/>
      <c r="AS24" s="4"/>
      <c r="AT24" s="4"/>
      <c r="AU24" s="8"/>
      <c r="AV24" s="8"/>
      <c r="AW24" s="7"/>
      <c r="AX24" s="7"/>
      <c r="AY24" s="5"/>
      <c r="AZ24" s="4"/>
      <c r="BA24" s="42"/>
      <c r="BB24" s="24"/>
      <c r="BC24" s="24"/>
      <c r="BD24" s="39"/>
    </row>
    <row r="25" spans="1:56" x14ac:dyDescent="0.25">
      <c r="A25" s="17"/>
      <c r="B25" s="17"/>
      <c r="C25" s="23"/>
      <c r="D25" s="2"/>
      <c r="E25" s="23"/>
      <c r="F25" s="12"/>
      <c r="G25" s="2"/>
      <c r="H25" s="2"/>
      <c r="I25" s="2"/>
      <c r="J25" s="2"/>
      <c r="K25" s="2"/>
      <c r="L25" s="2"/>
      <c r="M25" s="2"/>
      <c r="N25" s="2"/>
      <c r="O25" s="2"/>
      <c r="P25" s="2"/>
      <c r="Q25" s="2"/>
      <c r="R25" s="2"/>
      <c r="S25" s="17"/>
      <c r="T25" s="17"/>
      <c r="U25" s="17"/>
      <c r="V25" s="17"/>
      <c r="W25" s="17"/>
      <c r="X25" s="2"/>
      <c r="Y25" s="2"/>
      <c r="Z25" s="2"/>
      <c r="AA25" s="2"/>
      <c r="AB25" s="2"/>
      <c r="AC25" s="2"/>
      <c r="AD25" s="2"/>
      <c r="AE25" s="2"/>
      <c r="AF25" s="2"/>
      <c r="AG25" s="2"/>
      <c r="AH25" s="2"/>
      <c r="AI25" s="2"/>
      <c r="AJ25" s="2"/>
      <c r="AK25" s="2"/>
      <c r="AL25" s="2"/>
      <c r="AM25" s="2"/>
      <c r="AN25" s="2"/>
      <c r="AO25" s="2"/>
      <c r="AP25" s="2"/>
      <c r="AQ25" s="2"/>
      <c r="AR25" s="17"/>
      <c r="AS25" s="17"/>
      <c r="AT25" s="17"/>
      <c r="AU25" s="17"/>
      <c r="AV25" s="2"/>
      <c r="AW25" s="2"/>
      <c r="AX25" s="17"/>
      <c r="AY25" s="2"/>
      <c r="AZ25" s="2"/>
      <c r="BA25" s="2"/>
      <c r="BB25" s="2"/>
      <c r="BC25" s="22"/>
      <c r="BD25" s="22"/>
    </row>
    <row r="26" spans="1:56" x14ac:dyDescent="0.25">
      <c r="A26" s="17"/>
      <c r="B26" s="17"/>
      <c r="C26" s="23"/>
      <c r="D26" s="2"/>
      <c r="E26" s="23"/>
      <c r="F26" s="12"/>
      <c r="G26" s="2"/>
      <c r="H26" s="2"/>
      <c r="I26" s="2"/>
      <c r="J26" s="2"/>
      <c r="K26" s="2"/>
      <c r="L26" s="2"/>
      <c r="M26" s="2"/>
      <c r="N26" s="2"/>
      <c r="O26" s="2"/>
      <c r="P26" s="2"/>
      <c r="Q26" s="2"/>
      <c r="R26" s="2"/>
      <c r="S26" s="17"/>
      <c r="T26" s="17"/>
      <c r="U26" s="17"/>
      <c r="V26" s="17"/>
      <c r="W26" s="17"/>
      <c r="X26" s="2"/>
      <c r="Y26" s="2"/>
      <c r="Z26" s="2"/>
      <c r="AA26" s="2"/>
      <c r="AB26" s="2"/>
      <c r="AC26" s="2"/>
      <c r="AD26" s="2"/>
      <c r="AE26" s="2"/>
      <c r="AF26" s="2"/>
      <c r="AG26" s="2"/>
      <c r="AH26" s="2"/>
      <c r="AI26" s="2"/>
      <c r="AJ26" s="2"/>
      <c r="AK26" s="2"/>
      <c r="AL26" s="2"/>
      <c r="AM26" s="2"/>
      <c r="AN26" s="2"/>
      <c r="AO26" s="2"/>
      <c r="AP26" s="2"/>
      <c r="AQ26" s="2"/>
      <c r="AR26" s="17"/>
      <c r="AS26" s="17"/>
      <c r="AT26" s="17"/>
      <c r="AU26" s="17"/>
      <c r="AV26" s="2"/>
      <c r="AW26" s="2"/>
      <c r="AX26" s="17"/>
      <c r="AY26" s="2"/>
      <c r="AZ26" s="2"/>
      <c r="BA26" s="2"/>
      <c r="BB26" s="2"/>
      <c r="BC26" s="22"/>
      <c r="BD26" s="22"/>
    </row>
    <row r="27" spans="1:56" x14ac:dyDescent="0.25">
      <c r="A27" s="17"/>
      <c r="B27" s="17"/>
      <c r="C27" s="23"/>
      <c r="D27" s="2"/>
      <c r="E27" s="23"/>
      <c r="F27" s="12"/>
      <c r="G27" s="2"/>
      <c r="H27" s="2"/>
      <c r="I27" s="2"/>
      <c r="J27" s="2"/>
      <c r="K27" s="2"/>
      <c r="L27" s="2"/>
      <c r="M27" s="2"/>
      <c r="N27" s="2"/>
      <c r="O27" s="2"/>
      <c r="P27" s="2"/>
      <c r="Q27" s="2"/>
      <c r="R27" s="2"/>
      <c r="S27" s="17"/>
      <c r="T27" s="17"/>
      <c r="U27" s="17"/>
      <c r="V27" s="17"/>
      <c r="W27" s="17"/>
      <c r="X27" s="2"/>
      <c r="Y27" s="2"/>
      <c r="Z27" s="2"/>
      <c r="AA27" s="2"/>
      <c r="AB27" s="2"/>
      <c r="AC27" s="2"/>
      <c r="AD27" s="2"/>
      <c r="AE27" s="2"/>
      <c r="AF27" s="2"/>
      <c r="AG27" s="2"/>
      <c r="AH27" s="2"/>
      <c r="AI27" s="2"/>
      <c r="AJ27" s="2"/>
      <c r="AK27" s="2"/>
      <c r="AL27" s="2"/>
      <c r="AM27" s="2"/>
      <c r="AN27" s="2"/>
      <c r="AO27" s="2"/>
      <c r="AP27" s="2"/>
      <c r="AQ27" s="2"/>
      <c r="AR27" s="17"/>
      <c r="AS27" s="17"/>
      <c r="AT27" s="17"/>
      <c r="AU27" s="17"/>
      <c r="AV27" s="2"/>
      <c r="AW27" s="2"/>
      <c r="AX27" s="17"/>
      <c r="AY27" s="2"/>
      <c r="AZ27" s="2"/>
      <c r="BA27" s="2"/>
      <c r="BB27" s="2"/>
      <c r="BC27" s="22"/>
      <c r="BD27" s="22"/>
    </row>
    <row r="28" spans="1:56" x14ac:dyDescent="0.25">
      <c r="A28" s="17"/>
      <c r="B28" s="17"/>
      <c r="C28" s="23"/>
      <c r="D28" s="2"/>
      <c r="E28" s="23"/>
      <c r="F28" s="12"/>
      <c r="G28" s="2"/>
      <c r="H28" s="2"/>
      <c r="I28" s="2"/>
      <c r="J28" s="2"/>
      <c r="K28" s="2"/>
      <c r="L28" s="2"/>
      <c r="M28" s="2"/>
      <c r="N28" s="2"/>
      <c r="O28" s="2"/>
      <c r="P28" s="2"/>
      <c r="Q28" s="2"/>
      <c r="R28" s="2"/>
      <c r="S28" s="17"/>
      <c r="T28" s="17"/>
      <c r="U28" s="17"/>
      <c r="V28" s="17"/>
      <c r="W28" s="17"/>
      <c r="X28" s="2"/>
      <c r="Y28" s="2"/>
      <c r="Z28" s="2"/>
      <c r="AA28" s="2"/>
      <c r="AB28" s="2"/>
      <c r="AC28" s="2"/>
      <c r="AD28" s="2"/>
      <c r="AE28" s="2"/>
      <c r="AF28" s="2"/>
      <c r="AG28" s="2"/>
      <c r="AH28" s="2"/>
      <c r="AI28" s="2"/>
      <c r="AJ28" s="2"/>
      <c r="AK28" s="2"/>
      <c r="AL28" s="2"/>
      <c r="AM28" s="2"/>
      <c r="AN28" s="2"/>
      <c r="AO28" s="2"/>
      <c r="AP28" s="2"/>
      <c r="AQ28" s="2"/>
      <c r="AR28" s="17"/>
      <c r="AS28" s="17"/>
      <c r="AT28" s="17"/>
      <c r="AU28" s="17"/>
      <c r="AV28" s="2"/>
      <c r="AW28" s="2"/>
      <c r="AX28" s="17"/>
      <c r="AY28" s="2"/>
      <c r="AZ28" s="2"/>
      <c r="BA28" s="2"/>
      <c r="BB28" s="2"/>
      <c r="BC28" s="22"/>
      <c r="BD28" s="22"/>
    </row>
    <row r="29" spans="1:56" x14ac:dyDescent="0.25">
      <c r="A29" s="17"/>
      <c r="B29" s="17"/>
      <c r="C29" s="23"/>
      <c r="D29" s="2"/>
      <c r="E29" s="23"/>
      <c r="F29" s="12"/>
      <c r="G29" s="2"/>
      <c r="H29" s="2"/>
      <c r="I29" s="2"/>
      <c r="J29" s="2"/>
      <c r="K29" s="2"/>
      <c r="L29" s="2"/>
      <c r="M29" s="2"/>
      <c r="N29" s="2"/>
      <c r="O29" s="2"/>
      <c r="P29" s="2"/>
      <c r="Q29" s="2"/>
      <c r="R29" s="2"/>
      <c r="S29" s="17"/>
      <c r="T29" s="17"/>
      <c r="U29" s="17"/>
      <c r="V29" s="17"/>
      <c r="W29" s="17"/>
      <c r="X29" s="2"/>
      <c r="Y29" s="2"/>
      <c r="Z29" s="2"/>
      <c r="AA29" s="2"/>
      <c r="AB29" s="2"/>
      <c r="AC29" s="2"/>
      <c r="AD29" s="2"/>
      <c r="AE29" s="2"/>
      <c r="AF29" s="2"/>
      <c r="AG29" s="2"/>
      <c r="AH29" s="2"/>
      <c r="AI29" s="2"/>
      <c r="AJ29" s="2"/>
      <c r="AK29" s="2"/>
      <c r="AL29" s="2"/>
      <c r="AM29" s="2"/>
      <c r="AN29" s="2"/>
      <c r="AO29" s="2"/>
      <c r="AP29" s="2"/>
      <c r="AQ29" s="2"/>
      <c r="AR29" s="17"/>
      <c r="AS29" s="17"/>
      <c r="AT29" s="17"/>
      <c r="AU29" s="17"/>
      <c r="AV29" s="2"/>
      <c r="AW29" s="2"/>
      <c r="AX29" s="17"/>
      <c r="AY29" s="2"/>
      <c r="AZ29" s="2"/>
      <c r="BA29" s="2"/>
      <c r="BB29" s="2"/>
      <c r="BC29" s="22"/>
      <c r="BD29" s="22"/>
    </row>
    <row r="30" spans="1:56" x14ac:dyDescent="0.25">
      <c r="A30" s="17"/>
      <c r="B30" s="17"/>
      <c r="C30" s="17"/>
      <c r="D30" s="17"/>
      <c r="E30" s="17"/>
      <c r="F30" s="36"/>
      <c r="G30" s="17"/>
      <c r="H30" s="17"/>
      <c r="I30" s="17"/>
      <c r="J30" s="17"/>
      <c r="K30" s="17"/>
      <c r="L30" s="17"/>
      <c r="U30" s="1"/>
      <c r="V30" s="1"/>
    </row>
    <row r="31" spans="1:56" x14ac:dyDescent="0.25">
      <c r="U31" s="1"/>
      <c r="V31" s="1"/>
    </row>
    <row r="32" spans="1:56" ht="69" customHeight="1" x14ac:dyDescent="0.25">
      <c r="A32" s="114" t="s">
        <v>40</v>
      </c>
      <c r="B32" s="114" t="s">
        <v>39</v>
      </c>
      <c r="C32" s="114"/>
      <c r="D32" s="114"/>
      <c r="E32" s="114"/>
      <c r="F32" s="114"/>
      <c r="G32" s="114"/>
      <c r="H32" s="114"/>
      <c r="I32" s="114"/>
      <c r="J32" s="114"/>
      <c r="K32" s="114"/>
      <c r="L32" s="114"/>
      <c r="M32" s="114"/>
      <c r="N32" s="114"/>
      <c r="O32" s="114"/>
      <c r="P32" s="114"/>
      <c r="Q32" s="114"/>
      <c r="R32" s="114"/>
      <c r="S32" s="114"/>
      <c r="T32" s="114"/>
      <c r="U32" s="114" t="s">
        <v>38</v>
      </c>
      <c r="V32" s="114"/>
      <c r="W32" s="114"/>
      <c r="X32" s="116" t="s">
        <v>37</v>
      </c>
      <c r="Y32" s="117"/>
      <c r="Z32" s="117"/>
      <c r="AA32" s="118"/>
      <c r="AB32" s="119" t="s">
        <v>10</v>
      </c>
      <c r="AC32" s="115"/>
    </row>
    <row r="33" spans="1:29" ht="110.25" customHeight="1" x14ac:dyDescent="0.25">
      <c r="A33" s="114"/>
      <c r="B33" s="21" t="s">
        <v>36</v>
      </c>
      <c r="C33" s="21" t="s">
        <v>35</v>
      </c>
      <c r="D33" s="21" t="s">
        <v>34</v>
      </c>
      <c r="E33" s="21" t="s">
        <v>97</v>
      </c>
      <c r="F33" s="21" t="s">
        <v>33</v>
      </c>
      <c r="G33" s="21" t="s">
        <v>32</v>
      </c>
      <c r="H33" s="21" t="s">
        <v>98</v>
      </c>
      <c r="I33" s="21" t="s">
        <v>31</v>
      </c>
      <c r="J33" s="21" t="s">
        <v>30</v>
      </c>
      <c r="K33" s="21" t="s">
        <v>29</v>
      </c>
      <c r="L33" s="21" t="s">
        <v>28</v>
      </c>
      <c r="M33" s="21" t="s">
        <v>27</v>
      </c>
      <c r="N33" s="21" t="s">
        <v>26</v>
      </c>
      <c r="O33" s="21" t="s">
        <v>25</v>
      </c>
      <c r="P33" s="21" t="s">
        <v>24</v>
      </c>
      <c r="Q33" s="21" t="s">
        <v>23</v>
      </c>
      <c r="R33" s="21" t="s">
        <v>22</v>
      </c>
      <c r="S33" s="4" t="s">
        <v>21</v>
      </c>
      <c r="T33" s="4" t="s">
        <v>20</v>
      </c>
      <c r="U33" s="29" t="s">
        <v>19</v>
      </c>
      <c r="V33" s="29" t="s">
        <v>18</v>
      </c>
      <c r="W33" s="29" t="s">
        <v>17</v>
      </c>
      <c r="X33" s="29" t="s">
        <v>77</v>
      </c>
      <c r="Y33" s="29" t="s">
        <v>16</v>
      </c>
      <c r="Z33" s="29" t="s">
        <v>15</v>
      </c>
      <c r="AA33" s="29" t="s">
        <v>14</v>
      </c>
      <c r="AB33" s="119"/>
      <c r="AC33" s="115"/>
    </row>
    <row r="34" spans="1:29" ht="94.5" customHeight="1" x14ac:dyDescent="0.25">
      <c r="A34" s="32" t="str">
        <f>A7</f>
        <v>Posibilidad de Violación al régimen constitucional y/o legal de inhabilidades e incompatibilidades y conflicto de intereses, para obtener beneficio a nombre propio o de terceros</v>
      </c>
      <c r="B34" s="10" t="s">
        <v>78</v>
      </c>
      <c r="C34" s="10" t="s">
        <v>76</v>
      </c>
      <c r="D34" s="10" t="s">
        <v>78</v>
      </c>
      <c r="E34" s="10" t="s">
        <v>78</v>
      </c>
      <c r="F34" s="10" t="s">
        <v>76</v>
      </c>
      <c r="G34" s="10" t="s">
        <v>76</v>
      </c>
      <c r="H34" s="44" t="s">
        <v>78</v>
      </c>
      <c r="I34" s="44" t="s">
        <v>78</v>
      </c>
      <c r="J34" s="44" t="s">
        <v>78</v>
      </c>
      <c r="K34" s="44" t="s">
        <v>76</v>
      </c>
      <c r="L34" s="44" t="s">
        <v>76</v>
      </c>
      <c r="M34" s="44" t="s">
        <v>76</v>
      </c>
      <c r="N34" s="44" t="s">
        <v>76</v>
      </c>
      <c r="O34" s="44" t="s">
        <v>76</v>
      </c>
      <c r="P34" s="44" t="s">
        <v>78</v>
      </c>
      <c r="Q34" s="44" t="s">
        <v>78</v>
      </c>
      <c r="R34" s="50" t="s">
        <v>76</v>
      </c>
      <c r="S34" s="50" t="s">
        <v>78</v>
      </c>
      <c r="T34" s="50" t="s">
        <v>76</v>
      </c>
      <c r="U34" s="7">
        <f>IF(A34="","",IF(AB34="Riesgo de Gestión","N.A.",COUNTIF(B34:T34,"Si")))</f>
        <v>10</v>
      </c>
      <c r="V34" s="7">
        <f>IF(A34="","",IF(AB34="Riesgo de Gestión","N.A.",COUNTIF(B34:T34,"No")))</f>
        <v>9</v>
      </c>
      <c r="W34" s="7" t="str">
        <f>IF(A34="","",IF(AB34="Riesgo de Gestión","N.A.",IF(U34&lt;=5,"3 - Moderado",IF(U34&gt;=12,"5 - Catastrófico","4 - Mayor"))))</f>
        <v>4 - Mayor</v>
      </c>
      <c r="X34" s="4" t="s">
        <v>76</v>
      </c>
      <c r="Y34" s="4" t="s">
        <v>76</v>
      </c>
      <c r="Z34" s="4" t="s">
        <v>76</v>
      </c>
      <c r="AA34" s="4" t="s">
        <v>76</v>
      </c>
      <c r="AB34" s="20" t="str">
        <f>IF(A34="","",IF(AND(X34="SI",Y34="SI",AA34="SI",Z34="Si"),"Riesgo de Corrupción","Riesgo de Gestión"))</f>
        <v>Riesgo de Corrupción</v>
      </c>
    </row>
    <row r="35" spans="1:29" ht="94.5" customHeight="1" x14ac:dyDescent="0.25">
      <c r="A35" s="32" t="str">
        <f>A8</f>
        <v>Posibilidad de recibir o solicitar cualquier dádiva o beneficio a nombre propio o de terceros con el fin de celebrar un contrato</v>
      </c>
      <c r="B35" s="10" t="s">
        <v>78</v>
      </c>
      <c r="C35" s="10" t="s">
        <v>76</v>
      </c>
      <c r="D35" s="10" t="s">
        <v>76</v>
      </c>
      <c r="E35" s="10" t="s">
        <v>76</v>
      </c>
      <c r="F35" s="10" t="s">
        <v>76</v>
      </c>
      <c r="G35" s="10" t="s">
        <v>76</v>
      </c>
      <c r="H35" s="44" t="s">
        <v>78</v>
      </c>
      <c r="I35" s="44" t="s">
        <v>78</v>
      </c>
      <c r="J35" s="44" t="s">
        <v>78</v>
      </c>
      <c r="K35" s="44" t="s">
        <v>76</v>
      </c>
      <c r="L35" s="44" t="s">
        <v>76</v>
      </c>
      <c r="M35" s="44" t="s">
        <v>76</v>
      </c>
      <c r="N35" s="44" t="s">
        <v>76</v>
      </c>
      <c r="O35" s="44" t="s">
        <v>76</v>
      </c>
      <c r="P35" s="44" t="s">
        <v>78</v>
      </c>
      <c r="Q35" s="44" t="s">
        <v>78</v>
      </c>
      <c r="R35" s="50" t="s">
        <v>76</v>
      </c>
      <c r="S35" s="50" t="s">
        <v>78</v>
      </c>
      <c r="T35" s="50" t="s">
        <v>76</v>
      </c>
      <c r="U35" s="7">
        <f>IF(A35="","",IF(AB35="Riesgo de Gestión","N.A.",COUNTIF(B35:T35,"Si")))</f>
        <v>12</v>
      </c>
      <c r="V35" s="7">
        <f>IF(A35="","",IF(AB35="Riesgo de Gestión","N.A.",COUNTIF(B35:T35,"No")))</f>
        <v>7</v>
      </c>
      <c r="W35" s="7" t="str">
        <f>IF(A35="","",IF(AB35="Riesgo de Gestión","N.A.",IF(U35&lt;=5,"3 - Moderado",IF(U35&gt;=12,"5 - Catastrófico","4 - Mayor"))))</f>
        <v>5 - Catastrófico</v>
      </c>
      <c r="X35" s="4" t="s">
        <v>76</v>
      </c>
      <c r="Y35" s="4" t="s">
        <v>76</v>
      </c>
      <c r="Z35" s="4" t="s">
        <v>76</v>
      </c>
      <c r="AA35" s="4" t="s">
        <v>76</v>
      </c>
      <c r="AB35" s="20" t="str">
        <f>IF(A35="","",IF(AND(X35="SI",Y35="SI",AA35="SI",Z35="Si"),"Riesgo de Corrupción","Riesgo de Gestión"))</f>
        <v>Riesgo de Corrupción</v>
      </c>
    </row>
    <row r="36" spans="1:29" ht="95.25" customHeight="1" x14ac:dyDescent="0.25">
      <c r="A36" s="32" t="str">
        <f>A9</f>
        <v>Posibilidad de recibir beneficio a nombre propio o de terceros; por utilización de bienes de propiedad de la corporación en actividades propias del tenedor o de terceros</v>
      </c>
      <c r="B36" s="10" t="s">
        <v>76</v>
      </c>
      <c r="C36" s="10" t="s">
        <v>76</v>
      </c>
      <c r="D36" s="10" t="s">
        <v>76</v>
      </c>
      <c r="E36" s="10" t="s">
        <v>78</v>
      </c>
      <c r="F36" s="10" t="s">
        <v>78</v>
      </c>
      <c r="G36" s="10" t="s">
        <v>76</v>
      </c>
      <c r="H36" s="4" t="s">
        <v>76</v>
      </c>
      <c r="I36" s="4" t="s">
        <v>78</v>
      </c>
      <c r="J36" s="4" t="s">
        <v>76</v>
      </c>
      <c r="K36" s="4" t="s">
        <v>76</v>
      </c>
      <c r="L36" s="4" t="s">
        <v>76</v>
      </c>
      <c r="M36" s="4" t="s">
        <v>76</v>
      </c>
      <c r="N36" s="4" t="s">
        <v>76</v>
      </c>
      <c r="O36" s="4" t="s">
        <v>78</v>
      </c>
      <c r="P36" s="4" t="s">
        <v>78</v>
      </c>
      <c r="Q36" s="4" t="s">
        <v>78</v>
      </c>
      <c r="R36" s="33" t="s">
        <v>76</v>
      </c>
      <c r="S36" s="33" t="s">
        <v>78</v>
      </c>
      <c r="T36" s="33" t="s">
        <v>78</v>
      </c>
      <c r="U36" s="7">
        <f>IF(A36="","",IF(AB36="Riesgo de Gestión","N.A.",COUNTIF(B36:T36,"Si")))</f>
        <v>11</v>
      </c>
      <c r="V36" s="7">
        <f t="shared" ref="V36:V40" si="169">IF(A36="","",IF(AB36="Riesgo de Gestión","N.A.",COUNTIF(B36:T36,"No")))</f>
        <v>8</v>
      </c>
      <c r="W36" s="7" t="str">
        <f t="shared" ref="W36:W40" si="170">IF(A36="","",IF(AB36="Riesgo de Gestión","N.A.",IF(U36&lt;=5,"3 - Moderado",IF(U36&gt;=12,"5 - Catastrófico","4 - Mayor"))))</f>
        <v>4 - Mayor</v>
      </c>
      <c r="X36" s="4" t="s">
        <v>76</v>
      </c>
      <c r="Y36" s="4" t="s">
        <v>76</v>
      </c>
      <c r="Z36" s="4" t="s">
        <v>76</v>
      </c>
      <c r="AA36" s="4" t="s">
        <v>76</v>
      </c>
      <c r="AB36" s="20" t="str">
        <f>IF(A36="","",IF(AND(X36="SI",Y36="SI",AA36="SI",Z36="Si"),"Riesgo de Corrupción","Riesgo de Gestión"))</f>
        <v>Riesgo de Corrupción</v>
      </c>
    </row>
    <row r="37" spans="1:29" ht="67.5" customHeight="1" x14ac:dyDescent="0.25">
      <c r="A37" s="32" t="str">
        <f>A12</f>
        <v>Posibilidad de vinculación o encargo a un servidor que no cumple con los requisitos existentes en el manual de funciones en favor de un tercero</v>
      </c>
      <c r="B37" s="10" t="s">
        <v>76</v>
      </c>
      <c r="C37" s="10" t="s">
        <v>76</v>
      </c>
      <c r="D37" s="10" t="s">
        <v>76</v>
      </c>
      <c r="E37" s="10" t="s">
        <v>78</v>
      </c>
      <c r="F37" s="10" t="s">
        <v>76</v>
      </c>
      <c r="G37" s="10" t="s">
        <v>78</v>
      </c>
      <c r="H37" s="4" t="s">
        <v>76</v>
      </c>
      <c r="I37" s="4" t="s">
        <v>78</v>
      </c>
      <c r="J37" s="4" t="s">
        <v>78</v>
      </c>
      <c r="K37" s="4" t="s">
        <v>76</v>
      </c>
      <c r="L37" s="4" t="s">
        <v>76</v>
      </c>
      <c r="M37" s="4" t="s">
        <v>76</v>
      </c>
      <c r="N37" s="4" t="s">
        <v>76</v>
      </c>
      <c r="O37" s="4" t="s">
        <v>76</v>
      </c>
      <c r="P37" s="4" t="s">
        <v>76</v>
      </c>
      <c r="Q37" s="4" t="s">
        <v>78</v>
      </c>
      <c r="R37" s="33" t="s">
        <v>76</v>
      </c>
      <c r="S37" s="33" t="s">
        <v>76</v>
      </c>
      <c r="T37" s="33" t="s">
        <v>76</v>
      </c>
      <c r="U37" s="7">
        <f>IF(A37="","",IF(AB37="Riesgo de Gestión","N.A.",COUNTIF(B37:T37,"Si")))</f>
        <v>14</v>
      </c>
      <c r="V37" s="7">
        <f t="shared" ref="V37" si="171">IF(A37="","",IF(AB37="Riesgo de Gestión","N.A.",COUNTIF(B37:T37,"No")))</f>
        <v>5</v>
      </c>
      <c r="W37" s="7" t="str">
        <f t="shared" ref="W37" si="172">IF(A37="","",IF(AB37="Riesgo de Gestión","N.A.",IF(U37&lt;=5,"3 - Moderado",IF(U37&gt;=12,"5 - Catastrófico","4 - Mayor"))))</f>
        <v>5 - Catastrófico</v>
      </c>
      <c r="X37" s="4" t="s">
        <v>76</v>
      </c>
      <c r="Y37" s="4" t="s">
        <v>76</v>
      </c>
      <c r="Z37" s="4" t="s">
        <v>76</v>
      </c>
      <c r="AA37" s="4" t="s">
        <v>76</v>
      </c>
      <c r="AB37" s="20" t="str">
        <f t="shared" ref="AB37:AB43" si="173">IF(A37="","",IF(AND(X37="SI",Y37="SI",AA37="SI",Z37="Si"),"Riesgo de Corrupción","Riesgo de Gestión"))</f>
        <v>Riesgo de Corrupción</v>
      </c>
    </row>
    <row r="38" spans="1:29" ht="120.75" customHeight="1" x14ac:dyDescent="0.25">
      <c r="A38" s="32" t="str">
        <f>A14</f>
        <v>Posibilidad de recibir o solicitar cualquier dádiva o beneficio a nombre propio o de terceros dentro de algunas de las etapas previstas en la atención de infracciones o en el otorgamiento de licencias y permisos sin el cumplimiento de requisitos legales</v>
      </c>
      <c r="B38" s="10" t="s">
        <v>76</v>
      </c>
      <c r="C38" s="10" t="s">
        <v>76</v>
      </c>
      <c r="D38" s="10" t="s">
        <v>76</v>
      </c>
      <c r="E38" s="10" t="s">
        <v>76</v>
      </c>
      <c r="F38" s="10" t="s">
        <v>76</v>
      </c>
      <c r="G38" s="10" t="s">
        <v>76</v>
      </c>
      <c r="H38" s="4" t="s">
        <v>78</v>
      </c>
      <c r="I38" s="4" t="s">
        <v>76</v>
      </c>
      <c r="J38" s="4" t="s">
        <v>78</v>
      </c>
      <c r="K38" s="4" t="s">
        <v>76</v>
      </c>
      <c r="L38" s="4" t="s">
        <v>76</v>
      </c>
      <c r="M38" s="4" t="s">
        <v>76</v>
      </c>
      <c r="N38" s="4" t="s">
        <v>76</v>
      </c>
      <c r="O38" s="4" t="s">
        <v>76</v>
      </c>
      <c r="P38" s="4" t="s">
        <v>76</v>
      </c>
      <c r="Q38" s="4" t="s">
        <v>78</v>
      </c>
      <c r="R38" s="33" t="s">
        <v>76</v>
      </c>
      <c r="S38" s="33" t="s">
        <v>76</v>
      </c>
      <c r="T38" s="33" t="s">
        <v>76</v>
      </c>
      <c r="U38" s="7">
        <f t="shared" ref="U38:U40" si="174">IF(A38="","",IF(AB38="Riesgo de Gestión","N.A.",COUNTIF(B38:T38,"Si")))</f>
        <v>16</v>
      </c>
      <c r="V38" s="7">
        <f t="shared" si="169"/>
        <v>3</v>
      </c>
      <c r="W38" s="7" t="str">
        <f t="shared" si="170"/>
        <v>5 - Catastrófico</v>
      </c>
      <c r="X38" s="4" t="s">
        <v>76</v>
      </c>
      <c r="Y38" s="4" t="s">
        <v>76</v>
      </c>
      <c r="Z38" s="4" t="s">
        <v>76</v>
      </c>
      <c r="AA38" s="4" t="s">
        <v>76</v>
      </c>
      <c r="AB38" s="20" t="str">
        <f t="shared" si="173"/>
        <v>Riesgo de Corrupción</v>
      </c>
    </row>
    <row r="39" spans="1:29" ht="77.25" customHeight="1" x14ac:dyDescent="0.25">
      <c r="A39" s="32" t="str">
        <f>A15</f>
        <v>Posibilidad de divulgación o suministro de información privilegiada para beneficio particular o de un tercero mediante los canales de atención formales o informales</v>
      </c>
      <c r="B39" s="10" t="s">
        <v>78</v>
      </c>
      <c r="C39" s="10" t="s">
        <v>76</v>
      </c>
      <c r="D39" s="10" t="s">
        <v>76</v>
      </c>
      <c r="E39" s="10" t="s">
        <v>76</v>
      </c>
      <c r="F39" s="10" t="s">
        <v>76</v>
      </c>
      <c r="G39" s="10" t="s">
        <v>76</v>
      </c>
      <c r="H39" s="4" t="s">
        <v>76</v>
      </c>
      <c r="I39" s="4" t="s">
        <v>76</v>
      </c>
      <c r="J39" s="4" t="s">
        <v>76</v>
      </c>
      <c r="K39" s="4" t="s">
        <v>76</v>
      </c>
      <c r="L39" s="4" t="s">
        <v>76</v>
      </c>
      <c r="M39" s="4" t="s">
        <v>76</v>
      </c>
      <c r="N39" s="4" t="s">
        <v>76</v>
      </c>
      <c r="O39" s="4" t="s">
        <v>76</v>
      </c>
      <c r="P39" s="4" t="s">
        <v>78</v>
      </c>
      <c r="Q39" s="4" t="s">
        <v>78</v>
      </c>
      <c r="R39" s="33" t="s">
        <v>76</v>
      </c>
      <c r="S39" s="33" t="s">
        <v>78</v>
      </c>
      <c r="T39" s="33" t="s">
        <v>76</v>
      </c>
      <c r="U39" s="7">
        <f t="shared" si="174"/>
        <v>15</v>
      </c>
      <c r="V39" s="7">
        <f t="shared" si="169"/>
        <v>4</v>
      </c>
      <c r="W39" s="7" t="str">
        <f t="shared" si="170"/>
        <v>5 - Catastrófico</v>
      </c>
      <c r="X39" s="4" t="s">
        <v>76</v>
      </c>
      <c r="Y39" s="4" t="s">
        <v>76</v>
      </c>
      <c r="Z39" s="4" t="s">
        <v>76</v>
      </c>
      <c r="AA39" s="4" t="s">
        <v>76</v>
      </c>
      <c r="AB39" s="20" t="str">
        <f t="shared" si="173"/>
        <v>Riesgo de Corrupción</v>
      </c>
    </row>
    <row r="40" spans="1:29" ht="118.5" customHeight="1" x14ac:dyDescent="0.25">
      <c r="A40" s="32" t="str">
        <f>A16</f>
        <v>Posibilidad de recibir o solicitar cualquier dádiva o beneficio a nombre propio o de terceros con el fin de tomar decisiones ajustada a intereses particulares cuando se determina la eligibilidad y   viabilidad de un proyecto</v>
      </c>
      <c r="B40" s="10" t="s">
        <v>76</v>
      </c>
      <c r="C40" s="10" t="s">
        <v>76</v>
      </c>
      <c r="D40" s="10" t="s">
        <v>76</v>
      </c>
      <c r="E40" s="10" t="s">
        <v>76</v>
      </c>
      <c r="F40" s="10" t="s">
        <v>76</v>
      </c>
      <c r="G40" s="10" t="s">
        <v>76</v>
      </c>
      <c r="H40" s="44" t="s">
        <v>78</v>
      </c>
      <c r="I40" s="44" t="s">
        <v>78</v>
      </c>
      <c r="J40" s="44" t="s">
        <v>78</v>
      </c>
      <c r="K40" s="44" t="s">
        <v>76</v>
      </c>
      <c r="L40" s="44" t="s">
        <v>76</v>
      </c>
      <c r="M40" s="44" t="s">
        <v>76</v>
      </c>
      <c r="N40" s="44" t="s">
        <v>76</v>
      </c>
      <c r="O40" s="44" t="s">
        <v>76</v>
      </c>
      <c r="P40" s="44" t="s">
        <v>76</v>
      </c>
      <c r="Q40" s="44" t="s">
        <v>78</v>
      </c>
      <c r="R40" s="50" t="s">
        <v>76</v>
      </c>
      <c r="S40" s="50" t="s">
        <v>76</v>
      </c>
      <c r="T40" s="50" t="s">
        <v>76</v>
      </c>
      <c r="U40" s="7">
        <f t="shared" si="174"/>
        <v>15</v>
      </c>
      <c r="V40" s="7">
        <f t="shared" si="169"/>
        <v>4</v>
      </c>
      <c r="W40" s="7" t="str">
        <f t="shared" si="170"/>
        <v>5 - Catastrófico</v>
      </c>
      <c r="X40" s="44" t="s">
        <v>76</v>
      </c>
      <c r="Y40" s="44" t="s">
        <v>76</v>
      </c>
      <c r="Z40" s="44" t="s">
        <v>76</v>
      </c>
      <c r="AA40" s="44" t="s">
        <v>76</v>
      </c>
      <c r="AB40" s="20" t="str">
        <f t="shared" si="173"/>
        <v>Riesgo de Corrupción</v>
      </c>
    </row>
    <row r="41" spans="1:29" ht="82.5" customHeight="1" x14ac:dyDescent="0.25">
      <c r="A41" s="32" t="str">
        <f>A17</f>
        <v xml:space="preserve">Posibilidad de recibir o solicitar cualquier dádiva o beneficio a nombre propio o de terceros a cambio de entregar o manipular información </v>
      </c>
      <c r="B41" s="10" t="s">
        <v>76</v>
      </c>
      <c r="C41" s="10" t="s">
        <v>76</v>
      </c>
      <c r="D41" s="10" t="s">
        <v>76</v>
      </c>
      <c r="E41" s="10" t="s">
        <v>76</v>
      </c>
      <c r="F41" s="10" t="s">
        <v>76</v>
      </c>
      <c r="G41" s="10" t="s">
        <v>76</v>
      </c>
      <c r="H41" s="44" t="s">
        <v>76</v>
      </c>
      <c r="I41" s="44" t="s">
        <v>78</v>
      </c>
      <c r="J41" s="44" t="s">
        <v>76</v>
      </c>
      <c r="K41" s="44" t="s">
        <v>76</v>
      </c>
      <c r="L41" s="44" t="s">
        <v>76</v>
      </c>
      <c r="M41" s="44" t="s">
        <v>76</v>
      </c>
      <c r="N41" s="44" t="s">
        <v>76</v>
      </c>
      <c r="O41" s="44" t="s">
        <v>78</v>
      </c>
      <c r="P41" s="44" t="s">
        <v>76</v>
      </c>
      <c r="Q41" s="44" t="s">
        <v>78</v>
      </c>
      <c r="R41" s="50" t="s">
        <v>76</v>
      </c>
      <c r="S41" s="50" t="s">
        <v>78</v>
      </c>
      <c r="T41" s="50" t="s">
        <v>76</v>
      </c>
      <c r="U41" s="7">
        <f t="shared" ref="U41:U43" si="175">IF(A41="","",IF(AB41="Riesgo de Gestión","N.A.",COUNTIF(B41:T41,"Si")))</f>
        <v>15</v>
      </c>
      <c r="V41" s="7">
        <f t="shared" ref="V41:V43" si="176">IF(A41="","",IF(AB41="Riesgo de Gestión","N.A.",COUNTIF(B41:T41,"No")))</f>
        <v>4</v>
      </c>
      <c r="W41" s="7" t="str">
        <f t="shared" ref="W41:W43" si="177">IF(A41="","",IF(AB41="Riesgo de Gestión","N.A.",IF(U41&lt;=5,"3 - Moderado",IF(U41&gt;=12,"5 - Catastrófico","4 - Mayor"))))</f>
        <v>5 - Catastrófico</v>
      </c>
      <c r="X41" s="4" t="s">
        <v>76</v>
      </c>
      <c r="Y41" s="4" t="s">
        <v>76</v>
      </c>
      <c r="Z41" s="4" t="s">
        <v>76</v>
      </c>
      <c r="AA41" s="4" t="s">
        <v>76</v>
      </c>
      <c r="AB41" s="20" t="str">
        <f t="shared" si="173"/>
        <v>Riesgo de Corrupción</v>
      </c>
    </row>
    <row r="42" spans="1:29" ht="103.5" customHeight="1" x14ac:dyDescent="0.25">
      <c r="A42" s="32" t="str">
        <f>A18</f>
        <v>Posibilidad de recibir o solicitar cualquier dádiva o beneficio a nombre propio o de terceros a cambio de procesos de Planificación del Territorio sesgados a intereses particulares</v>
      </c>
      <c r="B42" s="10" t="s">
        <v>76</v>
      </c>
      <c r="C42" s="10" t="s">
        <v>76</v>
      </c>
      <c r="D42" s="10" t="s">
        <v>76</v>
      </c>
      <c r="E42" s="10" t="s">
        <v>76</v>
      </c>
      <c r="F42" s="10" t="s">
        <v>76</v>
      </c>
      <c r="G42" s="10" t="s">
        <v>78</v>
      </c>
      <c r="H42" s="44" t="s">
        <v>78</v>
      </c>
      <c r="I42" s="44" t="s">
        <v>78</v>
      </c>
      <c r="J42" s="44" t="s">
        <v>156</v>
      </c>
      <c r="K42" s="44" t="s">
        <v>76</v>
      </c>
      <c r="L42" s="44" t="s">
        <v>76</v>
      </c>
      <c r="M42" s="44" t="s">
        <v>76</v>
      </c>
      <c r="N42" s="44" t="s">
        <v>76</v>
      </c>
      <c r="O42" s="44" t="s">
        <v>76</v>
      </c>
      <c r="P42" s="44" t="s">
        <v>76</v>
      </c>
      <c r="Q42" s="44" t="s">
        <v>78</v>
      </c>
      <c r="R42" s="50" t="s">
        <v>76</v>
      </c>
      <c r="S42" s="50" t="s">
        <v>78</v>
      </c>
      <c r="T42" s="50" t="s">
        <v>76</v>
      </c>
      <c r="U42" s="7">
        <f t="shared" ref="U42" si="178">IF(A42="","",IF(AB42="Riesgo de Gestión","N.A.",COUNTIF(B42:T42,"Si")))</f>
        <v>13</v>
      </c>
      <c r="V42" s="7">
        <f t="shared" ref="V42" si="179">IF(A42="","",IF(AB42="Riesgo de Gestión","N.A.",COUNTIF(B42:T42,"No")))</f>
        <v>5</v>
      </c>
      <c r="W42" s="7" t="str">
        <f t="shared" ref="W42" si="180">IF(A42="","",IF(AB42="Riesgo de Gestión","N.A.",IF(U42&lt;=5,"3 - Moderado",IF(U42&gt;=12,"5 - Catastrófico","4 - Mayor"))))</f>
        <v>5 - Catastrófico</v>
      </c>
      <c r="X42" s="4" t="s">
        <v>76</v>
      </c>
      <c r="Y42" s="4" t="s">
        <v>76</v>
      </c>
      <c r="Z42" s="4" t="s">
        <v>76</v>
      </c>
      <c r="AA42" s="4" t="s">
        <v>76</v>
      </c>
      <c r="AB42" s="20" t="str">
        <f t="shared" si="173"/>
        <v>Riesgo de Corrupción</v>
      </c>
    </row>
    <row r="43" spans="1:29" ht="103.5" customHeight="1" x14ac:dyDescent="0.25">
      <c r="A43" s="32" t="str">
        <f>A19</f>
        <v>Posibilidad de recibir o solicitar cualquier dádiva o beneficio a nombre propio o de terceros a cambio de no ejercer adecuada y oportunamente la defensa judicial</v>
      </c>
      <c r="B43" s="10" t="s">
        <v>76</v>
      </c>
      <c r="C43" s="10" t="s">
        <v>76</v>
      </c>
      <c r="D43" s="10" t="s">
        <v>76</v>
      </c>
      <c r="E43" s="10" t="s">
        <v>76</v>
      </c>
      <c r="F43" s="10" t="s">
        <v>76</v>
      </c>
      <c r="G43" s="10" t="s">
        <v>76</v>
      </c>
      <c r="H43" s="4" t="s">
        <v>78</v>
      </c>
      <c r="I43" s="4" t="s">
        <v>78</v>
      </c>
      <c r="J43" s="4" t="s">
        <v>78</v>
      </c>
      <c r="K43" s="4" t="s">
        <v>76</v>
      </c>
      <c r="L43" s="4" t="s">
        <v>76</v>
      </c>
      <c r="M43" s="4" t="s">
        <v>76</v>
      </c>
      <c r="N43" s="4" t="s">
        <v>76</v>
      </c>
      <c r="O43" s="4" t="s">
        <v>76</v>
      </c>
      <c r="P43" s="4" t="s">
        <v>76</v>
      </c>
      <c r="Q43" s="4" t="s">
        <v>78</v>
      </c>
      <c r="R43" s="38" t="s">
        <v>76</v>
      </c>
      <c r="S43" s="38" t="s">
        <v>76</v>
      </c>
      <c r="T43" s="38" t="s">
        <v>76</v>
      </c>
      <c r="U43" s="7">
        <f t="shared" si="175"/>
        <v>15</v>
      </c>
      <c r="V43" s="7">
        <f t="shared" si="176"/>
        <v>4</v>
      </c>
      <c r="W43" s="7" t="str">
        <f t="shared" si="177"/>
        <v>5 - Catastrófico</v>
      </c>
      <c r="X43" s="4" t="s">
        <v>76</v>
      </c>
      <c r="Y43" s="4" t="s">
        <v>76</v>
      </c>
      <c r="Z43" s="4" t="s">
        <v>76</v>
      </c>
      <c r="AA43" s="4" t="s">
        <v>76</v>
      </c>
      <c r="AB43" s="20" t="str">
        <f t="shared" si="173"/>
        <v>Riesgo de Corrupción</v>
      </c>
    </row>
    <row r="44" spans="1:29" ht="139.5" customHeight="1" x14ac:dyDescent="0.25">
      <c r="A44" s="32" t="str">
        <f>+A20</f>
        <v>Posibilidad de recibir o solicitar cualquier dádiva o beneficio a nombre propio o de terceros con el fin de tomar decisiones en materia regulatoria ajustada a sus intereses</v>
      </c>
      <c r="B44" s="10" t="s">
        <v>78</v>
      </c>
      <c r="C44" s="10" t="s">
        <v>76</v>
      </c>
      <c r="D44" s="10" t="s">
        <v>76</v>
      </c>
      <c r="E44" s="10" t="s">
        <v>76</v>
      </c>
      <c r="F44" s="10" t="s">
        <v>76</v>
      </c>
      <c r="G44" s="10" t="s">
        <v>76</v>
      </c>
      <c r="H44" s="44" t="s">
        <v>78</v>
      </c>
      <c r="I44" s="44" t="s">
        <v>76</v>
      </c>
      <c r="J44" s="44" t="s">
        <v>78</v>
      </c>
      <c r="K44" s="44" t="s">
        <v>76</v>
      </c>
      <c r="L44" s="44" t="s">
        <v>76</v>
      </c>
      <c r="M44" s="44" t="s">
        <v>76</v>
      </c>
      <c r="N44" s="44" t="s">
        <v>76</v>
      </c>
      <c r="O44" s="44" t="s">
        <v>76</v>
      </c>
      <c r="P44" s="44" t="s">
        <v>76</v>
      </c>
      <c r="Q44" s="44" t="s">
        <v>78</v>
      </c>
      <c r="R44" s="76" t="s">
        <v>76</v>
      </c>
      <c r="S44" s="76" t="s">
        <v>76</v>
      </c>
      <c r="T44" s="76" t="s">
        <v>76</v>
      </c>
      <c r="U44" s="7">
        <f t="shared" ref="U44" si="181">IF(A44="","",IF(AB44="Riesgo de Gestión","N.A.",COUNTIF(B44:T44,"Si")))</f>
        <v>15</v>
      </c>
      <c r="V44" s="7">
        <f t="shared" ref="V44" si="182">IF(A44="","",IF(AB44="Riesgo de Gestión","N.A.",COUNTIF(B44:T44,"No")))</f>
        <v>4</v>
      </c>
      <c r="W44" s="7" t="str">
        <f t="shared" ref="W44" si="183">IF(A44="","",IF(AB44="Riesgo de Gestión","N.A.",IF(U44&lt;=5,"3 - Moderado",IF(U44&gt;=12,"5 - Catastrófico","4 - Mayor"))))</f>
        <v>5 - Catastrófico</v>
      </c>
      <c r="X44" s="44" t="s">
        <v>76</v>
      </c>
      <c r="Y44" s="44" t="s">
        <v>76</v>
      </c>
      <c r="Z44" s="44" t="s">
        <v>76</v>
      </c>
      <c r="AA44" s="44" t="s">
        <v>76</v>
      </c>
      <c r="AB44" s="20" t="str">
        <f t="shared" ref="AB44" si="184">IF(A44="","",IF(AND(X44="SI",Y44="SI",AA44="SI",Z44="Si"),"Riesgo de Corrupción","Riesgo de Gestión"))</f>
        <v>Riesgo de Corrupción</v>
      </c>
    </row>
    <row r="45" spans="1:29" ht="156" customHeight="1" x14ac:dyDescent="0.25">
      <c r="A45" s="32" t="str">
        <f t="shared" ref="A45:A47" si="185">A21</f>
        <v>Inadvertencia posibles situaciones que puedan derivar actos de corrupción a causa de influencia en las auditorias, manipulación indebida y/o ocultamiento de la información analizada por OCI y relevante en la gestión de la entidad para favorecer a un tercero, provocando pérdida de confiabilidad de la comunidad en general y al interior de la entidad</v>
      </c>
      <c r="B45" s="10" t="s">
        <v>78</v>
      </c>
      <c r="C45" s="10" t="s">
        <v>78</v>
      </c>
      <c r="D45" s="10" t="s">
        <v>19</v>
      </c>
      <c r="E45" s="10" t="s">
        <v>19</v>
      </c>
      <c r="F45" s="10" t="s">
        <v>19</v>
      </c>
      <c r="G45" s="10" t="s">
        <v>78</v>
      </c>
      <c r="H45" s="4" t="s">
        <v>78</v>
      </c>
      <c r="I45" s="4" t="s">
        <v>78</v>
      </c>
      <c r="J45" s="4" t="s">
        <v>78</v>
      </c>
      <c r="K45" s="4" t="s">
        <v>19</v>
      </c>
      <c r="L45" s="4" t="s">
        <v>19</v>
      </c>
      <c r="M45" s="4" t="s">
        <v>19</v>
      </c>
      <c r="N45" s="4" t="s">
        <v>78</v>
      </c>
      <c r="O45" s="4" t="s">
        <v>78</v>
      </c>
      <c r="P45" s="4" t="s">
        <v>19</v>
      </c>
      <c r="Q45" s="4" t="s">
        <v>78</v>
      </c>
      <c r="R45" s="38" t="s">
        <v>19</v>
      </c>
      <c r="S45" s="38" t="s">
        <v>78</v>
      </c>
      <c r="T45" s="38" t="s">
        <v>78</v>
      </c>
      <c r="U45" s="7">
        <f t="shared" ref="U45" si="186">IF(A45="","",IF(AB45="Riesgo de Gestión","N.A.",COUNTIF(B45:T45,"Si")))</f>
        <v>8</v>
      </c>
      <c r="V45" s="7">
        <f t="shared" ref="V45" si="187">IF(A45="","",IF(AB45="Riesgo de Gestión","N.A.",COUNTIF(B45:T45,"No")))</f>
        <v>11</v>
      </c>
      <c r="W45" s="7" t="str">
        <f t="shared" ref="W45" si="188">IF(A45="","",IF(AB45="Riesgo de Gestión","N.A.",IF(U45&lt;=5,"3 - Moderado",IF(U45&gt;=12,"5 - Catastrófico","4 - Mayor"))))</f>
        <v>4 - Mayor</v>
      </c>
      <c r="X45" s="44" t="s">
        <v>76</v>
      </c>
      <c r="Y45" s="44" t="s">
        <v>76</v>
      </c>
      <c r="Z45" s="44" t="s">
        <v>76</v>
      </c>
      <c r="AA45" s="44" t="s">
        <v>76</v>
      </c>
      <c r="AB45" s="20" t="str">
        <f t="shared" ref="AB45" si="189">IF(A45="","",IF(AND(X45="SI",Y45="SI",AA45="SI",Z45="Si"),"Riesgo de Corrupción","Riesgo de Gestión"))</f>
        <v>Riesgo de Corrupción</v>
      </c>
    </row>
    <row r="46" spans="1:29" ht="174" customHeight="1" x14ac:dyDescent="0.25">
      <c r="A46" s="32" t="str">
        <f t="shared" si="185"/>
        <v>Posibilidad de adulteración o sustracción de documentos de expedientes en custodia de archivo central para recibir beneficio a nombre propio o de terceros; debido al acceso de personal de la corporación a los expendientes en calidad de préstamo, generando pérdida de memoria institucional y sanciones e investigaciones</v>
      </c>
      <c r="B46" s="10" t="s">
        <v>78</v>
      </c>
      <c r="C46" s="10" t="s">
        <v>19</v>
      </c>
      <c r="D46" s="10" t="s">
        <v>78</v>
      </c>
      <c r="E46" s="10" t="s">
        <v>78</v>
      </c>
      <c r="F46" s="10" t="s">
        <v>76</v>
      </c>
      <c r="G46" s="10" t="s">
        <v>76</v>
      </c>
      <c r="H46" s="44" t="s">
        <v>76</v>
      </c>
      <c r="I46" s="44" t="s">
        <v>78</v>
      </c>
      <c r="J46" s="44" t="s">
        <v>76</v>
      </c>
      <c r="K46" s="44" t="s">
        <v>78</v>
      </c>
      <c r="L46" s="44" t="s">
        <v>76</v>
      </c>
      <c r="M46" s="44" t="s">
        <v>76</v>
      </c>
      <c r="N46" s="44" t="s">
        <v>78</v>
      </c>
      <c r="O46" s="44" t="s">
        <v>78</v>
      </c>
      <c r="P46" s="44" t="s">
        <v>78</v>
      </c>
      <c r="Q46" s="44" t="s">
        <v>78</v>
      </c>
      <c r="R46" s="63" t="s">
        <v>76</v>
      </c>
      <c r="S46" s="63" t="s">
        <v>78</v>
      </c>
      <c r="T46" s="63" t="s">
        <v>78</v>
      </c>
      <c r="U46" s="7">
        <f t="shared" ref="U46" si="190">IF(A46="","",IF(AB46="Riesgo de Gestión","N.A.",COUNTIF(B46:T46,"Si")))</f>
        <v>8</v>
      </c>
      <c r="V46" s="7">
        <f t="shared" ref="V46" si="191">IF(A46="","",IF(AB46="Riesgo de Gestión","N.A.",COUNTIF(B46:T46,"No")))</f>
        <v>11</v>
      </c>
      <c r="W46" s="7" t="str">
        <f t="shared" ref="W46" si="192">IF(A46="","",IF(AB46="Riesgo de Gestión","N.A.",IF(U46&lt;=5,"3 - Moderado",IF(U46&gt;=12,"5 - Catastrófico","4 - Mayor"))))</f>
        <v>4 - Mayor</v>
      </c>
      <c r="X46" s="44" t="s">
        <v>76</v>
      </c>
      <c r="Y46" s="44" t="s">
        <v>76</v>
      </c>
      <c r="Z46" s="44" t="s">
        <v>76</v>
      </c>
      <c r="AA46" s="44" t="s">
        <v>76</v>
      </c>
      <c r="AB46" s="20" t="str">
        <f t="shared" ref="AB46" si="193">IF(A46="","",IF(AND(X46="SI",Y46="SI",AA46="SI",Z46="Si"),"Riesgo de Corrupción","Riesgo de Gestión"))</f>
        <v>Riesgo de Corrupción</v>
      </c>
    </row>
    <row r="47" spans="1:29" ht="207" customHeight="1" x14ac:dyDescent="0.25">
      <c r="A47" s="32" t="str">
        <f t="shared" si="185"/>
        <v>Pago de obligaciones sin el cumplimiento de la totalidad de los requisitos legales o mediante la acreditación de documentos falsos, debido a falta de verificación de los requisitos para favorecimiento a terceros o intereses personales por falta de ética profesional y presión de algunos grupos de interés, generando sanciones y/o demandas en contra de la entidad y perdida de confiabilidad de la comunidad hacia la entidad</v>
      </c>
      <c r="B47" s="10" t="s">
        <v>78</v>
      </c>
      <c r="C47" s="10" t="s">
        <v>76</v>
      </c>
      <c r="D47" s="10" t="s">
        <v>76</v>
      </c>
      <c r="E47" s="10" t="s">
        <v>78</v>
      </c>
      <c r="F47" s="10" t="s">
        <v>76</v>
      </c>
      <c r="G47" s="10" t="s">
        <v>76</v>
      </c>
      <c r="H47" s="44" t="s">
        <v>78</v>
      </c>
      <c r="I47" s="44" t="s">
        <v>76</v>
      </c>
      <c r="J47" s="44" t="s">
        <v>78</v>
      </c>
      <c r="K47" s="44" t="s">
        <v>76</v>
      </c>
      <c r="L47" s="44" t="s">
        <v>76</v>
      </c>
      <c r="M47" s="44" t="s">
        <v>76</v>
      </c>
      <c r="N47" s="44" t="s">
        <v>76</v>
      </c>
      <c r="O47" s="44" t="s">
        <v>78</v>
      </c>
      <c r="P47" s="44" t="s">
        <v>78</v>
      </c>
      <c r="Q47" s="44" t="s">
        <v>78</v>
      </c>
      <c r="R47" s="63" t="s">
        <v>76</v>
      </c>
      <c r="S47" s="63" t="s">
        <v>78</v>
      </c>
      <c r="T47" s="63" t="s">
        <v>78</v>
      </c>
      <c r="U47" s="7">
        <f t="shared" ref="U47" si="194">IF(A47="","",IF(AB47="Riesgo de Gestión","N.A.",COUNTIF(B47:T47,"Si")))</f>
        <v>10</v>
      </c>
      <c r="V47" s="7">
        <f t="shared" ref="V47" si="195">IF(A47="","",IF(AB47="Riesgo de Gestión","N.A.",COUNTIF(B47:T47,"No")))</f>
        <v>9</v>
      </c>
      <c r="W47" s="7" t="str">
        <f t="shared" ref="W47" si="196">IF(A47="","",IF(AB47="Riesgo de Gestión","N.A.",IF(U47&lt;=5,"3 - Moderado",IF(U47&gt;=12,"5 - Catastrófico","4 - Mayor"))))</f>
        <v>4 - Mayor</v>
      </c>
      <c r="X47" s="44" t="s">
        <v>76</v>
      </c>
      <c r="Y47" s="44" t="s">
        <v>76</v>
      </c>
      <c r="Z47" s="44" t="s">
        <v>76</v>
      </c>
      <c r="AA47" s="44" t="s">
        <v>76</v>
      </c>
      <c r="AB47" s="20" t="str">
        <f t="shared" ref="AB47" si="197">IF(A47="","",IF(AND(X47="SI",Y47="SI",AA47="SI",Z47="Si"),"Riesgo de Corrupción","Riesgo de Gestión"))</f>
        <v>Riesgo de Corrupción</v>
      </c>
    </row>
    <row r="48" spans="1:29" ht="172.5" customHeight="1" x14ac:dyDescent="0.25">
      <c r="F48" s="1"/>
      <c r="U48" s="1"/>
      <c r="V48" s="1"/>
    </row>
  </sheetData>
  <autoFilter ref="A6:BD6">
    <filterColumn colId="11" showButton="0"/>
    <filterColumn colId="13" showButton="0"/>
    <filterColumn colId="15" showButton="0"/>
    <filterColumn colId="17" showButton="0"/>
    <filterColumn colId="18"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40" showButton="0"/>
    <filterColumn colId="48" showButton="0"/>
  </autoFilter>
  <mergeCells count="127">
    <mergeCell ref="N12:N13"/>
    <mergeCell ref="R20:T20"/>
    <mergeCell ref="R8:T8"/>
    <mergeCell ref="E12:E13"/>
    <mergeCell ref="F12:F13"/>
    <mergeCell ref="G12:G13"/>
    <mergeCell ref="H12:H13"/>
    <mergeCell ref="I12:I13"/>
    <mergeCell ref="D9:D11"/>
    <mergeCell ref="C9:C11"/>
    <mergeCell ref="B9:B11"/>
    <mergeCell ref="B12:B13"/>
    <mergeCell ref="C12:C13"/>
    <mergeCell ref="D12:D13"/>
    <mergeCell ref="I9:I11"/>
    <mergeCell ref="H9:H11"/>
    <mergeCell ref="G9:G11"/>
    <mergeCell ref="F9:F11"/>
    <mergeCell ref="E9:E11"/>
    <mergeCell ref="O12:O13"/>
    <mergeCell ref="P12:P13"/>
    <mergeCell ref="Q12:Q13"/>
    <mergeCell ref="J12:J13"/>
    <mergeCell ref="K12:K13"/>
    <mergeCell ref="L12:L13"/>
    <mergeCell ref="M12:M13"/>
    <mergeCell ref="A1:U1"/>
    <mergeCell ref="R7:T7"/>
    <mergeCell ref="A4:F5"/>
    <mergeCell ref="G4:Q4"/>
    <mergeCell ref="B2:F2"/>
    <mergeCell ref="V5:V6"/>
    <mergeCell ref="X4:AP4"/>
    <mergeCell ref="AQ4:AR5"/>
    <mergeCell ref="AS4:AS6"/>
    <mergeCell ref="AD6:AE6"/>
    <mergeCell ref="AF6:AG6"/>
    <mergeCell ref="AH6:AI6"/>
    <mergeCell ref="AJ6:AK6"/>
    <mergeCell ref="AB6:AC6"/>
    <mergeCell ref="Z6:AA6"/>
    <mergeCell ref="R4:W4"/>
    <mergeCell ref="W5:W6"/>
    <mergeCell ref="G5:Q5"/>
    <mergeCell ref="R5:T6"/>
    <mergeCell ref="U5:U6"/>
    <mergeCell ref="X5:AK5"/>
    <mergeCell ref="AL5:AM6"/>
    <mergeCell ref="AN5:AN6"/>
    <mergeCell ref="AO5:AP6"/>
    <mergeCell ref="AU5:AX5"/>
    <mergeCell ref="L6:M6"/>
    <mergeCell ref="N6:O6"/>
    <mergeCell ref="P6:Q6"/>
    <mergeCell ref="X6:Y6"/>
    <mergeCell ref="AT4:AT6"/>
    <mergeCell ref="R11:T11"/>
    <mergeCell ref="AS12:AS13"/>
    <mergeCell ref="AT12:AT13"/>
    <mergeCell ref="AU12:AU13"/>
    <mergeCell ref="AV12:AV13"/>
    <mergeCell ref="A32:A33"/>
    <mergeCell ref="AC32:AC33"/>
    <mergeCell ref="B32:T32"/>
    <mergeCell ref="U32:W32"/>
    <mergeCell ref="X32:AA32"/>
    <mergeCell ref="AB32:AB33"/>
    <mergeCell ref="R14:T14"/>
    <mergeCell ref="R13:T13"/>
    <mergeCell ref="Q9:Q11"/>
    <mergeCell ref="P9:P11"/>
    <mergeCell ref="O9:O11"/>
    <mergeCell ref="N9:N11"/>
    <mergeCell ref="M9:M11"/>
    <mergeCell ref="L9:L11"/>
    <mergeCell ref="K9:K11"/>
    <mergeCell ref="J9:J11"/>
    <mergeCell ref="A9:A11"/>
    <mergeCell ref="A12:A13"/>
    <mergeCell ref="AQ12:AQ13"/>
    <mergeCell ref="V1:AP1"/>
    <mergeCell ref="AQ1:BD1"/>
    <mergeCell ref="BD4:BD6"/>
    <mergeCell ref="BD7:BD8"/>
    <mergeCell ref="AW9:AW11"/>
    <mergeCell ref="AX9:AX11"/>
    <mergeCell ref="BC12:BC13"/>
    <mergeCell ref="AX12:AX13"/>
    <mergeCell ref="AY12:AY13"/>
    <mergeCell ref="AZ12:AZ13"/>
    <mergeCell ref="BA12:BA13"/>
    <mergeCell ref="BB12:BB13"/>
    <mergeCell ref="AW12:AW13"/>
    <mergeCell ref="AQ9:AQ11"/>
    <mergeCell ref="AR9:AR11"/>
    <mergeCell ref="AS9:AS11"/>
    <mergeCell ref="AT9:AT11"/>
    <mergeCell ref="AU9:AU11"/>
    <mergeCell ref="AV9:AV11"/>
    <mergeCell ref="AW6:AX6"/>
    <mergeCell ref="AU4:AX4"/>
    <mergeCell ref="AY4:BC5"/>
    <mergeCell ref="AR12:AR13"/>
    <mergeCell ref="R21:T21"/>
    <mergeCell ref="R22:T22"/>
    <mergeCell ref="R23:T23"/>
    <mergeCell ref="AY9:AY11"/>
    <mergeCell ref="AZ9:AZ11"/>
    <mergeCell ref="BA9:BA11"/>
    <mergeCell ref="BB9:BB11"/>
    <mergeCell ref="BC9:BC11"/>
    <mergeCell ref="BD9:BD11"/>
    <mergeCell ref="BD12:BD13"/>
    <mergeCell ref="BA16:BA19"/>
    <mergeCell ref="BB16:BB19"/>
    <mergeCell ref="BC16:BC19"/>
    <mergeCell ref="BD16:BD19"/>
    <mergeCell ref="R19:T19"/>
    <mergeCell ref="R18:T18"/>
    <mergeCell ref="AY16:AY19"/>
    <mergeCell ref="AZ16:AZ19"/>
    <mergeCell ref="R17:T17"/>
    <mergeCell ref="R16:T16"/>
    <mergeCell ref="R15:T15"/>
    <mergeCell ref="R9:T9"/>
    <mergeCell ref="R12:T12"/>
    <mergeCell ref="R10:T10"/>
  </mergeCells>
  <conditionalFormatting sqref="R25:R29">
    <cfRule type="cellIs" dxfId="127" priority="265" operator="equal">
      <formula>"Baja"</formula>
    </cfRule>
    <cfRule type="cellIs" dxfId="126" priority="266" operator="equal">
      <formula>"Moderada"</formula>
    </cfRule>
    <cfRule type="cellIs" dxfId="125" priority="267" operator="equal">
      <formula>"Alta"</formula>
    </cfRule>
    <cfRule type="cellIs" dxfId="124" priority="268" operator="equal">
      <formula>"Extrema"</formula>
    </cfRule>
  </conditionalFormatting>
  <conditionalFormatting sqref="AY25:AY29">
    <cfRule type="cellIs" dxfId="123" priority="253" operator="equal">
      <formula>"Baja"</formula>
    </cfRule>
    <cfRule type="cellIs" dxfId="122" priority="254" operator="equal">
      <formula>"Moderada"</formula>
    </cfRule>
    <cfRule type="cellIs" dxfId="121" priority="255" operator="equal">
      <formula>"Alta"</formula>
    </cfRule>
    <cfRule type="cellIs" dxfId="120" priority="256" operator="equal">
      <formula>"Extrema"</formula>
    </cfRule>
  </conditionalFormatting>
  <conditionalFormatting sqref="AX9">
    <cfRule type="cellIs" dxfId="119" priority="217" operator="equal">
      <formula>"Bajo"</formula>
    </cfRule>
    <cfRule type="cellIs" dxfId="118" priority="218" operator="equal">
      <formula>"Moderado"</formula>
    </cfRule>
    <cfRule type="cellIs" dxfId="117" priority="219" operator="equal">
      <formula>"Alto"</formula>
    </cfRule>
    <cfRule type="cellIs" dxfId="116" priority="220" operator="equal">
      <formula>"Extremo"</formula>
    </cfRule>
  </conditionalFormatting>
  <conditionalFormatting sqref="Q9">
    <cfRule type="cellIs" dxfId="115" priority="197" operator="equal">
      <formula>"Bajo"</formula>
    </cfRule>
    <cfRule type="cellIs" dxfId="114" priority="198" operator="equal">
      <formula>"Moderado"</formula>
    </cfRule>
    <cfRule type="cellIs" dxfId="113" priority="199" operator="equal">
      <formula>"Alto"</formula>
    </cfRule>
    <cfRule type="cellIs" dxfId="112" priority="200" operator="equal">
      <formula>"Extremo"</formula>
    </cfRule>
  </conditionalFormatting>
  <conditionalFormatting sqref="AX12">
    <cfRule type="cellIs" dxfId="111" priority="193" operator="equal">
      <formula>"Bajo"</formula>
    </cfRule>
    <cfRule type="cellIs" dxfId="110" priority="194" operator="equal">
      <formula>"Moderado"</formula>
    </cfRule>
    <cfRule type="cellIs" dxfId="109" priority="195" operator="equal">
      <formula>"Alto"</formula>
    </cfRule>
    <cfRule type="cellIs" dxfId="108" priority="196" operator="equal">
      <formula>"Extremo"</formula>
    </cfRule>
  </conditionalFormatting>
  <conditionalFormatting sqref="Q12">
    <cfRule type="cellIs" dxfId="107" priority="189" operator="equal">
      <formula>"Bajo"</formula>
    </cfRule>
    <cfRule type="cellIs" dxfId="106" priority="190" operator="equal">
      <formula>"Moderado"</formula>
    </cfRule>
    <cfRule type="cellIs" dxfId="105" priority="191" operator="equal">
      <formula>"Alto"</formula>
    </cfRule>
    <cfRule type="cellIs" dxfId="104" priority="192" operator="equal">
      <formula>"Extremo"</formula>
    </cfRule>
  </conditionalFormatting>
  <conditionalFormatting sqref="AX19">
    <cfRule type="cellIs" dxfId="103" priority="145" operator="equal">
      <formula>"Bajo"</formula>
    </cfRule>
    <cfRule type="cellIs" dxfId="102" priority="146" operator="equal">
      <formula>"Moderado"</formula>
    </cfRule>
    <cfRule type="cellIs" dxfId="101" priority="147" operator="equal">
      <formula>"Alto"</formula>
    </cfRule>
    <cfRule type="cellIs" dxfId="100" priority="148" operator="equal">
      <formula>"Extremo"</formula>
    </cfRule>
  </conditionalFormatting>
  <conditionalFormatting sqref="Q19">
    <cfRule type="cellIs" dxfId="99" priority="149" operator="equal">
      <formula>"Bajo"</formula>
    </cfRule>
    <cfRule type="cellIs" dxfId="98" priority="150" operator="equal">
      <formula>"Moderado"</formula>
    </cfRule>
    <cfRule type="cellIs" dxfId="97" priority="151" operator="equal">
      <formula>"Alto"</formula>
    </cfRule>
    <cfRule type="cellIs" dxfId="96" priority="152" operator="equal">
      <formula>"Extremo"</formula>
    </cfRule>
  </conditionalFormatting>
  <conditionalFormatting sqref="AX24">
    <cfRule type="cellIs" dxfId="95" priority="141" operator="equal">
      <formula>"Bajo"</formula>
    </cfRule>
    <cfRule type="cellIs" dxfId="94" priority="142" operator="equal">
      <formula>"Moderado"</formula>
    </cfRule>
    <cfRule type="cellIs" dxfId="93" priority="143" operator="equal">
      <formula>"Alto"</formula>
    </cfRule>
    <cfRule type="cellIs" dxfId="92" priority="144" operator="equal">
      <formula>"Extremo"</formula>
    </cfRule>
  </conditionalFormatting>
  <conditionalFormatting sqref="Q24">
    <cfRule type="cellIs" dxfId="91" priority="137" operator="equal">
      <formula>"Bajo"</formula>
    </cfRule>
    <cfRule type="cellIs" dxfId="90" priority="138" operator="equal">
      <formula>"Moderado"</formula>
    </cfRule>
    <cfRule type="cellIs" dxfId="89" priority="139" operator="equal">
      <formula>"Alto"</formula>
    </cfRule>
    <cfRule type="cellIs" dxfId="88" priority="140" operator="equal">
      <formula>"Extremo"</formula>
    </cfRule>
  </conditionalFormatting>
  <conditionalFormatting sqref="Q15">
    <cfRule type="cellIs" dxfId="87" priority="109" operator="equal">
      <formula>"Bajo"</formula>
    </cfRule>
    <cfRule type="cellIs" dxfId="86" priority="110" operator="equal">
      <formula>"Moderado"</formula>
    </cfRule>
    <cfRule type="cellIs" dxfId="85" priority="111" operator="equal">
      <formula>"Alto"</formula>
    </cfRule>
    <cfRule type="cellIs" dxfId="84" priority="112" operator="equal">
      <formula>"Extremo"</formula>
    </cfRule>
  </conditionalFormatting>
  <conditionalFormatting sqref="AX15">
    <cfRule type="cellIs" dxfId="83" priority="105" operator="equal">
      <formula>"Bajo"</formula>
    </cfRule>
    <cfRule type="cellIs" dxfId="82" priority="106" operator="equal">
      <formula>"Moderado"</formula>
    </cfRule>
    <cfRule type="cellIs" dxfId="81" priority="107" operator="equal">
      <formula>"Alto"</formula>
    </cfRule>
    <cfRule type="cellIs" dxfId="80" priority="108" operator="equal">
      <formula>"Extremo"</formula>
    </cfRule>
  </conditionalFormatting>
  <conditionalFormatting sqref="Q14">
    <cfRule type="cellIs" dxfId="79" priority="113" operator="equal">
      <formula>"Bajo"</formula>
    </cfRule>
    <cfRule type="cellIs" dxfId="78" priority="114" operator="equal">
      <formula>"Moderado"</formula>
    </cfRule>
    <cfRule type="cellIs" dxfId="77" priority="115" operator="equal">
      <formula>"Alto"</formula>
    </cfRule>
    <cfRule type="cellIs" dxfId="76" priority="116" operator="equal">
      <formula>"Extremo"</formula>
    </cfRule>
  </conditionalFormatting>
  <conditionalFormatting sqref="AX14">
    <cfRule type="cellIs" dxfId="75" priority="101" operator="equal">
      <formula>"Bajo"</formula>
    </cfRule>
    <cfRule type="cellIs" dxfId="74" priority="102" operator="equal">
      <formula>"Moderado"</formula>
    </cfRule>
    <cfRule type="cellIs" dxfId="73" priority="103" operator="equal">
      <formula>"Alto"</formula>
    </cfRule>
    <cfRule type="cellIs" dxfId="72" priority="104" operator="equal">
      <formula>"Extremo"</formula>
    </cfRule>
  </conditionalFormatting>
  <conditionalFormatting sqref="AX18">
    <cfRule type="cellIs" dxfId="71" priority="61" operator="equal">
      <formula>"Bajo"</formula>
    </cfRule>
    <cfRule type="cellIs" dxfId="70" priority="62" operator="equal">
      <formula>"Moderado"</formula>
    </cfRule>
    <cfRule type="cellIs" dxfId="69" priority="63" operator="equal">
      <formula>"Alto"</formula>
    </cfRule>
    <cfRule type="cellIs" dxfId="68" priority="64" operator="equal">
      <formula>"Extremo"</formula>
    </cfRule>
  </conditionalFormatting>
  <conditionalFormatting sqref="AX7">
    <cfRule type="cellIs" dxfId="67" priority="97" operator="equal">
      <formula>"Bajo"</formula>
    </cfRule>
    <cfRule type="cellIs" dxfId="66" priority="98" operator="equal">
      <formula>"Moderado"</formula>
    </cfRule>
    <cfRule type="cellIs" dxfId="65" priority="99" operator="equal">
      <formula>"Alto"</formula>
    </cfRule>
    <cfRule type="cellIs" dxfId="64" priority="100" operator="equal">
      <formula>"Extremo"</formula>
    </cfRule>
  </conditionalFormatting>
  <conditionalFormatting sqref="Q7">
    <cfRule type="cellIs" dxfId="63" priority="93" operator="equal">
      <formula>"Bajo"</formula>
    </cfRule>
    <cfRule type="cellIs" dxfId="62" priority="94" operator="equal">
      <formula>"Moderado"</formula>
    </cfRule>
    <cfRule type="cellIs" dxfId="61" priority="95" operator="equal">
      <formula>"Alto"</formula>
    </cfRule>
    <cfRule type="cellIs" dxfId="60" priority="96" operator="equal">
      <formula>"Extremo"</formula>
    </cfRule>
  </conditionalFormatting>
  <conditionalFormatting sqref="AX8">
    <cfRule type="cellIs" dxfId="59" priority="89" operator="equal">
      <formula>"Bajo"</formula>
    </cfRule>
    <cfRule type="cellIs" dxfId="58" priority="90" operator="equal">
      <formula>"Moderado"</formula>
    </cfRule>
    <cfRule type="cellIs" dxfId="57" priority="91" operator="equal">
      <formula>"Alto"</formula>
    </cfRule>
    <cfRule type="cellIs" dxfId="56" priority="92" operator="equal">
      <formula>"Extremo"</formula>
    </cfRule>
  </conditionalFormatting>
  <conditionalFormatting sqref="Q8">
    <cfRule type="cellIs" dxfId="55" priority="85" operator="equal">
      <formula>"Bajo"</formula>
    </cfRule>
    <cfRule type="cellIs" dxfId="54" priority="86" operator="equal">
      <formula>"Moderado"</formula>
    </cfRule>
    <cfRule type="cellIs" dxfId="53" priority="87" operator="equal">
      <formula>"Alto"</formula>
    </cfRule>
    <cfRule type="cellIs" dxfId="52" priority="88" operator="equal">
      <formula>"Extremo"</formula>
    </cfRule>
  </conditionalFormatting>
  <conditionalFormatting sqref="Q16">
    <cfRule type="cellIs" dxfId="51" priority="81" operator="equal">
      <formula>"Bajo"</formula>
    </cfRule>
    <cfRule type="cellIs" dxfId="50" priority="82" operator="equal">
      <formula>"Moderado"</formula>
    </cfRule>
    <cfRule type="cellIs" dxfId="49" priority="83" operator="equal">
      <formula>"Alto"</formula>
    </cfRule>
    <cfRule type="cellIs" dxfId="48" priority="84" operator="equal">
      <formula>"Extremo"</formula>
    </cfRule>
  </conditionalFormatting>
  <conditionalFormatting sqref="AX16">
    <cfRule type="cellIs" dxfId="47" priority="77" operator="equal">
      <formula>"Bajo"</formula>
    </cfRule>
    <cfRule type="cellIs" dxfId="46" priority="78" operator="equal">
      <formula>"Moderado"</formula>
    </cfRule>
    <cfRule type="cellIs" dxfId="45" priority="79" operator="equal">
      <formula>"Alto"</formula>
    </cfRule>
    <cfRule type="cellIs" dxfId="44" priority="80" operator="equal">
      <formula>"Extremo"</formula>
    </cfRule>
  </conditionalFormatting>
  <conditionalFormatting sqref="Q17">
    <cfRule type="cellIs" dxfId="43" priority="73" operator="equal">
      <formula>"Bajo"</formula>
    </cfRule>
    <cfRule type="cellIs" dxfId="42" priority="74" operator="equal">
      <formula>"Moderado"</formula>
    </cfRule>
    <cfRule type="cellIs" dxfId="41" priority="75" operator="equal">
      <formula>"Alto"</formula>
    </cfRule>
    <cfRule type="cellIs" dxfId="40" priority="76" operator="equal">
      <formula>"Extremo"</formula>
    </cfRule>
  </conditionalFormatting>
  <conditionalFormatting sqref="AX17">
    <cfRule type="cellIs" dxfId="39" priority="69" operator="equal">
      <formula>"Bajo"</formula>
    </cfRule>
    <cfRule type="cellIs" dxfId="38" priority="70" operator="equal">
      <formula>"Moderado"</formula>
    </cfRule>
    <cfRule type="cellIs" dxfId="37" priority="71" operator="equal">
      <formula>"Alto"</formula>
    </cfRule>
    <cfRule type="cellIs" dxfId="36" priority="72" operator="equal">
      <formula>"Extremo"</formula>
    </cfRule>
  </conditionalFormatting>
  <conditionalFormatting sqref="Q18">
    <cfRule type="cellIs" dxfId="35" priority="65" operator="equal">
      <formula>"Bajo"</formula>
    </cfRule>
    <cfRule type="cellIs" dxfId="34" priority="66" operator="equal">
      <formula>"Moderado"</formula>
    </cfRule>
    <cfRule type="cellIs" dxfId="33" priority="67" operator="equal">
      <formula>"Alto"</formula>
    </cfRule>
    <cfRule type="cellIs" dxfId="32" priority="68" operator="equal">
      <formula>"Extremo"</formula>
    </cfRule>
  </conditionalFormatting>
  <conditionalFormatting sqref="AX21">
    <cfRule type="cellIs" dxfId="31" priority="25" operator="equal">
      <formula>"Bajo"</formula>
    </cfRule>
    <cfRule type="cellIs" dxfId="30" priority="26" operator="equal">
      <formula>"Moderado"</formula>
    </cfRule>
    <cfRule type="cellIs" dxfId="29" priority="27" operator="equal">
      <formula>"Alto"</formula>
    </cfRule>
    <cfRule type="cellIs" dxfId="28" priority="28" operator="equal">
      <formula>"Extremo"</formula>
    </cfRule>
  </conditionalFormatting>
  <conditionalFormatting sqref="Q21">
    <cfRule type="cellIs" dxfId="27" priority="57" operator="equal">
      <formula>"Bajo"</formula>
    </cfRule>
    <cfRule type="cellIs" dxfId="26" priority="58" operator="equal">
      <formula>"Moderado"</formula>
    </cfRule>
    <cfRule type="cellIs" dxfId="25" priority="59" operator="equal">
      <formula>"Alto"</formula>
    </cfRule>
    <cfRule type="cellIs" dxfId="24" priority="60" operator="equal">
      <formula>"Extremo"</formula>
    </cfRule>
  </conditionalFormatting>
  <conditionalFormatting sqref="Q23">
    <cfRule type="cellIs" dxfId="23" priority="17" operator="equal">
      <formula>"Bajo"</formula>
    </cfRule>
    <cfRule type="cellIs" dxfId="22" priority="18" operator="equal">
      <formula>"Moderado"</formula>
    </cfRule>
    <cfRule type="cellIs" dxfId="21" priority="19" operator="equal">
      <formula>"Alto"</formula>
    </cfRule>
    <cfRule type="cellIs" dxfId="20" priority="20" operator="equal">
      <formula>"Extremo"</formula>
    </cfRule>
  </conditionalFormatting>
  <conditionalFormatting sqref="AX22">
    <cfRule type="cellIs" dxfId="19" priority="37" operator="equal">
      <formula>"Bajo"</formula>
    </cfRule>
    <cfRule type="cellIs" dxfId="18" priority="38" operator="equal">
      <formula>"Moderado"</formula>
    </cfRule>
    <cfRule type="cellIs" dxfId="17" priority="39" operator="equal">
      <formula>"Alto"</formula>
    </cfRule>
    <cfRule type="cellIs" dxfId="16" priority="40" operator="equal">
      <formula>"Extremo"</formula>
    </cfRule>
  </conditionalFormatting>
  <conditionalFormatting sqref="AX23">
    <cfRule type="cellIs" dxfId="15" priority="21" operator="equal">
      <formula>"Bajo"</formula>
    </cfRule>
    <cfRule type="cellIs" dxfId="14" priority="22" operator="equal">
      <formula>"Moderado"</formula>
    </cfRule>
    <cfRule type="cellIs" dxfId="13" priority="23" operator="equal">
      <formula>"Alto"</formula>
    </cfRule>
    <cfRule type="cellIs" dxfId="12" priority="24" operator="equal">
      <formula>"Extremo"</formula>
    </cfRule>
  </conditionalFormatting>
  <conditionalFormatting sqref="Q22">
    <cfRule type="cellIs" dxfId="11" priority="29" operator="equal">
      <formula>"Bajo"</formula>
    </cfRule>
    <cfRule type="cellIs" dxfId="10" priority="30" operator="equal">
      <formula>"Moderado"</formula>
    </cfRule>
    <cfRule type="cellIs" dxfId="9" priority="31" operator="equal">
      <formula>"Alto"</formula>
    </cfRule>
    <cfRule type="cellIs" dxfId="8" priority="32" operator="equal">
      <formula>"Extremo"</formula>
    </cfRule>
  </conditionalFormatting>
  <conditionalFormatting sqref="AX20">
    <cfRule type="cellIs" dxfId="7" priority="9" operator="equal">
      <formula>"Bajo"</formula>
    </cfRule>
    <cfRule type="cellIs" dxfId="6" priority="10" operator="equal">
      <formula>"Moderado"</formula>
    </cfRule>
    <cfRule type="cellIs" dxfId="5" priority="11" operator="equal">
      <formula>"Alto"</formula>
    </cfRule>
    <cfRule type="cellIs" dxfId="4" priority="12" operator="equal">
      <formula>"Extremo"</formula>
    </cfRule>
  </conditionalFormatting>
  <conditionalFormatting sqref="Q20">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3">
    <dataValidation type="list" allowBlank="1" showInputMessage="1" showErrorMessage="1" sqref="AS12 AS7:AS9 AS14:AS23 AS24">
      <formula1>"Directamente, No disminuye"</formula1>
    </dataValidation>
    <dataValidation type="list" allowBlank="1" showInputMessage="1" showErrorMessage="1" sqref="AT12 AT7:AT9 AT14:AT23 AT24">
      <formula1>"Directamente, Indirectamente, No disminuye"</formula1>
    </dataValidation>
    <dataValidation type="list" allowBlank="1" showInputMessage="1" showErrorMessage="1" sqref="G7:L8 J9:L9 G9:I12 J12:L12 G14:L23 G24:L24">
      <formula1>"1,2,3,4,5"</formula1>
    </dataValidation>
    <dataValidation type="list" allowBlank="1" showInputMessage="1" showErrorMessage="1" sqref="C8 C15:C23 C24">
      <formula1>"Corrupción Fraude Interno, Corrupción Fraude Externo"</formula1>
    </dataValidation>
    <dataValidation type="list" allowBlank="1" showInputMessage="1" showErrorMessage="1" sqref="C14 C9:C12 C7">
      <formula1>"Corrupción Fraude Interno, "</formula1>
    </dataValidation>
    <dataValidation type="list" allowBlank="1" showInputMessage="1" showErrorMessage="1" sqref="W7:W23 W24 AD7:AD23 AD24">
      <formula1>"Prevenir, Detectar, No es un control"</formula1>
    </dataValidation>
    <dataValidation type="list" allowBlank="1" showInputMessage="1" showErrorMessage="1" sqref="X7:X23 X24">
      <formula1>"Asignado, No Asignado"</formula1>
    </dataValidation>
    <dataValidation type="list" allowBlank="1" showInputMessage="1" showErrorMessage="1" sqref="Z7:Z23 Z24">
      <formula1>"Adecuado, Inadecuado"</formula1>
    </dataValidation>
    <dataValidation type="list" allowBlank="1" showInputMessage="1" showErrorMessage="1" sqref="AB7:AB23 AB24">
      <formula1>"Oportuna, Inoportuna"</formula1>
    </dataValidation>
    <dataValidation type="list" allowBlank="1" showInputMessage="1" showErrorMessage="1" sqref="AF7:AF23 AF24">
      <formula1>"Confiable, No Confiable"</formula1>
    </dataValidation>
    <dataValidation type="list" allowBlank="1" showInputMessage="1" showErrorMessage="1" sqref="AH7:AH23 AH24">
      <formula1>"Se investigan y resuelven oportunamente, No se investigan y resuelven oportunamente"</formula1>
    </dataValidation>
    <dataValidation type="list" allowBlank="1" showInputMessage="1" showErrorMessage="1" sqref="AJ7:AJ23 AJ24">
      <formula1>"Completa, Incompleta, No existe"</formula1>
    </dataValidation>
    <dataValidation type="list" allowBlank="1" showInputMessage="1" showErrorMessage="1" sqref="AN7:AN23 AN24">
      <formula1>"Fuerte, Moderado, Débil"</formula1>
    </dataValidation>
  </dataValidations>
  <pageMargins left="0.70866141732283472" right="0.70866141732283472" top="0.74803149606299213" bottom="0.74803149606299213" header="0.31496062992125984" footer="0.31496062992125984"/>
  <pageSetup paperSize="5" scale="25" orientation="landscape" horizontalDpi="4294967295" verticalDpi="4294967295" r:id="rId1"/>
  <rowBreaks count="1" manualBreakCount="1">
    <brk id="30" max="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Riesgos de Corrupción</vt:lpstr>
      <vt:lpstr>Constr - Riesgos de Corrupción</vt:lpstr>
      <vt:lpstr>'Constr - Riesgos de Corrupción'!Área_de_impresión</vt:lpstr>
      <vt:lpstr>'Riesgos de Corrupción'!Área_de_impresión</vt:lpstr>
      <vt:lpstr>'Constr - Riesgos de Corrupción'!Títulos_a_imprimir</vt:lpstr>
      <vt:lpstr>'Riesgos de Corrupción'!Títulos_a_imprimir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maryand</dc:creator>
  <cp:lastModifiedBy>Martha Viviana Diaz Quintero</cp:lastModifiedBy>
  <dcterms:created xsi:type="dcterms:W3CDTF">2018-11-23T09:09:35Z</dcterms:created>
  <dcterms:modified xsi:type="dcterms:W3CDTF">2023-08-09T21:33:18Z</dcterms:modified>
</cp:coreProperties>
</file>