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DUSSAN\INFORME DE GESTIÓN 2019\MATRIZ MINISTERIO\"/>
    </mc:Choice>
  </mc:AlternateContent>
  <bookViews>
    <workbookView xWindow="0" yWindow="0" windowWidth="24000" windowHeight="9135" firstSheet="1" activeTab="2"/>
  </bookViews>
  <sheets>
    <sheet name="MATRIZ GENERAL CONSOLIDADA" sheetId="19" state="hidden" r:id="rId1"/>
    <sheet name="Anexo 1 Matriz SINA Inf Gestión" sheetId="9" r:id="rId2"/>
    <sheet name="Anexo 2 Matriz Inf. Ejecución" sheetId="23" r:id="rId3"/>
    <sheet name="CUATRIENIO" sheetId="29" r:id="rId4"/>
    <sheet name="INGRESOS " sheetId="36" r:id="rId5"/>
    <sheet name="GASTOS " sheetId="37" r:id="rId6"/>
    <sheet name="ANEXO 5.1 ING" sheetId="27" state="hidden" r:id="rId7"/>
    <sheet name="Anexo 3 Matriz Ind Min Jun" sheetId="18" state="hidden" r:id="rId8"/>
    <sheet name="Anexo 5-2 Gastos" sheetId="22" state="hidden" r:id="rId9"/>
    <sheet name="Anexo 2 Protocolo Inf Gestión" sheetId="11" state="hidden" r:id="rId10"/>
    <sheet name="Anexo 4 ProtocoloMatrizINdica" sheetId="10" state="hidden" r:id="rId11"/>
    <sheet name="Hoja1" sheetId="17" state="hidden" r:id="rId12"/>
    <sheet name="Hoja2" sheetId="24"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1">'Anexo 1 Matriz SINA Inf Gestión'!$B$1:$S$118</definedName>
    <definedName name="_xlnm.Print_Area" localSheetId="2">'Anexo 2 Matriz Inf. Ejecución'!$A$1:$Q$164</definedName>
    <definedName name="_xlnm.Print_Area" localSheetId="9">'Anexo 2 Protocolo Inf Gestión'!$A$1:$B$23</definedName>
    <definedName name="_xlnm.Print_Area" localSheetId="10">'Anexo 4 ProtocoloMatrizINdica'!$A$1:$B$15</definedName>
    <definedName name="_xlnm.Print_Area" localSheetId="8">'Anexo 5-2 Gastos'!$A$1:$G$55</definedName>
    <definedName name="_xlnm.Print_Area" localSheetId="3">CUATRIENIO!$A$1:$R$177</definedName>
    <definedName name="_xlnm.Print_Titles" localSheetId="1">'Anexo 1 Matriz SINA Inf Gestión'!$3:$4</definedName>
    <definedName name="_xlnm.Print_Titles" localSheetId="2">'Anexo 2 Matriz Inf. Ejecución'!$7:$8</definedName>
    <definedName name="_xlnm.Print_Titles" localSheetId="7">'Anexo 3 Matriz Ind Min Jun'!$7:$7</definedName>
    <definedName name="_xlnm.Print_Titles" localSheetId="8">'Anexo 5-2 Gastos'!$7:$8</definedName>
    <definedName name="_xlnm.Print_Titles" localSheetId="0">'MATRIZ GENERAL CONSOLIDADA'!$3:$4</definedName>
  </definedNames>
  <calcPr calcId="152511"/>
</workbook>
</file>

<file path=xl/calcChain.xml><?xml version="1.0" encoding="utf-8"?>
<calcChain xmlns="http://schemas.openxmlformats.org/spreadsheetml/2006/main">
  <c r="S177" i="29" l="1"/>
  <c r="I128" i="29" l="1"/>
  <c r="P120" i="9"/>
  <c r="N121" i="9"/>
  <c r="M121" i="9"/>
  <c r="A3" i="37" l="1"/>
  <c r="G7" i="37"/>
  <c r="J7" i="37" s="1"/>
  <c r="H7" i="37"/>
  <c r="I7" i="37"/>
  <c r="B8" i="37"/>
  <c r="E8" i="37"/>
  <c r="H9" i="37"/>
  <c r="H8" i="37" s="1"/>
  <c r="I9" i="37"/>
  <c r="J9" i="37"/>
  <c r="F10" i="37"/>
  <c r="I10" i="37" s="1"/>
  <c r="G10" i="37"/>
  <c r="J10" i="37" s="1"/>
  <c r="H10" i="37"/>
  <c r="C11" i="37"/>
  <c r="I11" i="37" s="1"/>
  <c r="F11" i="37"/>
  <c r="G11" i="37"/>
  <c r="H11" i="37"/>
  <c r="E13" i="37"/>
  <c r="E12" i="37" s="1"/>
  <c r="F13" i="37"/>
  <c r="F12" i="37" s="1"/>
  <c r="D14" i="37"/>
  <c r="F14" i="37"/>
  <c r="I14" i="37" s="1"/>
  <c r="G14" i="37"/>
  <c r="G13" i="37" s="1"/>
  <c r="G12" i="37" s="1"/>
  <c r="H14" i="37"/>
  <c r="H13" i="37" s="1"/>
  <c r="H12" i="37" s="1"/>
  <c r="C15" i="37"/>
  <c r="D15" i="37" s="1"/>
  <c r="H15" i="37"/>
  <c r="B16" i="37"/>
  <c r="H16" i="37" s="1"/>
  <c r="D16" i="37"/>
  <c r="I16" i="37"/>
  <c r="J16" i="37"/>
  <c r="B17" i="37"/>
  <c r="C17" i="37"/>
  <c r="D17" i="37"/>
  <c r="E17" i="37"/>
  <c r="F17" i="37"/>
  <c r="G17" i="37"/>
  <c r="H17" i="37"/>
  <c r="H18" i="37"/>
  <c r="I18" i="37"/>
  <c r="I17" i="37" s="1"/>
  <c r="J18" i="37"/>
  <c r="J17" i="37" s="1"/>
  <c r="H19" i="37"/>
  <c r="I19" i="37"/>
  <c r="J19" i="37"/>
  <c r="B20" i="37"/>
  <c r="F20" i="37"/>
  <c r="B21" i="37"/>
  <c r="C21" i="37"/>
  <c r="C20" i="37" s="1"/>
  <c r="D21" i="37"/>
  <c r="D20" i="37" s="1"/>
  <c r="E21" i="37"/>
  <c r="E20" i="37" s="1"/>
  <c r="F21" i="37"/>
  <c r="G21" i="37"/>
  <c r="G20" i="37" s="1"/>
  <c r="D22" i="37"/>
  <c r="J22" i="37" s="1"/>
  <c r="J21" i="37" s="1"/>
  <c r="J20" i="37" s="1"/>
  <c r="H22" i="37"/>
  <c r="H21" i="37" s="1"/>
  <c r="H20" i="37" s="1"/>
  <c r="I22" i="37"/>
  <c r="I21" i="37" s="1"/>
  <c r="I20" i="37" s="1"/>
  <c r="H23" i="37"/>
  <c r="I23" i="37"/>
  <c r="J23" i="37"/>
  <c r="G26" i="37"/>
  <c r="B28" i="37"/>
  <c r="H28" i="37" s="1"/>
  <c r="H26" i="37" s="1"/>
  <c r="H50" i="37" s="1"/>
  <c r="C28" i="37"/>
  <c r="I28" i="37" s="1"/>
  <c r="D28" i="37"/>
  <c r="E28" i="37"/>
  <c r="E26" i="37" s="1"/>
  <c r="E50" i="37" s="1"/>
  <c r="F28" i="37"/>
  <c r="F26" i="37" s="1"/>
  <c r="F50" i="37" s="1"/>
  <c r="G28" i="37"/>
  <c r="J28" i="37"/>
  <c r="H29" i="37"/>
  <c r="I29" i="37"/>
  <c r="J29" i="37"/>
  <c r="H30" i="37"/>
  <c r="I30" i="37"/>
  <c r="J30" i="37"/>
  <c r="H31" i="37"/>
  <c r="I31" i="37"/>
  <c r="J31" i="37"/>
  <c r="B32" i="37"/>
  <c r="C32" i="37"/>
  <c r="I32" i="37" s="1"/>
  <c r="D32" i="37"/>
  <c r="J32" i="37" s="1"/>
  <c r="H32" i="37"/>
  <c r="H33" i="37"/>
  <c r="I33" i="37"/>
  <c r="J33" i="37"/>
  <c r="H34" i="37"/>
  <c r="I34" i="37"/>
  <c r="J34" i="37"/>
  <c r="C35" i="37"/>
  <c r="D35" i="37"/>
  <c r="H35" i="37"/>
  <c r="I35" i="37"/>
  <c r="B36" i="37"/>
  <c r="C36" i="37"/>
  <c r="E36" i="37"/>
  <c r="F36" i="37"/>
  <c r="G36" i="37"/>
  <c r="H36" i="37"/>
  <c r="I36" i="37"/>
  <c r="H37" i="37"/>
  <c r="I37" i="37"/>
  <c r="J37" i="37"/>
  <c r="H38" i="37"/>
  <c r="I38" i="37"/>
  <c r="J38" i="37"/>
  <c r="D39" i="37"/>
  <c r="D36" i="37" s="1"/>
  <c r="D26" i="37" s="1"/>
  <c r="D50" i="37" s="1"/>
  <c r="H39" i="37"/>
  <c r="I39" i="37"/>
  <c r="B40" i="37"/>
  <c r="C40" i="37"/>
  <c r="D40" i="37"/>
  <c r="J40" i="37" s="1"/>
  <c r="H40" i="37"/>
  <c r="I40" i="37"/>
  <c r="H41" i="37"/>
  <c r="I41" i="37"/>
  <c r="J41" i="37"/>
  <c r="B42" i="37"/>
  <c r="C42" i="37"/>
  <c r="I42" i="37" s="1"/>
  <c r="D42" i="37"/>
  <c r="J42" i="37" s="1"/>
  <c r="H42" i="37"/>
  <c r="H43" i="37"/>
  <c r="I43" i="37"/>
  <c r="J43" i="37"/>
  <c r="H44" i="37"/>
  <c r="I44" i="37"/>
  <c r="J44" i="37"/>
  <c r="B45" i="37"/>
  <c r="C45" i="37"/>
  <c r="I45" i="37" s="1"/>
  <c r="D45" i="37"/>
  <c r="J45" i="37" s="1"/>
  <c r="H45" i="37"/>
  <c r="H46" i="37"/>
  <c r="I46" i="37"/>
  <c r="J46" i="37"/>
  <c r="H47" i="37"/>
  <c r="I47" i="37"/>
  <c r="J47" i="37"/>
  <c r="H48" i="37"/>
  <c r="I48" i="37"/>
  <c r="J48" i="37"/>
  <c r="H49" i="37"/>
  <c r="I49" i="37"/>
  <c r="J49" i="37"/>
  <c r="G50" i="37"/>
  <c r="C8" i="36"/>
  <c r="D8" i="36"/>
  <c r="C13" i="36"/>
  <c r="D13" i="36"/>
  <c r="D12" i="36" s="1"/>
  <c r="D7" i="36" s="1"/>
  <c r="C20" i="36"/>
  <c r="D20" i="36"/>
  <c r="D25" i="36"/>
  <c r="C31" i="36"/>
  <c r="C25" i="36" s="1"/>
  <c r="D32" i="36"/>
  <c r="C41" i="36"/>
  <c r="C33" i="36" s="1"/>
  <c r="D41" i="36"/>
  <c r="D33" i="36" s="1"/>
  <c r="D43" i="36"/>
  <c r="D44" i="36"/>
  <c r="C49" i="36"/>
  <c r="D49" i="36"/>
  <c r="G53" i="29"/>
  <c r="G53" i="23"/>
  <c r="G53" i="19"/>
  <c r="C12" i="36" l="1"/>
  <c r="C7" i="36" s="1"/>
  <c r="C6" i="36" s="1"/>
  <c r="C54" i="36" s="1"/>
  <c r="D13" i="37"/>
  <c r="D12" i="37" s="1"/>
  <c r="J15" i="37"/>
  <c r="B24" i="37"/>
  <c r="H24" i="37"/>
  <c r="I8" i="37"/>
  <c r="I26" i="37"/>
  <c r="I50" i="37" s="1"/>
  <c r="E24" i="37"/>
  <c r="B26" i="37"/>
  <c r="B50" i="37" s="1"/>
  <c r="I15" i="37"/>
  <c r="I13" i="37" s="1"/>
  <c r="I12" i="37" s="1"/>
  <c r="C13" i="37"/>
  <c r="C12" i="37" s="1"/>
  <c r="D11" i="37"/>
  <c r="G8" i="37"/>
  <c r="C26" i="37"/>
  <c r="C50" i="37" s="1"/>
  <c r="F8" i="37"/>
  <c r="F24" i="37" s="1"/>
  <c r="B13" i="37"/>
  <c r="B12" i="37" s="1"/>
  <c r="C8" i="37"/>
  <c r="J39" i="37"/>
  <c r="J36" i="37" s="1"/>
  <c r="J26" i="37" s="1"/>
  <c r="J50" i="37" s="1"/>
  <c r="G24" i="37"/>
  <c r="J14" i="37"/>
  <c r="J13" i="37" s="1"/>
  <c r="J12" i="37" s="1"/>
  <c r="D6" i="36"/>
  <c r="D54" i="36" s="1"/>
  <c r="J11" i="37" l="1"/>
  <c r="J8" i="37" s="1"/>
  <c r="J24" i="37" s="1"/>
  <c r="J52" i="37" s="1"/>
  <c r="D8" i="37"/>
  <c r="D24" i="37" s="1"/>
  <c r="C24" i="37"/>
  <c r="I24" i="37"/>
  <c r="K19" i="9"/>
  <c r="D28" i="19" l="1"/>
  <c r="F28" i="19"/>
  <c r="J19" i="9"/>
  <c r="I19" i="9"/>
  <c r="J23" i="9"/>
  <c r="F24" i="19"/>
  <c r="J24" i="9"/>
  <c r="F26" i="19"/>
  <c r="F23" i="19"/>
  <c r="K25" i="9"/>
  <c r="K6" i="9"/>
  <c r="J6" i="9"/>
  <c r="I5" i="9"/>
  <c r="F17" i="19" l="1"/>
  <c r="F7" i="9"/>
  <c r="I6" i="9"/>
  <c r="G44" i="19"/>
  <c r="R44" i="9"/>
  <c r="G48" i="19"/>
  <c r="AA59" i="19"/>
  <c r="U95" i="19" l="1"/>
  <c r="I118" i="19"/>
  <c r="E11" i="19"/>
  <c r="M6" i="19"/>
  <c r="M133" i="19"/>
  <c r="M88" i="19"/>
  <c r="E21" i="19"/>
  <c r="O111" i="9" l="1"/>
  <c r="G62" i="19" l="1"/>
  <c r="F59" i="19"/>
  <c r="F44" i="19"/>
  <c r="F36" i="19"/>
  <c r="F11" i="19"/>
  <c r="F49" i="9"/>
  <c r="F39" i="9"/>
  <c r="Y114" i="19" l="1"/>
  <c r="Y115" i="19"/>
  <c r="Y116" i="19"/>
  <c r="Y117" i="19"/>
  <c r="Y113" i="19"/>
  <c r="Y102" i="19"/>
  <c r="Y78" i="19" l="1"/>
  <c r="Y74" i="19"/>
  <c r="Y75" i="19" l="1"/>
  <c r="Y77" i="19"/>
  <c r="Y79" i="19"/>
  <c r="Y80" i="19"/>
  <c r="Y81" i="19"/>
  <c r="Y82" i="19"/>
  <c r="Y83" i="19"/>
  <c r="Y84" i="19"/>
  <c r="Y85" i="19"/>
  <c r="Y86" i="19"/>
  <c r="Y76" i="19"/>
  <c r="J56" i="23" l="1"/>
  <c r="I57" i="23"/>
  <c r="I55" i="23"/>
  <c r="Y24" i="19" l="1"/>
  <c r="AB56" i="19" l="1"/>
  <c r="Z57" i="19"/>
  <c r="Z56" i="19"/>
  <c r="F32" i="19" l="1"/>
  <c r="D103" i="19"/>
  <c r="F103" i="19"/>
  <c r="D76" i="19"/>
  <c r="F76" i="19"/>
  <c r="F78" i="19"/>
  <c r="F57" i="19"/>
  <c r="D36" i="19"/>
  <c r="F35" i="19"/>
  <c r="J35" i="9" s="1"/>
  <c r="F43" i="19"/>
  <c r="F40" i="19"/>
  <c r="D39" i="19"/>
  <c r="F37" i="19"/>
  <c r="D37" i="19"/>
  <c r="Y35" i="19"/>
  <c r="Y36" i="19" s="1"/>
  <c r="D35" i="19"/>
  <c r="D17" i="19"/>
  <c r="E17" i="19"/>
  <c r="F12" i="19"/>
  <c r="J12" i="9" s="1"/>
  <c r="Z12" i="19"/>
  <c r="I122" i="19"/>
  <c r="I124" i="19"/>
  <c r="I125" i="19"/>
  <c r="I12" i="9" l="1"/>
  <c r="D8" i="19"/>
  <c r="D7" i="19" l="1"/>
  <c r="E16" i="19" l="1"/>
  <c r="K19" i="19" l="1"/>
  <c r="I19" i="19"/>
  <c r="E23" i="19"/>
  <c r="E12" i="19"/>
  <c r="E38" i="19" l="1"/>
  <c r="E36" i="19"/>
  <c r="F49" i="19" l="1"/>
  <c r="F48" i="19"/>
  <c r="J48" i="9" l="1"/>
  <c r="Z48" i="19"/>
  <c r="F112" i="19" l="1"/>
  <c r="J112" i="9" s="1"/>
  <c r="N106" i="9" l="1"/>
  <c r="I143" i="23" s="1"/>
  <c r="F53" i="19"/>
  <c r="F47" i="19"/>
  <c r="E48" i="9"/>
  <c r="F113" i="19" l="1"/>
  <c r="E48" i="19" l="1"/>
  <c r="F15" i="29"/>
  <c r="T174" i="29" l="1"/>
  <c r="G169" i="29" l="1"/>
  <c r="G164" i="29"/>
  <c r="E112" i="19"/>
  <c r="H164" i="29" s="1"/>
  <c r="F169" i="29"/>
  <c r="F164" i="29"/>
  <c r="F150" i="29"/>
  <c r="F157" i="29"/>
  <c r="F98" i="19"/>
  <c r="G141" i="29" s="1"/>
  <c r="Z98" i="19"/>
  <c r="F141" i="29"/>
  <c r="G132" i="29"/>
  <c r="F131" i="29"/>
  <c r="F132" i="29"/>
  <c r="G120" i="29"/>
  <c r="F110" i="29"/>
  <c r="F120" i="29"/>
  <c r="G88" i="29"/>
  <c r="F84" i="29"/>
  <c r="F88" i="29"/>
  <c r="H69" i="29"/>
  <c r="G75" i="29"/>
  <c r="F69" i="29"/>
  <c r="F70" i="29"/>
  <c r="F72" i="29"/>
  <c r="F75" i="29"/>
  <c r="G61" i="29"/>
  <c r="F57" i="29"/>
  <c r="F61" i="29"/>
  <c r="G28" i="29"/>
  <c r="G33" i="29"/>
  <c r="F20" i="19"/>
  <c r="G27" i="29" s="1"/>
  <c r="F28" i="29"/>
  <c r="F34" i="29"/>
  <c r="I9" i="29"/>
  <c r="H9" i="29"/>
  <c r="H13" i="29"/>
  <c r="J98" i="9" l="1"/>
  <c r="F13" i="29" l="1"/>
  <c r="F14" i="29"/>
  <c r="J9" i="29"/>
  <c r="U101" i="19" l="1"/>
  <c r="E112" i="9" l="1"/>
  <c r="G152" i="23" s="1"/>
  <c r="E117" i="19"/>
  <c r="H169" i="29" s="1"/>
  <c r="G117" i="19"/>
  <c r="I169" i="29" s="1"/>
  <c r="J169" i="29" l="1"/>
  <c r="M103" i="9"/>
  <c r="H141" i="23" s="1"/>
  <c r="M104" i="9"/>
  <c r="M105" i="9"/>
  <c r="M106" i="9"/>
  <c r="H143" i="23" s="1"/>
  <c r="M107" i="9"/>
  <c r="M108" i="9"/>
  <c r="M109" i="9"/>
  <c r="M110" i="9"/>
  <c r="M102" i="9"/>
  <c r="H140" i="23" s="1"/>
  <c r="V127" i="19" l="1"/>
  <c r="P11" i="9" l="1"/>
  <c r="P7" i="9"/>
  <c r="Q7" i="9" l="1"/>
  <c r="G8" i="19"/>
  <c r="I10" i="29" s="1"/>
  <c r="E103" i="19"/>
  <c r="H150" i="29" s="1"/>
  <c r="Q8" i="9" l="1"/>
  <c r="F51" i="19"/>
  <c r="G72" i="29" s="1"/>
  <c r="T72" i="29" s="1"/>
  <c r="F50" i="19"/>
  <c r="G71" i="29" s="1"/>
  <c r="G52" i="29"/>
  <c r="Y20" i="19" l="1"/>
  <c r="J143" i="23" l="1"/>
  <c r="J144" i="23"/>
  <c r="N113" i="9" l="1"/>
  <c r="N114" i="9"/>
  <c r="N115" i="9"/>
  <c r="I154" i="23" s="1"/>
  <c r="N116" i="9"/>
  <c r="I155" i="23" s="1"/>
  <c r="N117" i="9"/>
  <c r="I156" i="23" s="1"/>
  <c r="N112" i="9"/>
  <c r="M113" i="9"/>
  <c r="H153" i="23" s="1"/>
  <c r="M114" i="9"/>
  <c r="M115" i="9"/>
  <c r="H154" i="23" s="1"/>
  <c r="M116" i="9"/>
  <c r="H155" i="23" s="1"/>
  <c r="M117" i="9"/>
  <c r="H156" i="23" s="1"/>
  <c r="M112" i="9"/>
  <c r="H152" i="23" s="1"/>
  <c r="N97" i="9"/>
  <c r="N98" i="9"/>
  <c r="I132" i="23" s="1"/>
  <c r="N99" i="9"/>
  <c r="I133" i="23" s="1"/>
  <c r="N96" i="9"/>
  <c r="M97" i="9"/>
  <c r="H131" i="23" s="1"/>
  <c r="M98" i="9"/>
  <c r="H132" i="23" s="1"/>
  <c r="M99" i="9"/>
  <c r="H133" i="23" s="1"/>
  <c r="M96" i="9"/>
  <c r="H130" i="23" s="1"/>
  <c r="N90" i="9"/>
  <c r="I121" i="23" s="1"/>
  <c r="N91" i="9"/>
  <c r="N92" i="9"/>
  <c r="N93" i="9"/>
  <c r="N94" i="9"/>
  <c r="I123" i="23" s="1"/>
  <c r="N89" i="9"/>
  <c r="I120" i="23" s="1"/>
  <c r="M90" i="9"/>
  <c r="H121" i="23" s="1"/>
  <c r="M91" i="9"/>
  <c r="M92" i="9"/>
  <c r="H122" i="23" s="1"/>
  <c r="M93" i="9"/>
  <c r="M94" i="9"/>
  <c r="H123" i="23" s="1"/>
  <c r="M89" i="9"/>
  <c r="H120" i="23" s="1"/>
  <c r="N72" i="9"/>
  <c r="I99" i="23" s="1"/>
  <c r="N73" i="9"/>
  <c r="I100" i="23" s="1"/>
  <c r="N74" i="9"/>
  <c r="N75" i="9"/>
  <c r="I102" i="23" s="1"/>
  <c r="N76" i="9"/>
  <c r="I103" i="23" s="1"/>
  <c r="N77" i="9"/>
  <c r="I104" i="23" s="1"/>
  <c r="N78" i="9"/>
  <c r="I105" i="23" s="1"/>
  <c r="N79" i="9"/>
  <c r="I106" i="23" s="1"/>
  <c r="N80" i="9"/>
  <c r="I107" i="23" s="1"/>
  <c r="N81" i="9"/>
  <c r="I108" i="23" s="1"/>
  <c r="N82" i="9"/>
  <c r="I109" i="23" s="1"/>
  <c r="N83" i="9"/>
  <c r="I110" i="23" s="1"/>
  <c r="N84" i="9"/>
  <c r="I111" i="23" s="1"/>
  <c r="N85" i="9"/>
  <c r="I112" i="23" s="1"/>
  <c r="N86" i="9"/>
  <c r="I113" i="23" s="1"/>
  <c r="N71" i="9"/>
  <c r="I98" i="23" s="1"/>
  <c r="M72" i="9"/>
  <c r="H99" i="23" s="1"/>
  <c r="J99" i="23" s="1"/>
  <c r="M73" i="9"/>
  <c r="H100" i="23" s="1"/>
  <c r="M74" i="9"/>
  <c r="M75" i="9"/>
  <c r="H102" i="23" s="1"/>
  <c r="M76" i="9"/>
  <c r="H103" i="23" s="1"/>
  <c r="M77" i="9"/>
  <c r="H104" i="23" s="1"/>
  <c r="M78" i="9"/>
  <c r="H105" i="23" s="1"/>
  <c r="M79" i="9"/>
  <c r="H106" i="23" s="1"/>
  <c r="M80" i="9"/>
  <c r="H107" i="23" s="1"/>
  <c r="M81" i="9"/>
  <c r="H108" i="23" s="1"/>
  <c r="M82" i="9"/>
  <c r="H109" i="23" s="1"/>
  <c r="J109" i="23" s="1"/>
  <c r="M83" i="9"/>
  <c r="H110" i="23" s="1"/>
  <c r="J110" i="23" s="1"/>
  <c r="M84" i="9"/>
  <c r="H111" i="23" s="1"/>
  <c r="J111" i="23" s="1"/>
  <c r="M85" i="9"/>
  <c r="H112" i="23" s="1"/>
  <c r="J112" i="23" s="1"/>
  <c r="M86" i="9"/>
  <c r="H113" i="23" s="1"/>
  <c r="J113" i="23" s="1"/>
  <c r="M71" i="9"/>
  <c r="H98" i="23" s="1"/>
  <c r="N66" i="9"/>
  <c r="N67" i="9"/>
  <c r="N68" i="9"/>
  <c r="I91" i="23" s="1"/>
  <c r="N65" i="9"/>
  <c r="I89" i="23" s="1"/>
  <c r="M66" i="9"/>
  <c r="H90" i="23" s="1"/>
  <c r="M67" i="9"/>
  <c r="M68" i="9"/>
  <c r="H91" i="23" s="1"/>
  <c r="M65" i="9"/>
  <c r="H89" i="23" s="1"/>
  <c r="N58" i="9"/>
  <c r="N59" i="9"/>
  <c r="N60" i="9"/>
  <c r="I79" i="23" s="1"/>
  <c r="N61" i="9"/>
  <c r="I80" i="23" s="1"/>
  <c r="N62" i="9"/>
  <c r="I81" i="23" s="1"/>
  <c r="N63" i="9"/>
  <c r="I82" i="23" s="1"/>
  <c r="N57" i="9"/>
  <c r="I76" i="23" s="1"/>
  <c r="M58" i="9"/>
  <c r="H77" i="23" s="1"/>
  <c r="M59" i="9"/>
  <c r="H78" i="23" s="1"/>
  <c r="M60" i="9"/>
  <c r="H79" i="23" s="1"/>
  <c r="M61" i="9"/>
  <c r="H80" i="23" s="1"/>
  <c r="M62" i="9"/>
  <c r="H81" i="23" s="1"/>
  <c r="M63" i="9"/>
  <c r="H82" i="23" s="1"/>
  <c r="M57" i="9"/>
  <c r="H76" i="23" s="1"/>
  <c r="N48" i="9"/>
  <c r="N49" i="9"/>
  <c r="N50" i="9"/>
  <c r="I65" i="23" s="1"/>
  <c r="N51" i="9"/>
  <c r="I66" i="23" s="1"/>
  <c r="N52" i="9"/>
  <c r="I67" i="23" s="1"/>
  <c r="N53" i="9"/>
  <c r="I68" i="23" s="1"/>
  <c r="N54" i="9"/>
  <c r="I69" i="23" s="1"/>
  <c r="N47" i="9"/>
  <c r="I62" i="23" s="1"/>
  <c r="M48" i="9"/>
  <c r="H63" i="23" s="1"/>
  <c r="M49" i="9"/>
  <c r="H64" i="23" s="1"/>
  <c r="M50" i="9"/>
  <c r="H65" i="23" s="1"/>
  <c r="J65" i="23" s="1"/>
  <c r="M51" i="9"/>
  <c r="H66" i="23" s="1"/>
  <c r="M52" i="9"/>
  <c r="H67" i="23" s="1"/>
  <c r="M53" i="9"/>
  <c r="H68" i="23" s="1"/>
  <c r="M54" i="9"/>
  <c r="H69" i="23" s="1"/>
  <c r="M47" i="9"/>
  <c r="H62" i="23" s="1"/>
  <c r="N36" i="9"/>
  <c r="I49" i="23" s="1"/>
  <c r="N37" i="9"/>
  <c r="I50" i="23" s="1"/>
  <c r="N38" i="9"/>
  <c r="I51" i="23" s="1"/>
  <c r="N39" i="9"/>
  <c r="I52" i="23" s="1"/>
  <c r="N40" i="9"/>
  <c r="I53" i="23" s="1"/>
  <c r="N41" i="9"/>
  <c r="I54" i="23" s="1"/>
  <c r="N42" i="9"/>
  <c r="N43" i="9"/>
  <c r="N44" i="9"/>
  <c r="N45" i="9"/>
  <c r="N35" i="9"/>
  <c r="I48" i="23" s="1"/>
  <c r="M36" i="9"/>
  <c r="H49" i="23" s="1"/>
  <c r="M37" i="9"/>
  <c r="H50" i="23" s="1"/>
  <c r="M38" i="9"/>
  <c r="H51" i="23" s="1"/>
  <c r="M39" i="9"/>
  <c r="H52" i="23" s="1"/>
  <c r="M40" i="9"/>
  <c r="H53" i="23" s="1"/>
  <c r="M41" i="9"/>
  <c r="H54" i="23" s="1"/>
  <c r="M42" i="9"/>
  <c r="M43" i="9"/>
  <c r="M44" i="9"/>
  <c r="H55" i="23" s="1"/>
  <c r="M45" i="9"/>
  <c r="M35" i="9"/>
  <c r="H48" i="23" s="1"/>
  <c r="N32" i="9"/>
  <c r="I41" i="23" s="1"/>
  <c r="N31" i="9"/>
  <c r="M32" i="9"/>
  <c r="H41" i="23" s="1"/>
  <c r="M31" i="9"/>
  <c r="N21" i="9"/>
  <c r="I25" i="23" s="1"/>
  <c r="N22" i="9"/>
  <c r="I26" i="23" s="1"/>
  <c r="N23" i="9"/>
  <c r="I27" i="23" s="1"/>
  <c r="N24" i="9"/>
  <c r="I28" i="23" s="1"/>
  <c r="N25" i="9"/>
  <c r="I29" i="23" s="1"/>
  <c r="N26" i="9"/>
  <c r="I30" i="23" s="1"/>
  <c r="N27" i="9"/>
  <c r="I31" i="23" s="1"/>
  <c r="N28" i="9"/>
  <c r="I32" i="23" s="1"/>
  <c r="N29" i="9"/>
  <c r="I33" i="23" s="1"/>
  <c r="N20" i="9"/>
  <c r="I24" i="23" s="1"/>
  <c r="M21" i="9"/>
  <c r="H25" i="23" s="1"/>
  <c r="M22" i="9"/>
  <c r="H26" i="23" s="1"/>
  <c r="M23" i="9"/>
  <c r="H27" i="23" s="1"/>
  <c r="M24" i="9"/>
  <c r="H28" i="23" s="1"/>
  <c r="M26" i="9"/>
  <c r="H30" i="23" s="1"/>
  <c r="M27" i="9"/>
  <c r="H31" i="23" s="1"/>
  <c r="M28" i="9"/>
  <c r="H32" i="23" s="1"/>
  <c r="M29" i="9"/>
  <c r="H33" i="23" s="1"/>
  <c r="M20" i="9"/>
  <c r="H24" i="23" s="1"/>
  <c r="N8" i="9"/>
  <c r="N9" i="9"/>
  <c r="N10" i="9"/>
  <c r="N11" i="9"/>
  <c r="N12" i="9"/>
  <c r="I14" i="23" s="1"/>
  <c r="N13" i="9"/>
  <c r="N14" i="9"/>
  <c r="N15" i="9"/>
  <c r="I15" i="23" s="1"/>
  <c r="N16" i="9"/>
  <c r="N17" i="9"/>
  <c r="I17" i="23" s="1"/>
  <c r="N18" i="9"/>
  <c r="N7" i="9"/>
  <c r="M8" i="9"/>
  <c r="H10" i="23" s="1"/>
  <c r="M9" i="9"/>
  <c r="H11" i="23" s="1"/>
  <c r="M10" i="9"/>
  <c r="H12" i="23" s="1"/>
  <c r="M11" i="9"/>
  <c r="H13" i="23" s="1"/>
  <c r="M12" i="9"/>
  <c r="H14" i="23" s="1"/>
  <c r="M13" i="9"/>
  <c r="M14" i="9"/>
  <c r="M15" i="9"/>
  <c r="H15" i="23" s="1"/>
  <c r="M16" i="9"/>
  <c r="M17" i="9"/>
  <c r="H17" i="23" s="1"/>
  <c r="M18" i="9"/>
  <c r="M7" i="9"/>
  <c r="H9" i="23" s="1"/>
  <c r="J106" i="23" l="1"/>
  <c r="J105" i="23"/>
  <c r="J54" i="23"/>
  <c r="J104" i="23"/>
  <c r="H52" i="29"/>
  <c r="P36" i="9"/>
  <c r="N88" i="9"/>
  <c r="I131" i="23"/>
  <c r="J131" i="23" s="1"/>
  <c r="N95" i="9"/>
  <c r="I90" i="23"/>
  <c r="J90" i="23" s="1"/>
  <c r="N64" i="9"/>
  <c r="J69" i="23"/>
  <c r="H16" i="23"/>
  <c r="M6" i="9"/>
  <c r="N111" i="9"/>
  <c r="I101" i="23"/>
  <c r="I115" i="23" s="1"/>
  <c r="N70" i="9"/>
  <c r="N69" i="9" s="1"/>
  <c r="I78" i="23"/>
  <c r="J78" i="23" s="1"/>
  <c r="N56" i="9"/>
  <c r="N55" i="9" s="1"/>
  <c r="I63" i="23"/>
  <c r="J63" i="23" s="1"/>
  <c r="N46" i="9"/>
  <c r="I16" i="23"/>
  <c r="I19" i="23" s="1"/>
  <c r="N6" i="9"/>
  <c r="J89" i="23"/>
  <c r="J98" i="23"/>
  <c r="J62" i="23"/>
  <c r="J52" i="23"/>
  <c r="J80" i="23"/>
  <c r="J121" i="23"/>
  <c r="J133" i="23"/>
  <c r="J100" i="23"/>
  <c r="M30" i="9"/>
  <c r="J132" i="23"/>
  <c r="J68" i="23"/>
  <c r="J155" i="23"/>
  <c r="I153" i="23"/>
  <c r="I158" i="23" s="1"/>
  <c r="J120" i="23"/>
  <c r="J108" i="23"/>
  <c r="J91" i="23"/>
  <c r="J81" i="23"/>
  <c r="N30" i="9"/>
  <c r="J31" i="23"/>
  <c r="J17" i="23"/>
  <c r="J14" i="23"/>
  <c r="J107" i="23"/>
  <c r="J103" i="23"/>
  <c r="J123" i="23"/>
  <c r="I122" i="23"/>
  <c r="J122" i="23" s="1"/>
  <c r="J82" i="23"/>
  <c r="I77" i="23"/>
  <c r="J77" i="23" s="1"/>
  <c r="H40" i="23"/>
  <c r="J30" i="23"/>
  <c r="H157" i="23"/>
  <c r="I40" i="23"/>
  <c r="J67" i="23"/>
  <c r="J76" i="23"/>
  <c r="J66" i="23"/>
  <c r="J15" i="23"/>
  <c r="J32" i="23"/>
  <c r="J102" i="23"/>
  <c r="J41" i="23"/>
  <c r="J51" i="23"/>
  <c r="I64" i="23"/>
  <c r="J64" i="23" s="1"/>
  <c r="M56" i="9"/>
  <c r="M64" i="9"/>
  <c r="I130" i="23"/>
  <c r="J130" i="23" s="1"/>
  <c r="J154" i="23"/>
  <c r="J53" i="23"/>
  <c r="J79" i="23"/>
  <c r="J55" i="23"/>
  <c r="J156" i="23"/>
  <c r="M70" i="9"/>
  <c r="H101" i="23"/>
  <c r="N34" i="9"/>
  <c r="M34" i="9"/>
  <c r="N19" i="9"/>
  <c r="O30" i="9" l="1"/>
  <c r="N87" i="9"/>
  <c r="J40" i="23"/>
  <c r="I44" i="23"/>
  <c r="O6" i="9"/>
  <c r="I20" i="23" s="1"/>
  <c r="J101" i="23"/>
  <c r="I93" i="23"/>
  <c r="J16" i="23"/>
  <c r="N5" i="9"/>
  <c r="N33" i="9"/>
  <c r="M55" i="9"/>
  <c r="I135" i="23"/>
  <c r="H134" i="23"/>
  <c r="I125" i="23"/>
  <c r="H124" i="23"/>
  <c r="H114" i="23"/>
  <c r="H92" i="23"/>
  <c r="I84" i="23"/>
  <c r="H83" i="23"/>
  <c r="I71" i="23"/>
  <c r="H70" i="23"/>
  <c r="H56" i="23"/>
  <c r="I43" i="23"/>
  <c r="H42" i="23"/>
  <c r="I35" i="23"/>
  <c r="H18" i="23"/>
  <c r="J18" i="23" s="1"/>
  <c r="J25" i="23"/>
  <c r="J26" i="23"/>
  <c r="J27" i="23"/>
  <c r="J28" i="23"/>
  <c r="J33" i="23"/>
  <c r="J24" i="23"/>
  <c r="J10" i="23"/>
  <c r="J11" i="23"/>
  <c r="J12" i="23"/>
  <c r="J13" i="23"/>
  <c r="J9" i="23"/>
  <c r="N110" i="9"/>
  <c r="I145" i="23" s="1"/>
  <c r="H145" i="23"/>
  <c r="N103" i="9"/>
  <c r="I141" i="23" s="1"/>
  <c r="N104" i="9"/>
  <c r="I142" i="23" s="1"/>
  <c r="N102" i="9"/>
  <c r="I140" i="23" s="1"/>
  <c r="H142" i="23"/>
  <c r="J83" i="23" l="1"/>
  <c r="H146" i="23"/>
  <c r="I147" i="23"/>
  <c r="J92" i="23"/>
  <c r="J124" i="23"/>
  <c r="J70" i="23"/>
  <c r="J42" i="23"/>
  <c r="J140" i="23"/>
  <c r="J142" i="23"/>
  <c r="J141" i="23"/>
  <c r="J153" i="23"/>
  <c r="J145" i="23"/>
  <c r="J134" i="23"/>
  <c r="J114" i="23"/>
  <c r="O104" i="9"/>
  <c r="O103" i="9"/>
  <c r="J146" i="23" l="1"/>
  <c r="J158" i="23"/>
  <c r="J152" i="23"/>
  <c r="G63" i="23"/>
  <c r="E49" i="9"/>
  <c r="E50" i="9"/>
  <c r="E51" i="9"/>
  <c r="E52" i="9"/>
  <c r="E53" i="9"/>
  <c r="E47" i="9"/>
  <c r="E36" i="9"/>
  <c r="E37" i="9"/>
  <c r="G50" i="23" s="1"/>
  <c r="E38" i="9"/>
  <c r="G51" i="23" s="1"/>
  <c r="E39" i="9"/>
  <c r="G52" i="23" s="1"/>
  <c r="E40" i="9"/>
  <c r="E35" i="9"/>
  <c r="G48" i="23" s="1"/>
  <c r="E72" i="9"/>
  <c r="G99" i="23" s="1"/>
  <c r="E73" i="9"/>
  <c r="G100" i="23" s="1"/>
  <c r="E74" i="9"/>
  <c r="G101" i="23" s="1"/>
  <c r="E75" i="9"/>
  <c r="G102" i="23" s="1"/>
  <c r="E76" i="9"/>
  <c r="G103" i="23" s="1"/>
  <c r="E77" i="9"/>
  <c r="G104" i="23" s="1"/>
  <c r="E78" i="9"/>
  <c r="G105" i="23" s="1"/>
  <c r="E79" i="9"/>
  <c r="G106" i="23" s="1"/>
  <c r="E80" i="9"/>
  <c r="G107" i="23" s="1"/>
  <c r="E81" i="9"/>
  <c r="G108" i="23" s="1"/>
  <c r="E82" i="9"/>
  <c r="G109" i="23" s="1"/>
  <c r="E83" i="9"/>
  <c r="G110" i="23" s="1"/>
  <c r="E84" i="9"/>
  <c r="G111" i="23" s="1"/>
  <c r="E85" i="9"/>
  <c r="G112" i="23" s="1"/>
  <c r="E71" i="9"/>
  <c r="G98" i="23" s="1"/>
  <c r="G68" i="23" l="1"/>
  <c r="G67" i="23"/>
  <c r="G66" i="23"/>
  <c r="G65" i="23"/>
  <c r="G62" i="23"/>
  <c r="G49" i="23"/>
  <c r="G64" i="23"/>
  <c r="E32" i="9"/>
  <c r="G41" i="23" s="1"/>
  <c r="E31" i="9"/>
  <c r="G40" i="23" s="1"/>
  <c r="E57" i="9"/>
  <c r="G76" i="23" s="1"/>
  <c r="E21" i="9"/>
  <c r="G25" i="23" s="1"/>
  <c r="E22" i="9"/>
  <c r="G26" i="23" s="1"/>
  <c r="E23" i="9"/>
  <c r="G27" i="23" s="1"/>
  <c r="E24" i="9"/>
  <c r="G28" i="23" s="1"/>
  <c r="E25" i="9"/>
  <c r="G29" i="23" s="1"/>
  <c r="E26" i="9"/>
  <c r="G30" i="23" s="1"/>
  <c r="E27" i="9"/>
  <c r="G31" i="23" s="1"/>
  <c r="E28" i="9"/>
  <c r="G32" i="23" s="1"/>
  <c r="E29" i="9"/>
  <c r="G33" i="23" s="1"/>
  <c r="E20" i="9"/>
  <c r="G24" i="23" s="1"/>
  <c r="D48" i="9" l="1"/>
  <c r="F48" i="9" s="1"/>
  <c r="D49" i="9"/>
  <c r="D50" i="9"/>
  <c r="F50" i="9" s="1"/>
  <c r="D51" i="9"/>
  <c r="F51" i="9" s="1"/>
  <c r="D52" i="9"/>
  <c r="F52" i="9" s="1"/>
  <c r="D53" i="9"/>
  <c r="F53" i="9" s="1"/>
  <c r="D54" i="9"/>
  <c r="D47" i="9"/>
  <c r="F47" i="9" s="1"/>
  <c r="E113" i="9"/>
  <c r="G153" i="23" s="1"/>
  <c r="E115" i="9"/>
  <c r="E116" i="9"/>
  <c r="E103" i="9"/>
  <c r="G141" i="23" s="1"/>
  <c r="E104" i="9"/>
  <c r="G142" i="23" s="1"/>
  <c r="E106" i="9"/>
  <c r="G143" i="23" s="1"/>
  <c r="E108" i="9"/>
  <c r="G144" i="23" s="1"/>
  <c r="E102" i="9"/>
  <c r="G140" i="23" s="1"/>
  <c r="E97" i="9"/>
  <c r="G131" i="23" s="1"/>
  <c r="E98" i="9"/>
  <c r="G132" i="23" s="1"/>
  <c r="E99" i="9"/>
  <c r="G133" i="23" s="1"/>
  <c r="E96" i="9"/>
  <c r="G130" i="23" s="1"/>
  <c r="E90" i="9"/>
  <c r="G121" i="23" s="1"/>
  <c r="E92" i="9"/>
  <c r="G122" i="23" s="1"/>
  <c r="E89" i="9"/>
  <c r="G120" i="23" s="1"/>
  <c r="E66" i="9"/>
  <c r="G90" i="23" s="1"/>
  <c r="E67" i="9"/>
  <c r="E68" i="9"/>
  <c r="G91" i="23" s="1"/>
  <c r="E65" i="9"/>
  <c r="G89" i="23" s="1"/>
  <c r="E58" i="9"/>
  <c r="G77" i="23" s="1"/>
  <c r="E59" i="9"/>
  <c r="G78" i="23" s="1"/>
  <c r="E60" i="9"/>
  <c r="G79" i="23" s="1"/>
  <c r="E61" i="9"/>
  <c r="G80" i="23" s="1"/>
  <c r="E62" i="9"/>
  <c r="G81" i="23" s="1"/>
  <c r="E43" i="9"/>
  <c r="G54" i="23" s="1"/>
  <c r="E44" i="9"/>
  <c r="G55" i="23" s="1"/>
  <c r="E8" i="9"/>
  <c r="E9" i="9"/>
  <c r="G11" i="23" s="1"/>
  <c r="E10" i="9"/>
  <c r="G12" i="23" s="1"/>
  <c r="E11" i="9"/>
  <c r="G13" i="23" s="1"/>
  <c r="E12" i="9"/>
  <c r="E15" i="9"/>
  <c r="G15" i="23" s="1"/>
  <c r="E16" i="9"/>
  <c r="G16" i="23" s="1"/>
  <c r="E17" i="9"/>
  <c r="G17" i="23" s="1"/>
  <c r="E7" i="9"/>
  <c r="D36" i="9"/>
  <c r="F36" i="9" s="1"/>
  <c r="D37" i="9"/>
  <c r="D38" i="9"/>
  <c r="D39" i="9"/>
  <c r="D40" i="9"/>
  <c r="D41" i="9"/>
  <c r="D42" i="9"/>
  <c r="D43" i="9"/>
  <c r="D44" i="9"/>
  <c r="D35" i="9"/>
  <c r="G14" i="23" l="1"/>
  <c r="F46" i="9"/>
  <c r="G155" i="23"/>
  <c r="G154" i="23"/>
  <c r="G9" i="23"/>
  <c r="G10" i="23"/>
  <c r="M101" i="9"/>
  <c r="M95" i="9"/>
  <c r="M88" i="9"/>
  <c r="F44" i="9"/>
  <c r="F43" i="9"/>
  <c r="F40" i="9"/>
  <c r="F38" i="9"/>
  <c r="F37" i="9"/>
  <c r="F35" i="9"/>
  <c r="D116" i="9"/>
  <c r="F116" i="9" s="1"/>
  <c r="D115" i="9"/>
  <c r="F115" i="9" s="1"/>
  <c r="D114" i="9"/>
  <c r="D113" i="9"/>
  <c r="F113" i="9" s="1"/>
  <c r="D112" i="9"/>
  <c r="F112" i="9" s="1"/>
  <c r="D109" i="9"/>
  <c r="D108" i="9"/>
  <c r="F108" i="9" s="1"/>
  <c r="D107" i="9"/>
  <c r="D106" i="9"/>
  <c r="F106" i="9" s="1"/>
  <c r="D105" i="9"/>
  <c r="D104" i="9"/>
  <c r="F104" i="9" s="1"/>
  <c r="D103" i="9"/>
  <c r="F103" i="9" s="1"/>
  <c r="D102" i="9"/>
  <c r="F102" i="9" s="1"/>
  <c r="D99" i="9"/>
  <c r="F99" i="9" s="1"/>
  <c r="D98" i="9"/>
  <c r="F98" i="9" s="1"/>
  <c r="D97" i="9"/>
  <c r="F97" i="9" s="1"/>
  <c r="D96" i="9"/>
  <c r="F96" i="9" s="1"/>
  <c r="D93" i="9"/>
  <c r="D92" i="9"/>
  <c r="F92" i="9" s="1"/>
  <c r="D91" i="9"/>
  <c r="D90" i="9"/>
  <c r="F90" i="9" s="1"/>
  <c r="D89" i="9"/>
  <c r="F89" i="9" s="1"/>
  <c r="D85" i="9"/>
  <c r="F85" i="9" s="1"/>
  <c r="D84" i="9"/>
  <c r="F84" i="9" s="1"/>
  <c r="D83" i="9"/>
  <c r="F83" i="9" s="1"/>
  <c r="D82" i="9"/>
  <c r="F82" i="9" s="1"/>
  <c r="D81" i="9"/>
  <c r="F81" i="9" s="1"/>
  <c r="D80" i="9"/>
  <c r="F80" i="9" s="1"/>
  <c r="D79" i="9"/>
  <c r="F79" i="9" s="1"/>
  <c r="D78" i="9"/>
  <c r="F78" i="9" s="1"/>
  <c r="D77" i="9"/>
  <c r="F77" i="9" s="1"/>
  <c r="D76" i="9"/>
  <c r="F76" i="9" s="1"/>
  <c r="D75" i="9"/>
  <c r="F75" i="9" s="1"/>
  <c r="D74" i="9"/>
  <c r="F74" i="9" s="1"/>
  <c r="D73" i="9"/>
  <c r="F73" i="9" s="1"/>
  <c r="D72" i="9"/>
  <c r="F72" i="9" s="1"/>
  <c r="D71" i="9"/>
  <c r="F71" i="9" s="1"/>
  <c r="D68" i="9"/>
  <c r="F68" i="9" s="1"/>
  <c r="D66" i="9"/>
  <c r="F66" i="9" s="1"/>
  <c r="D65" i="9"/>
  <c r="F65" i="9" s="1"/>
  <c r="D62" i="9"/>
  <c r="F62" i="9" s="1"/>
  <c r="D61" i="9"/>
  <c r="F61" i="9" s="1"/>
  <c r="D60" i="9"/>
  <c r="F60" i="9" s="1"/>
  <c r="D59" i="9"/>
  <c r="F59" i="9" s="1"/>
  <c r="D58" i="9"/>
  <c r="F58" i="9" s="1"/>
  <c r="D57" i="9"/>
  <c r="F57" i="9" s="1"/>
  <c r="D32" i="9"/>
  <c r="D31" i="9"/>
  <c r="F31" i="9" s="1"/>
  <c r="D29" i="9"/>
  <c r="F29" i="9" s="1"/>
  <c r="D28" i="9"/>
  <c r="D27" i="9"/>
  <c r="F27" i="9" s="1"/>
  <c r="D26" i="9"/>
  <c r="F26" i="9" s="1"/>
  <c r="D25" i="9"/>
  <c r="F25" i="9" s="1"/>
  <c r="D24" i="9"/>
  <c r="F24" i="9" s="1"/>
  <c r="D23" i="9"/>
  <c r="D22" i="9"/>
  <c r="F22" i="9" s="1"/>
  <c r="D21" i="9"/>
  <c r="F21" i="9" s="1"/>
  <c r="D20" i="9"/>
  <c r="F20" i="9" s="1"/>
  <c r="D18" i="9"/>
  <c r="D17" i="9"/>
  <c r="F17" i="9" s="1"/>
  <c r="D16" i="9"/>
  <c r="F16" i="9" s="1"/>
  <c r="D15" i="9"/>
  <c r="F15" i="9" s="1"/>
  <c r="D14" i="9"/>
  <c r="D13" i="9"/>
  <c r="D12" i="9"/>
  <c r="F12" i="9" s="1"/>
  <c r="D11" i="9"/>
  <c r="F11" i="9" s="1"/>
  <c r="D10" i="9"/>
  <c r="F10" i="9" s="1"/>
  <c r="D9" i="9"/>
  <c r="F9" i="9" s="1"/>
  <c r="D8" i="9"/>
  <c r="F8" i="9" s="1"/>
  <c r="D7" i="9"/>
  <c r="F32" i="9"/>
  <c r="N109" i="9"/>
  <c r="N108" i="9"/>
  <c r="N107" i="9"/>
  <c r="N105" i="9"/>
  <c r="W111" i="19"/>
  <c r="W101" i="19"/>
  <c r="W6" i="19"/>
  <c r="W95" i="19"/>
  <c r="W88" i="19"/>
  <c r="W70" i="19"/>
  <c r="Z70" i="19" s="1"/>
  <c r="W64" i="19"/>
  <c r="W56" i="19"/>
  <c r="W46" i="19"/>
  <c r="W34" i="19"/>
  <c r="W30" i="19"/>
  <c r="W19" i="19"/>
  <c r="W69" i="19" l="1"/>
  <c r="F19" i="9"/>
  <c r="I37" i="23" s="1"/>
  <c r="F30" i="9"/>
  <c r="N101" i="9"/>
  <c r="N100" i="9" s="1"/>
  <c r="N118" i="9" s="1"/>
  <c r="I162" i="23" s="1"/>
  <c r="F101" i="9"/>
  <c r="F34" i="9"/>
  <c r="I59" i="23" s="1"/>
  <c r="F111" i="9"/>
  <c r="F64" i="9"/>
  <c r="F6" i="9"/>
  <c r="W87" i="19"/>
  <c r="W55" i="19"/>
  <c r="W33" i="19"/>
  <c r="W5" i="19"/>
  <c r="M111" i="9"/>
  <c r="M46" i="9"/>
  <c r="M33" i="9" s="1"/>
  <c r="M69" i="9"/>
  <c r="F95" i="9"/>
  <c r="F88" i="9"/>
  <c r="F70" i="9"/>
  <c r="F56" i="9"/>
  <c r="M87" i="9"/>
  <c r="W100" i="19"/>
  <c r="I21" i="23" l="1"/>
  <c r="F5" i="9"/>
  <c r="W118" i="19"/>
  <c r="W122" i="19" s="1"/>
  <c r="M100" i="9"/>
  <c r="I95" i="23"/>
  <c r="I102" i="29"/>
  <c r="I73" i="23"/>
  <c r="I117" i="23"/>
  <c r="I160" i="23"/>
  <c r="I127" i="23"/>
  <c r="I137" i="23"/>
  <c r="I149" i="23"/>
  <c r="I45" i="23"/>
  <c r="I86" i="23"/>
  <c r="F33" i="9"/>
  <c r="F87" i="9"/>
  <c r="F55" i="9"/>
  <c r="F100" i="9"/>
  <c r="F69" i="9"/>
  <c r="G51" i="29"/>
  <c r="F22" i="19"/>
  <c r="G29" i="29" s="1"/>
  <c r="G150" i="29"/>
  <c r="G14" i="29"/>
  <c r="F118" i="9" l="1"/>
  <c r="D81" i="19"/>
  <c r="F115" i="29" s="1"/>
  <c r="D80" i="19"/>
  <c r="F114" i="29" s="1"/>
  <c r="D78" i="19"/>
  <c r="I78" i="9" l="1"/>
  <c r="F112" i="29"/>
  <c r="J78" i="9"/>
  <c r="K78" i="9" s="1"/>
  <c r="G112" i="29"/>
  <c r="I164" i="23"/>
  <c r="C50" i="27"/>
  <c r="C49" i="27" s="1"/>
  <c r="D49" i="27"/>
  <c r="C45" i="27"/>
  <c r="C44" i="27"/>
  <c r="D44" i="27" s="1"/>
  <c r="C43" i="27"/>
  <c r="D43" i="27" s="1"/>
  <c r="C40" i="27"/>
  <c r="C32" i="27"/>
  <c r="C31" i="27"/>
  <c r="C29" i="27"/>
  <c r="C28" i="27"/>
  <c r="C26" i="27"/>
  <c r="D25" i="27"/>
  <c r="C21" i="27"/>
  <c r="C20" i="27" s="1"/>
  <c r="D20" i="27"/>
  <c r="C15" i="27"/>
  <c r="C13" i="27" s="1"/>
  <c r="D13" i="27"/>
  <c r="C10" i="27"/>
  <c r="C8" i="27" s="1"/>
  <c r="D8" i="27"/>
  <c r="D41" i="27" l="1"/>
  <c r="D33" i="27" s="1"/>
  <c r="D12" i="27"/>
  <c r="D7" i="27" s="1"/>
  <c r="C25" i="27"/>
  <c r="C12" i="27" s="1"/>
  <c r="C7" i="27" s="1"/>
  <c r="C41" i="27"/>
  <c r="C33" i="27" s="1"/>
  <c r="D6" i="27" l="1"/>
  <c r="D54" i="27" s="1"/>
  <c r="C6" i="27"/>
  <c r="C54" i="27" s="1"/>
  <c r="U46" i="19" l="1"/>
  <c r="Z46" i="19" s="1"/>
  <c r="T95" i="19" l="1"/>
  <c r="T87" i="19" s="1"/>
  <c r="T100" i="19"/>
  <c r="T69" i="19"/>
  <c r="T55" i="19"/>
  <c r="T33" i="19"/>
  <c r="T5" i="19"/>
  <c r="U25" i="19"/>
  <c r="U19" i="19" s="1"/>
  <c r="Z19" i="19" s="1"/>
  <c r="U6" i="19"/>
  <c r="M25" i="9" l="1"/>
  <c r="H29" i="23" l="1"/>
  <c r="J29" i="23" s="1"/>
  <c r="M19" i="9"/>
  <c r="O19" i="9" s="1"/>
  <c r="I36" i="23" s="1"/>
  <c r="G84" i="29"/>
  <c r="F58" i="19"/>
  <c r="G83" i="29" s="1"/>
  <c r="F114" i="19"/>
  <c r="G166" i="29" s="1"/>
  <c r="F99" i="19"/>
  <c r="G142" i="29" s="1"/>
  <c r="M5" i="9" l="1"/>
  <c r="M118" i="9" s="1"/>
  <c r="H34" i="23"/>
  <c r="J34" i="23" s="1"/>
  <c r="F52" i="19"/>
  <c r="G73" i="29" s="1"/>
  <c r="G74" i="29"/>
  <c r="D53" i="19"/>
  <c r="F74" i="29" s="1"/>
  <c r="D52" i="19"/>
  <c r="F73" i="29" s="1"/>
  <c r="O118" i="9" l="1"/>
  <c r="I163" i="23" s="1"/>
  <c r="G69" i="29"/>
  <c r="T69" i="29" s="1"/>
  <c r="F41" i="19"/>
  <c r="G57" i="29" s="1"/>
  <c r="G56" i="29"/>
  <c r="F29" i="19"/>
  <c r="G36" i="29" s="1"/>
  <c r="G19" i="29"/>
  <c r="D15" i="19"/>
  <c r="F17" i="29" s="1"/>
  <c r="F16" i="19"/>
  <c r="G18" i="29" s="1"/>
  <c r="F15" i="19"/>
  <c r="G17" i="29" s="1"/>
  <c r="D16" i="19"/>
  <c r="F18" i="29" s="1"/>
  <c r="F13" i="19"/>
  <c r="G15" i="29" s="1"/>
  <c r="G13" i="29"/>
  <c r="K12" i="9"/>
  <c r="I17" i="9" l="1"/>
  <c r="F19" i="29"/>
  <c r="D10" i="19"/>
  <c r="F12" i="29" s="1"/>
  <c r="F10" i="19" l="1"/>
  <c r="G12" i="29" s="1"/>
  <c r="D9" i="19"/>
  <c r="F11" i="29" s="1"/>
  <c r="F9" i="29"/>
  <c r="F7" i="19"/>
  <c r="G9" i="29" s="1"/>
  <c r="F8" i="19"/>
  <c r="I8" i="9" l="1"/>
  <c r="F10" i="29"/>
  <c r="J8" i="9"/>
  <c r="G10" i="29"/>
  <c r="V118" i="19"/>
  <c r="U111" i="19"/>
  <c r="U100" i="19" s="1"/>
  <c r="U88" i="19"/>
  <c r="U87" i="19" s="1"/>
  <c r="U70" i="19"/>
  <c r="U69" i="19" s="1"/>
  <c r="U64" i="19"/>
  <c r="U56" i="19"/>
  <c r="S46" i="19"/>
  <c r="U34" i="19"/>
  <c r="U33" i="19" s="1"/>
  <c r="U30" i="19"/>
  <c r="U5" i="19" s="1"/>
  <c r="S6" i="19"/>
  <c r="U55" i="19" l="1"/>
  <c r="U118" i="19"/>
  <c r="U129" i="19" l="1"/>
  <c r="G123" i="19"/>
  <c r="U122" i="19"/>
  <c r="E84" i="19"/>
  <c r="P84" i="9" l="1"/>
  <c r="H118" i="29"/>
  <c r="Q64" i="19"/>
  <c r="Q70" i="19"/>
  <c r="Q69" i="19" s="1"/>
  <c r="Q88" i="19"/>
  <c r="Q95" i="19"/>
  <c r="Q101" i="19"/>
  <c r="Q111" i="19"/>
  <c r="R118" i="19"/>
  <c r="Q100" i="19" l="1"/>
  <c r="Q87" i="19"/>
  <c r="E10" i="19" l="1"/>
  <c r="E8" i="19"/>
  <c r="H10" i="29" l="1"/>
  <c r="J10" i="29" s="1"/>
  <c r="P8" i="9"/>
  <c r="H12" i="29"/>
  <c r="P10" i="9"/>
  <c r="Y9" i="19"/>
  <c r="Y10" i="19"/>
  <c r="Y112" i="19"/>
  <c r="Y65" i="19"/>
  <c r="Y66" i="19"/>
  <c r="Y58" i="19"/>
  <c r="Y59" i="19"/>
  <c r="Y53" i="19"/>
  <c r="Y52" i="19"/>
  <c r="Y50" i="19"/>
  <c r="Y51" i="19"/>
  <c r="Q46" i="19"/>
  <c r="C86" i="9"/>
  <c r="I63" i="9"/>
  <c r="C110" i="9"/>
  <c r="C94" i="9"/>
  <c r="J63" i="9"/>
  <c r="J54" i="9"/>
  <c r="I54" i="9"/>
  <c r="C63" i="9"/>
  <c r="O32" i="9"/>
  <c r="M101" i="19"/>
  <c r="O95" i="19"/>
  <c r="M95" i="19"/>
  <c r="O88" i="19"/>
  <c r="O76" i="19"/>
  <c r="G76" i="19" s="1"/>
  <c r="O75" i="19"/>
  <c r="G75" i="19" s="1"/>
  <c r="O6" i="19"/>
  <c r="M70" i="19"/>
  <c r="M69" i="19" s="1"/>
  <c r="O64" i="19"/>
  <c r="M64" i="19"/>
  <c r="O56" i="19"/>
  <c r="M56" i="19"/>
  <c r="O46" i="19"/>
  <c r="M46" i="19"/>
  <c r="O34" i="19"/>
  <c r="M34" i="19"/>
  <c r="O30" i="19"/>
  <c r="M30" i="19"/>
  <c r="O19" i="19"/>
  <c r="M19" i="19"/>
  <c r="F102" i="19"/>
  <c r="G107" i="19"/>
  <c r="J7" i="9"/>
  <c r="I7" i="9"/>
  <c r="G116" i="19"/>
  <c r="I46" i="19"/>
  <c r="I30" i="19"/>
  <c r="I6" i="19"/>
  <c r="G102" i="19"/>
  <c r="G17" i="19"/>
  <c r="G16" i="19"/>
  <c r="Q56" i="19"/>
  <c r="Q55" i="19" s="1"/>
  <c r="Q6" i="19"/>
  <c r="Q19" i="19"/>
  <c r="Q30" i="19"/>
  <c r="Q34" i="19"/>
  <c r="I51" i="9"/>
  <c r="I21" i="9"/>
  <c r="O101" i="19"/>
  <c r="F116" i="19"/>
  <c r="J114" i="9"/>
  <c r="F109" i="19"/>
  <c r="F108" i="19"/>
  <c r="F107" i="19"/>
  <c r="F105" i="19"/>
  <c r="F104" i="19"/>
  <c r="J103" i="9"/>
  <c r="F97" i="19"/>
  <c r="F96" i="19"/>
  <c r="F93" i="19"/>
  <c r="F92" i="19"/>
  <c r="F91" i="19"/>
  <c r="F90" i="19"/>
  <c r="F89" i="19"/>
  <c r="F85" i="19"/>
  <c r="F84" i="19"/>
  <c r="F83" i="19"/>
  <c r="F82" i="19"/>
  <c r="F81" i="19"/>
  <c r="F80" i="19"/>
  <c r="F79" i="19"/>
  <c r="F77" i="19"/>
  <c r="F73" i="19"/>
  <c r="F72" i="19"/>
  <c r="F71" i="19"/>
  <c r="F67" i="19"/>
  <c r="F66" i="19"/>
  <c r="F65" i="19"/>
  <c r="F62" i="19"/>
  <c r="F61" i="19"/>
  <c r="F60" i="19"/>
  <c r="G85" i="29" s="1"/>
  <c r="J59" i="9"/>
  <c r="J58" i="9"/>
  <c r="J53" i="9"/>
  <c r="J51" i="9"/>
  <c r="J50" i="9"/>
  <c r="F42" i="19"/>
  <c r="J41" i="9"/>
  <c r="J40" i="9"/>
  <c r="F38" i="19"/>
  <c r="J36" i="9"/>
  <c r="D32" i="19"/>
  <c r="F31" i="19"/>
  <c r="G43" i="29" s="1"/>
  <c r="J29" i="9"/>
  <c r="D29" i="19"/>
  <c r="F27" i="19"/>
  <c r="J26" i="9"/>
  <c r="D25" i="19"/>
  <c r="D24" i="19"/>
  <c r="D22" i="19"/>
  <c r="J22" i="9"/>
  <c r="F18" i="19"/>
  <c r="J17" i="9"/>
  <c r="K17" i="9" s="1"/>
  <c r="J16" i="9"/>
  <c r="J15" i="9"/>
  <c r="J13" i="9"/>
  <c r="J11" i="9"/>
  <c r="J10" i="9"/>
  <c r="I10" i="9"/>
  <c r="F9" i="19"/>
  <c r="D43" i="19"/>
  <c r="D40" i="19"/>
  <c r="D38" i="19"/>
  <c r="F25" i="19"/>
  <c r="I112" i="9"/>
  <c r="I103" i="9"/>
  <c r="I98" i="9"/>
  <c r="K98" i="9" s="1"/>
  <c r="I93" i="9"/>
  <c r="I76" i="9"/>
  <c r="I80" i="9"/>
  <c r="I81" i="9"/>
  <c r="I49" i="9"/>
  <c r="I48" i="9"/>
  <c r="I41" i="9"/>
  <c r="I27" i="9"/>
  <c r="I13" i="9"/>
  <c r="I11" i="9"/>
  <c r="I9" i="9"/>
  <c r="G98" i="19"/>
  <c r="I34" i="19"/>
  <c r="I64" i="19"/>
  <c r="E20" i="19"/>
  <c r="H27" i="29" s="1"/>
  <c r="J27" i="29" s="1"/>
  <c r="P112" i="9"/>
  <c r="E107" i="19"/>
  <c r="E71" i="19"/>
  <c r="E65" i="19"/>
  <c r="E58" i="19"/>
  <c r="E50" i="19"/>
  <c r="E52" i="19"/>
  <c r="E47" i="19"/>
  <c r="E37" i="19"/>
  <c r="E39" i="19"/>
  <c r="E41" i="19"/>
  <c r="E42" i="19"/>
  <c r="E43" i="19"/>
  <c r="E35" i="19"/>
  <c r="E22" i="19"/>
  <c r="E9" i="19"/>
  <c r="E13" i="19"/>
  <c r="P103" i="9"/>
  <c r="E105" i="19"/>
  <c r="E108" i="19"/>
  <c r="E109" i="19"/>
  <c r="E98" i="19"/>
  <c r="E99" i="19"/>
  <c r="E96" i="19"/>
  <c r="E92" i="19"/>
  <c r="E73" i="19"/>
  <c r="E75" i="19"/>
  <c r="E76" i="19"/>
  <c r="E83" i="19"/>
  <c r="E85" i="19"/>
  <c r="E68" i="19"/>
  <c r="E57" i="19"/>
  <c r="E27" i="19"/>
  <c r="E28" i="19"/>
  <c r="E29" i="19"/>
  <c r="E26" i="19"/>
  <c r="E24" i="19"/>
  <c r="E18" i="19"/>
  <c r="S19" i="19"/>
  <c r="N5" i="19"/>
  <c r="P5" i="19"/>
  <c r="M111" i="19"/>
  <c r="E106" i="19"/>
  <c r="E82" i="19"/>
  <c r="E66" i="19"/>
  <c r="E40" i="19"/>
  <c r="E15" i="19"/>
  <c r="E74" i="19"/>
  <c r="E60" i="19"/>
  <c r="D108" i="19"/>
  <c r="D23" i="19"/>
  <c r="I101" i="19"/>
  <c r="K6" i="19"/>
  <c r="G10" i="19"/>
  <c r="G21" i="19"/>
  <c r="G110" i="19"/>
  <c r="G109" i="19"/>
  <c r="G32" i="19"/>
  <c r="G31" i="19"/>
  <c r="G22" i="19"/>
  <c r="G23" i="19"/>
  <c r="G24" i="19"/>
  <c r="G25" i="19"/>
  <c r="G26" i="19"/>
  <c r="G27" i="19"/>
  <c r="G28" i="19"/>
  <c r="G29" i="19"/>
  <c r="G20" i="19"/>
  <c r="I27" i="29" s="1"/>
  <c r="G9" i="19"/>
  <c r="G11" i="19"/>
  <c r="G12" i="19"/>
  <c r="G13" i="19"/>
  <c r="G14" i="19"/>
  <c r="G15" i="19"/>
  <c r="G18" i="19"/>
  <c r="G36" i="19"/>
  <c r="G37" i="19"/>
  <c r="G38" i="19"/>
  <c r="G39" i="19"/>
  <c r="G40" i="19"/>
  <c r="G41" i="19"/>
  <c r="G42" i="19"/>
  <c r="G43" i="19"/>
  <c r="G45" i="19"/>
  <c r="G35" i="19"/>
  <c r="G49" i="19"/>
  <c r="G50" i="19"/>
  <c r="G51" i="19"/>
  <c r="G52" i="19"/>
  <c r="G54" i="19"/>
  <c r="G47" i="19"/>
  <c r="G58" i="19"/>
  <c r="G59" i="19"/>
  <c r="G60" i="19"/>
  <c r="G61" i="19"/>
  <c r="G63" i="19"/>
  <c r="G57" i="19"/>
  <c r="G66" i="19"/>
  <c r="G67" i="19"/>
  <c r="G68" i="19"/>
  <c r="G72" i="19"/>
  <c r="G73" i="19"/>
  <c r="G74" i="19"/>
  <c r="G78" i="19"/>
  <c r="G79" i="19"/>
  <c r="G81" i="19"/>
  <c r="G82" i="19"/>
  <c r="G83" i="19"/>
  <c r="G84" i="19"/>
  <c r="G85" i="19"/>
  <c r="G86" i="19"/>
  <c r="G71" i="19"/>
  <c r="G89" i="19"/>
  <c r="G90" i="19"/>
  <c r="G91" i="19"/>
  <c r="G92" i="19"/>
  <c r="G93" i="19"/>
  <c r="G94" i="19"/>
  <c r="G103" i="19"/>
  <c r="G115" i="19"/>
  <c r="Q117" i="9"/>
  <c r="G113" i="19"/>
  <c r="G114" i="19"/>
  <c r="G96" i="19"/>
  <c r="G97" i="19"/>
  <c r="G99" i="19"/>
  <c r="G80" i="19"/>
  <c r="G77" i="19"/>
  <c r="K34" i="19"/>
  <c r="K70" i="19"/>
  <c r="K69" i="19" s="1"/>
  <c r="K88" i="19"/>
  <c r="K95" i="19"/>
  <c r="K101" i="19"/>
  <c r="K111" i="19"/>
  <c r="B49" i="9"/>
  <c r="B48" i="9"/>
  <c r="C40" i="9"/>
  <c r="B40" i="9"/>
  <c r="B24" i="9"/>
  <c r="I70" i="19"/>
  <c r="I69" i="19" s="1"/>
  <c r="K30" i="19"/>
  <c r="K56" i="19"/>
  <c r="D18" i="19"/>
  <c r="J21" i="9"/>
  <c r="K21" i="9" s="1"/>
  <c r="D20" i="19"/>
  <c r="K64" i="19"/>
  <c r="I111" i="19"/>
  <c r="I95" i="19"/>
  <c r="I56" i="19"/>
  <c r="I88" i="19"/>
  <c r="H100" i="19"/>
  <c r="S111" i="19"/>
  <c r="O111" i="19"/>
  <c r="S101" i="19"/>
  <c r="S95" i="19"/>
  <c r="S88" i="19"/>
  <c r="S70" i="19"/>
  <c r="S69" i="19" s="1"/>
  <c r="S56" i="19"/>
  <c r="S34" i="19"/>
  <c r="D116" i="19"/>
  <c r="D115" i="19"/>
  <c r="F167" i="29" s="1"/>
  <c r="D114" i="19"/>
  <c r="D113" i="19"/>
  <c r="D109" i="19"/>
  <c r="D107" i="19"/>
  <c r="D106" i="19"/>
  <c r="D105" i="19"/>
  <c r="D104" i="19"/>
  <c r="D102" i="19"/>
  <c r="D99" i="19"/>
  <c r="D97" i="19"/>
  <c r="D96" i="19"/>
  <c r="D92" i="19"/>
  <c r="D91" i="19"/>
  <c r="D90" i="19"/>
  <c r="D89" i="19"/>
  <c r="D85" i="19"/>
  <c r="D84" i="19"/>
  <c r="D83" i="19"/>
  <c r="D82" i="19"/>
  <c r="D79" i="19"/>
  <c r="D77" i="19"/>
  <c r="D75" i="19"/>
  <c r="D72" i="19"/>
  <c r="D73" i="19"/>
  <c r="D74" i="19"/>
  <c r="D71" i="19"/>
  <c r="D68" i="19"/>
  <c r="D67" i="19"/>
  <c r="D66" i="19"/>
  <c r="D65" i="19"/>
  <c r="D62" i="19"/>
  <c r="D61" i="19"/>
  <c r="D60" i="19"/>
  <c r="I59" i="9"/>
  <c r="D58" i="19"/>
  <c r="D57" i="19"/>
  <c r="I53" i="9"/>
  <c r="I52" i="9"/>
  <c r="D50" i="19"/>
  <c r="D47" i="19"/>
  <c r="D44" i="19"/>
  <c r="D42" i="19"/>
  <c r="D31" i="19"/>
  <c r="D26" i="19"/>
  <c r="F33" i="29" s="1"/>
  <c r="I16" i="9"/>
  <c r="I15" i="9"/>
  <c r="F14" i="19"/>
  <c r="D14" i="19"/>
  <c r="F16" i="29" s="1"/>
  <c r="G112" i="19"/>
  <c r="G108" i="19"/>
  <c r="J99" i="9"/>
  <c r="F75" i="19"/>
  <c r="F74" i="19"/>
  <c r="J52" i="9"/>
  <c r="D2" i="24"/>
  <c r="D5" i="24"/>
  <c r="D9" i="24"/>
  <c r="D11" i="24"/>
  <c r="D13" i="24"/>
  <c r="D14" i="24"/>
  <c r="E18" i="17"/>
  <c r="F9" i="22"/>
  <c r="G9" i="22"/>
  <c r="B10" i="22"/>
  <c r="C10" i="22"/>
  <c r="D10" i="22"/>
  <c r="E10" i="22"/>
  <c r="F11" i="22"/>
  <c r="G11" i="22"/>
  <c r="F12" i="22"/>
  <c r="G12" i="22"/>
  <c r="F13" i="22"/>
  <c r="G13" i="22"/>
  <c r="C15" i="22"/>
  <c r="C14" i="22" s="1"/>
  <c r="D15" i="22"/>
  <c r="D14" i="22" s="1"/>
  <c r="E16" i="22"/>
  <c r="G16" i="22" s="1"/>
  <c r="F16" i="22"/>
  <c r="F17" i="22"/>
  <c r="G17" i="22"/>
  <c r="B18" i="22"/>
  <c r="F18" i="22" s="1"/>
  <c r="G18" i="22"/>
  <c r="B19" i="22"/>
  <c r="C19" i="22"/>
  <c r="D19" i="22"/>
  <c r="E19" i="22"/>
  <c r="F20" i="22"/>
  <c r="G20" i="22"/>
  <c r="F21" i="22"/>
  <c r="G21" i="22"/>
  <c r="B23" i="22"/>
  <c r="C23" i="22"/>
  <c r="D23" i="22"/>
  <c r="E23" i="22"/>
  <c r="F24" i="22"/>
  <c r="F23" i="22" s="1"/>
  <c r="G24" i="22"/>
  <c r="G23" i="22" s="1"/>
  <c r="B29" i="22"/>
  <c r="C29" i="22"/>
  <c r="D29" i="22"/>
  <c r="E29" i="22"/>
  <c r="F30" i="22"/>
  <c r="G30" i="22"/>
  <c r="F31" i="22"/>
  <c r="G31" i="22"/>
  <c r="F32" i="22"/>
  <c r="G32" i="22"/>
  <c r="F33" i="22"/>
  <c r="G33" i="22"/>
  <c r="B34" i="22"/>
  <c r="C34" i="22"/>
  <c r="D34" i="22"/>
  <c r="E34" i="22"/>
  <c r="F35" i="22"/>
  <c r="G35" i="22"/>
  <c r="F36" i="22"/>
  <c r="G36" i="22"/>
  <c r="F37" i="22"/>
  <c r="G37" i="22"/>
  <c r="F38" i="22"/>
  <c r="G38" i="22"/>
  <c r="F39" i="22"/>
  <c r="G39" i="22"/>
  <c r="B40" i="22"/>
  <c r="C40" i="22"/>
  <c r="D40" i="22"/>
  <c r="E40" i="22"/>
  <c r="F41" i="22"/>
  <c r="G41" i="22"/>
  <c r="F42" i="22"/>
  <c r="G42" i="22"/>
  <c r="F43" i="22"/>
  <c r="G43" i="22"/>
  <c r="B44" i="22"/>
  <c r="C44" i="22"/>
  <c r="D44" i="22"/>
  <c r="E44" i="22"/>
  <c r="F45" i="22"/>
  <c r="G45" i="22"/>
  <c r="F46" i="22"/>
  <c r="G46" i="22"/>
  <c r="B47" i="22"/>
  <c r="C47" i="22"/>
  <c r="D47" i="22"/>
  <c r="E47" i="22"/>
  <c r="F48" i="22"/>
  <c r="F47" i="22" s="1"/>
  <c r="G48" i="22"/>
  <c r="G47" i="22" s="1"/>
  <c r="B49" i="22"/>
  <c r="C49" i="22"/>
  <c r="D49" i="22"/>
  <c r="E49" i="22"/>
  <c r="F50" i="22"/>
  <c r="G50" i="22"/>
  <c r="F51" i="22"/>
  <c r="G51" i="22"/>
  <c r="F52" i="22"/>
  <c r="G52" i="22"/>
  <c r="F53" i="22"/>
  <c r="G53" i="22"/>
  <c r="F59" i="22"/>
  <c r="J9" i="18"/>
  <c r="A10" i="18"/>
  <c r="D10" i="18"/>
  <c r="J10" i="18"/>
  <c r="D12" i="18"/>
  <c r="J12" i="18"/>
  <c r="D13" i="18"/>
  <c r="J13" i="18"/>
  <c r="D14" i="18"/>
  <c r="J14" i="18"/>
  <c r="D15" i="18"/>
  <c r="J15" i="18"/>
  <c r="J17" i="18"/>
  <c r="D19" i="18"/>
  <c r="J19" i="18"/>
  <c r="A20" i="18"/>
  <c r="A21" i="18" s="1"/>
  <c r="A23" i="18" s="1"/>
  <c r="A25" i="18" s="1"/>
  <c r="J20" i="18"/>
  <c r="D21" i="18"/>
  <c r="J21" i="18"/>
  <c r="D22" i="18"/>
  <c r="J22" i="18"/>
  <c r="D23" i="18"/>
  <c r="J23" i="18"/>
  <c r="D24" i="18"/>
  <c r="J24" i="18"/>
  <c r="J25" i="18"/>
  <c r="J27" i="18"/>
  <c r="D28" i="18"/>
  <c r="J28" i="18"/>
  <c r="A29" i="18"/>
  <c r="A31" i="18" s="1"/>
  <c r="A32" i="18" s="1"/>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S30" i="19"/>
  <c r="V46" i="19"/>
  <c r="F68" i="19"/>
  <c r="G104" i="19"/>
  <c r="G105" i="19"/>
  <c r="F106" i="19"/>
  <c r="G106" i="19"/>
  <c r="F115" i="19"/>
  <c r="K46" i="19"/>
  <c r="E59" i="19"/>
  <c r="E62" i="19"/>
  <c r="E32" i="19"/>
  <c r="E49" i="19"/>
  <c r="E53" i="19"/>
  <c r="E31" i="19"/>
  <c r="E51" i="19"/>
  <c r="P48" i="9"/>
  <c r="E44" i="19"/>
  <c r="E77" i="19"/>
  <c r="E14" i="19"/>
  <c r="E72" i="19"/>
  <c r="E104" i="19"/>
  <c r="E116" i="19"/>
  <c r="H168" i="29" s="1"/>
  <c r="E86" i="19"/>
  <c r="E78" i="19"/>
  <c r="E67" i="19"/>
  <c r="E79" i="19"/>
  <c r="E90" i="19"/>
  <c r="E93" i="19"/>
  <c r="E91" i="19"/>
  <c r="E80" i="19"/>
  <c r="E63" i="19"/>
  <c r="J60" i="9"/>
  <c r="J20" i="9"/>
  <c r="E97" i="19"/>
  <c r="E115" i="19"/>
  <c r="E54" i="19"/>
  <c r="E45" i="19"/>
  <c r="O53" i="9"/>
  <c r="P117" i="9"/>
  <c r="E94" i="19"/>
  <c r="E81" i="19"/>
  <c r="E89" i="19"/>
  <c r="E25" i="19"/>
  <c r="E113" i="19"/>
  <c r="E102" i="19"/>
  <c r="E110" i="19"/>
  <c r="Q20" i="9"/>
  <c r="G65" i="19"/>
  <c r="S64" i="19"/>
  <c r="P20" i="9"/>
  <c r="O55" i="19" l="1"/>
  <c r="I26" i="9"/>
  <c r="I115" i="9"/>
  <c r="Q58" i="9"/>
  <c r="I83" i="29"/>
  <c r="I13" i="29"/>
  <c r="J13" i="29" s="1"/>
  <c r="Q11" i="9"/>
  <c r="I12" i="29"/>
  <c r="J12" i="29" s="1"/>
  <c r="Q10" i="9"/>
  <c r="J93" i="9"/>
  <c r="K93" i="9" s="1"/>
  <c r="G131" i="29"/>
  <c r="J109" i="9"/>
  <c r="G156" i="29"/>
  <c r="I50" i="9"/>
  <c r="F71" i="29"/>
  <c r="I62" i="9"/>
  <c r="F87" i="29"/>
  <c r="I72" i="9"/>
  <c r="F106" i="29"/>
  <c r="I89" i="9"/>
  <c r="F127" i="29"/>
  <c r="I104" i="9"/>
  <c r="F151" i="29"/>
  <c r="Q47" i="9"/>
  <c r="I68" i="29"/>
  <c r="Q45" i="9"/>
  <c r="I61" i="29"/>
  <c r="Q37" i="9"/>
  <c r="I53" i="29"/>
  <c r="I11" i="29"/>
  <c r="Q9" i="9"/>
  <c r="P35" i="9"/>
  <c r="E34" i="19"/>
  <c r="H51" i="29"/>
  <c r="I22" i="9"/>
  <c r="F29" i="29"/>
  <c r="J96" i="9"/>
  <c r="G139" i="29"/>
  <c r="M55" i="19"/>
  <c r="M87" i="19"/>
  <c r="I47" i="9"/>
  <c r="F68" i="29"/>
  <c r="I85" i="9"/>
  <c r="F119" i="29"/>
  <c r="Q114" i="9"/>
  <c r="I166" i="29"/>
  <c r="Q67" i="9"/>
  <c r="I97" i="29"/>
  <c r="Q35" i="9"/>
  <c r="I51" i="29"/>
  <c r="P31" i="9"/>
  <c r="H43" i="29"/>
  <c r="F44" i="22"/>
  <c r="Q108" i="9"/>
  <c r="I155" i="29"/>
  <c r="I65" i="9"/>
  <c r="F95" i="29"/>
  <c r="I75" i="9"/>
  <c r="F109" i="29"/>
  <c r="I90" i="9"/>
  <c r="F128" i="29"/>
  <c r="I105" i="9"/>
  <c r="F152" i="29"/>
  <c r="I116" i="9"/>
  <c r="I111" i="9" s="1"/>
  <c r="F168" i="29"/>
  <c r="I20" i="9"/>
  <c r="F27" i="29"/>
  <c r="Q89" i="9"/>
  <c r="I127" i="29"/>
  <c r="Q79" i="9"/>
  <c r="I113" i="29"/>
  <c r="Q57" i="9"/>
  <c r="I82" i="29"/>
  <c r="Q36" i="9"/>
  <c r="I52" i="29"/>
  <c r="Q98" i="9"/>
  <c r="I141" i="29"/>
  <c r="F54" i="29"/>
  <c r="J42" i="9"/>
  <c r="G58" i="29"/>
  <c r="J97" i="9"/>
  <c r="G140" i="29"/>
  <c r="J14" i="9"/>
  <c r="G16" i="29"/>
  <c r="I73" i="9"/>
  <c r="F107" i="29"/>
  <c r="Q82" i="9"/>
  <c r="I116" i="29"/>
  <c r="Q112" i="9"/>
  <c r="I164" i="29"/>
  <c r="J164" i="29" s="1"/>
  <c r="I66" i="9"/>
  <c r="F96" i="29"/>
  <c r="I77" i="9"/>
  <c r="F111" i="29"/>
  <c r="I91" i="9"/>
  <c r="F129" i="29"/>
  <c r="I106" i="9"/>
  <c r="F153" i="29"/>
  <c r="I36" i="9"/>
  <c r="K36" i="9" s="1"/>
  <c r="F52" i="29"/>
  <c r="T52" i="29" s="1"/>
  <c r="Q77" i="9"/>
  <c r="I111" i="29"/>
  <c r="Q71" i="9"/>
  <c r="I105" i="29"/>
  <c r="Q43" i="9"/>
  <c r="I59" i="29"/>
  <c r="I20" i="29"/>
  <c r="Q18" i="9"/>
  <c r="Q31" i="9"/>
  <c r="I43" i="29"/>
  <c r="I23" i="9"/>
  <c r="F30" i="29"/>
  <c r="P29" i="9"/>
  <c r="H36" i="29"/>
  <c r="I37" i="9"/>
  <c r="F53" i="29"/>
  <c r="I24" i="9"/>
  <c r="F31" i="29"/>
  <c r="I32" i="9"/>
  <c r="F44" i="29"/>
  <c r="J85" i="9"/>
  <c r="K85" i="9" s="1"/>
  <c r="G119" i="29"/>
  <c r="I61" i="9"/>
  <c r="F86" i="29"/>
  <c r="Q105" i="9"/>
  <c r="I152" i="29"/>
  <c r="I28" i="9"/>
  <c r="F35" i="29"/>
  <c r="I31" i="9"/>
  <c r="F43" i="29"/>
  <c r="I57" i="9"/>
  <c r="F82" i="29"/>
  <c r="I67" i="9"/>
  <c r="F97" i="29"/>
  <c r="I79" i="9"/>
  <c r="F113" i="29"/>
  <c r="I92" i="9"/>
  <c r="F130" i="29"/>
  <c r="I107" i="9"/>
  <c r="F154" i="29"/>
  <c r="I18" i="9"/>
  <c r="F20" i="29"/>
  <c r="Q80" i="9"/>
  <c r="I114" i="29"/>
  <c r="Q42" i="9"/>
  <c r="I58" i="29"/>
  <c r="I17" i="29"/>
  <c r="Q15" i="9"/>
  <c r="Q32" i="9"/>
  <c r="I44" i="29"/>
  <c r="I108" i="9"/>
  <c r="F155" i="29"/>
  <c r="P71" i="9"/>
  <c r="H105" i="29"/>
  <c r="I39" i="9"/>
  <c r="F55" i="29"/>
  <c r="I25" i="9"/>
  <c r="F32" i="29"/>
  <c r="J62" i="9"/>
  <c r="K62" i="9" s="1"/>
  <c r="G87" i="29"/>
  <c r="Q17" i="9"/>
  <c r="I19" i="29"/>
  <c r="Q107" i="9"/>
  <c r="I154" i="29"/>
  <c r="I35" i="9"/>
  <c r="K35" i="9" s="1"/>
  <c r="F51" i="29"/>
  <c r="I68" i="9"/>
  <c r="F98" i="29"/>
  <c r="I96" i="9"/>
  <c r="K96" i="9" s="1"/>
  <c r="F139" i="29"/>
  <c r="Q73" i="9"/>
  <c r="I107" i="29"/>
  <c r="Q61" i="9"/>
  <c r="I86" i="29"/>
  <c r="Q41" i="9"/>
  <c r="I57" i="29"/>
  <c r="I16" i="29"/>
  <c r="Q14" i="9"/>
  <c r="Q109" i="9"/>
  <c r="I156" i="29"/>
  <c r="I40" i="9"/>
  <c r="F56" i="29"/>
  <c r="J65" i="9"/>
  <c r="K65" i="9" s="1"/>
  <c r="G95" i="29"/>
  <c r="J105" i="9"/>
  <c r="K105" i="9" s="1"/>
  <c r="G152" i="29"/>
  <c r="I102" i="9"/>
  <c r="F149" i="29"/>
  <c r="I58" i="9"/>
  <c r="K58" i="9" s="1"/>
  <c r="F83" i="29"/>
  <c r="I82" i="9"/>
  <c r="F116" i="29"/>
  <c r="I109" i="9"/>
  <c r="F156" i="29"/>
  <c r="Q85" i="9"/>
  <c r="I119" i="29"/>
  <c r="J68" i="9"/>
  <c r="K68" i="9" s="1"/>
  <c r="G98" i="29"/>
  <c r="I14" i="9"/>
  <c r="I42" i="9"/>
  <c r="F58" i="29"/>
  <c r="I71" i="9"/>
  <c r="F105" i="29"/>
  <c r="I83" i="9"/>
  <c r="F117" i="29"/>
  <c r="I97" i="9"/>
  <c r="F140" i="29"/>
  <c r="I113" i="9"/>
  <c r="F165" i="29"/>
  <c r="Q84" i="9"/>
  <c r="I118" i="29"/>
  <c r="J118" i="29" s="1"/>
  <c r="Q72" i="9"/>
  <c r="I106" i="29"/>
  <c r="I15" i="29"/>
  <c r="Q13" i="9"/>
  <c r="Q110" i="9"/>
  <c r="I157" i="29"/>
  <c r="I43" i="9"/>
  <c r="F59" i="29"/>
  <c r="J66" i="9"/>
  <c r="G96" i="29"/>
  <c r="J91" i="9"/>
  <c r="K91" i="9" s="1"/>
  <c r="G129" i="29"/>
  <c r="J107" i="9"/>
  <c r="K107" i="9" s="1"/>
  <c r="G154" i="29"/>
  <c r="O33" i="19"/>
  <c r="Q65" i="9"/>
  <c r="I95" i="29"/>
  <c r="I44" i="9"/>
  <c r="F60" i="29"/>
  <c r="I60" i="9"/>
  <c r="K60" i="9" s="1"/>
  <c r="F85" i="29"/>
  <c r="I74" i="9"/>
  <c r="F108" i="29"/>
  <c r="I84" i="9"/>
  <c r="F118" i="29"/>
  <c r="I99" i="9"/>
  <c r="K99" i="9" s="1"/>
  <c r="F142" i="29"/>
  <c r="I114" i="9"/>
  <c r="K114" i="9" s="1"/>
  <c r="F166" i="29"/>
  <c r="Q96" i="9"/>
  <c r="I139" i="29"/>
  <c r="Q83" i="9"/>
  <c r="I117" i="29"/>
  <c r="Q39" i="9"/>
  <c r="I55" i="29"/>
  <c r="Q12" i="9"/>
  <c r="I14" i="29"/>
  <c r="J18" i="9"/>
  <c r="G20" i="29"/>
  <c r="I29" i="9"/>
  <c r="K29" i="9" s="1"/>
  <c r="F36" i="29"/>
  <c r="J67" i="9"/>
  <c r="K67" i="9" s="1"/>
  <c r="G97" i="29"/>
  <c r="J108" i="9"/>
  <c r="G155" i="29"/>
  <c r="P105" i="9"/>
  <c r="H152" i="29"/>
  <c r="P108" i="9"/>
  <c r="H155" i="29"/>
  <c r="P110" i="9"/>
  <c r="H157" i="29"/>
  <c r="P109" i="9"/>
  <c r="H156" i="29"/>
  <c r="P107" i="9"/>
  <c r="H154" i="29"/>
  <c r="P98" i="9"/>
  <c r="H141" i="29"/>
  <c r="P97" i="9"/>
  <c r="H140" i="29"/>
  <c r="P96" i="9"/>
  <c r="H139" i="29"/>
  <c r="P99" i="9"/>
  <c r="H142" i="29"/>
  <c r="P89" i="9"/>
  <c r="H127" i="29"/>
  <c r="P91" i="9"/>
  <c r="H129" i="29"/>
  <c r="P93" i="9"/>
  <c r="H131" i="29"/>
  <c r="P92" i="9"/>
  <c r="H130" i="29"/>
  <c r="P90" i="9"/>
  <c r="H128" i="29"/>
  <c r="P94" i="9"/>
  <c r="H132" i="29"/>
  <c r="Q91" i="9"/>
  <c r="I129" i="29"/>
  <c r="Q94" i="9"/>
  <c r="I132" i="29"/>
  <c r="Q93" i="9"/>
  <c r="I131" i="29"/>
  <c r="Q90" i="9"/>
  <c r="P82" i="9"/>
  <c r="H116" i="29"/>
  <c r="J116" i="29" s="1"/>
  <c r="P75" i="9"/>
  <c r="H109" i="29"/>
  <c r="P83" i="9"/>
  <c r="R83" i="9" s="1"/>
  <c r="H117" i="29"/>
  <c r="J117" i="29" s="1"/>
  <c r="P80" i="9"/>
  <c r="H114" i="29"/>
  <c r="P72" i="9"/>
  <c r="R72" i="9" s="1"/>
  <c r="H106" i="29"/>
  <c r="P73" i="9"/>
  <c r="H107" i="29"/>
  <c r="P79" i="9"/>
  <c r="R79" i="9" s="1"/>
  <c r="H113" i="29"/>
  <c r="Q76" i="9"/>
  <c r="I110" i="29"/>
  <c r="P85" i="9"/>
  <c r="H119" i="29"/>
  <c r="J119" i="29" s="1"/>
  <c r="Q75" i="9"/>
  <c r="I109" i="29"/>
  <c r="P65" i="9"/>
  <c r="H95" i="29"/>
  <c r="J95" i="29" s="1"/>
  <c r="P66" i="9"/>
  <c r="R66" i="9" s="1"/>
  <c r="H96" i="29"/>
  <c r="P67" i="9"/>
  <c r="H97" i="29"/>
  <c r="P68" i="9"/>
  <c r="H98" i="29"/>
  <c r="P58" i="9"/>
  <c r="H83" i="29"/>
  <c r="J83" i="29" s="1"/>
  <c r="P62" i="9"/>
  <c r="H87" i="29"/>
  <c r="P57" i="9"/>
  <c r="H82" i="29"/>
  <c r="J82" i="29" s="1"/>
  <c r="P59" i="9"/>
  <c r="H84" i="29"/>
  <c r="Q52" i="9"/>
  <c r="I73" i="29"/>
  <c r="Q50" i="9"/>
  <c r="I71" i="29"/>
  <c r="Q29" i="9"/>
  <c r="I36" i="29"/>
  <c r="J36" i="29" s="1"/>
  <c r="E19" i="19"/>
  <c r="P50" i="9"/>
  <c r="H71" i="29"/>
  <c r="P52" i="9"/>
  <c r="H73" i="29"/>
  <c r="Q44" i="9"/>
  <c r="I60" i="29"/>
  <c r="P42" i="9"/>
  <c r="R42" i="9" s="1"/>
  <c r="H58" i="29"/>
  <c r="P41" i="9"/>
  <c r="H57" i="29"/>
  <c r="P45" i="9"/>
  <c r="H61" i="29"/>
  <c r="P39" i="9"/>
  <c r="H55" i="29"/>
  <c r="P37" i="9"/>
  <c r="R37" i="9" s="1"/>
  <c r="H53" i="29"/>
  <c r="P43" i="9"/>
  <c r="H59" i="29"/>
  <c r="J59" i="29" s="1"/>
  <c r="P32" i="9"/>
  <c r="H44" i="29"/>
  <c r="P28" i="9"/>
  <c r="H35" i="29"/>
  <c r="P26" i="9"/>
  <c r="H33" i="29"/>
  <c r="P27" i="9"/>
  <c r="H34" i="29"/>
  <c r="P24" i="9"/>
  <c r="H31" i="29"/>
  <c r="P22" i="9"/>
  <c r="H29" i="29"/>
  <c r="Q27" i="9"/>
  <c r="I34" i="29"/>
  <c r="Q25" i="9"/>
  <c r="I32" i="29"/>
  <c r="Q24" i="9"/>
  <c r="I31" i="29"/>
  <c r="Q28" i="9"/>
  <c r="R28" i="9" s="1"/>
  <c r="I35" i="29"/>
  <c r="Q23" i="9"/>
  <c r="I30" i="29"/>
  <c r="Q22" i="9"/>
  <c r="I29" i="29"/>
  <c r="H14" i="29"/>
  <c r="P12" i="9"/>
  <c r="H20" i="29"/>
  <c r="P18" i="9"/>
  <c r="H15" i="29"/>
  <c r="P13" i="9"/>
  <c r="H17" i="29"/>
  <c r="J17" i="29" s="1"/>
  <c r="P15" i="9"/>
  <c r="R15" i="9" s="1"/>
  <c r="H11" i="29"/>
  <c r="J11" i="29" s="1"/>
  <c r="P9" i="9"/>
  <c r="H16" i="29"/>
  <c r="P14" i="9"/>
  <c r="K11" i="9"/>
  <c r="K13" i="9"/>
  <c r="P47" i="9"/>
  <c r="H68" i="29"/>
  <c r="J73" i="9"/>
  <c r="K73" i="9" s="1"/>
  <c r="G107" i="29"/>
  <c r="J72" i="9"/>
  <c r="G106" i="29"/>
  <c r="J71" i="9"/>
  <c r="K71" i="9" s="1"/>
  <c r="G105" i="29"/>
  <c r="Q99" i="9"/>
  <c r="I142" i="29"/>
  <c r="Q97" i="9"/>
  <c r="I140" i="29"/>
  <c r="Q86" i="9"/>
  <c r="I120" i="29"/>
  <c r="Q68" i="9"/>
  <c r="I98" i="29"/>
  <c r="Q66" i="9"/>
  <c r="I96" i="29"/>
  <c r="Q63" i="9"/>
  <c r="I88" i="29"/>
  <c r="Q54" i="9"/>
  <c r="I75" i="29"/>
  <c r="Q53" i="9"/>
  <c r="I74" i="29"/>
  <c r="P25" i="9"/>
  <c r="R25" i="9" s="1"/>
  <c r="H32" i="29"/>
  <c r="Q60" i="9"/>
  <c r="I85" i="29"/>
  <c r="J90" i="9"/>
  <c r="K90" i="9" s="1"/>
  <c r="G128" i="29"/>
  <c r="J89" i="9"/>
  <c r="K89" i="9" s="1"/>
  <c r="G127" i="29"/>
  <c r="J28" i="9"/>
  <c r="G35" i="29"/>
  <c r="J25" i="9"/>
  <c r="G32" i="29"/>
  <c r="G30" i="29"/>
  <c r="J104" i="9"/>
  <c r="K104" i="9" s="1"/>
  <c r="G151" i="29"/>
  <c r="P21" i="9"/>
  <c r="H28" i="29"/>
  <c r="P115" i="9"/>
  <c r="H167" i="29"/>
  <c r="P113" i="9"/>
  <c r="H165" i="29"/>
  <c r="P86" i="9"/>
  <c r="H120" i="29"/>
  <c r="P81" i="9"/>
  <c r="H115" i="29"/>
  <c r="P78" i="9"/>
  <c r="H112" i="29"/>
  <c r="P77" i="9"/>
  <c r="R77" i="9" s="1"/>
  <c r="H111" i="29"/>
  <c r="P76" i="9"/>
  <c r="H110" i="29"/>
  <c r="P74" i="9"/>
  <c r="H108" i="29"/>
  <c r="P63" i="9"/>
  <c r="H88" i="29"/>
  <c r="P60" i="9"/>
  <c r="H85" i="29"/>
  <c r="P54" i="9"/>
  <c r="H75" i="29"/>
  <c r="J75" i="29" s="1"/>
  <c r="P53" i="9"/>
  <c r="H74" i="29"/>
  <c r="P51" i="9"/>
  <c r="H72" i="29"/>
  <c r="P49" i="9"/>
  <c r="H70" i="29"/>
  <c r="P44" i="9"/>
  <c r="H60" i="29"/>
  <c r="P40" i="9"/>
  <c r="H56" i="29"/>
  <c r="P38" i="9"/>
  <c r="H54" i="29"/>
  <c r="H19" i="29"/>
  <c r="P17" i="9"/>
  <c r="E6" i="19"/>
  <c r="H18" i="29"/>
  <c r="P16" i="9"/>
  <c r="P106" i="9"/>
  <c r="H153" i="29"/>
  <c r="P104" i="9"/>
  <c r="H151" i="29"/>
  <c r="P102" i="9"/>
  <c r="H149" i="29"/>
  <c r="Q116" i="9"/>
  <c r="I168" i="29"/>
  <c r="J168" i="29" s="1"/>
  <c r="Q115" i="9"/>
  <c r="I167" i="29"/>
  <c r="Q113" i="9"/>
  <c r="R113" i="9" s="1"/>
  <c r="I165" i="29"/>
  <c r="Q106" i="9"/>
  <c r="I153" i="29"/>
  <c r="Q104" i="9"/>
  <c r="I151" i="29"/>
  <c r="Q103" i="9"/>
  <c r="I150" i="29"/>
  <c r="J150" i="29" s="1"/>
  <c r="Q102" i="9"/>
  <c r="I149" i="29"/>
  <c r="Q92" i="9"/>
  <c r="I130" i="29"/>
  <c r="Q81" i="9"/>
  <c r="I115" i="29"/>
  <c r="Q78" i="9"/>
  <c r="I112" i="29"/>
  <c r="Q74" i="9"/>
  <c r="I108" i="29"/>
  <c r="Q62" i="9"/>
  <c r="I87" i="29"/>
  <c r="Q59" i="9"/>
  <c r="I84" i="29"/>
  <c r="Q51" i="9"/>
  <c r="I72" i="29"/>
  <c r="Q49" i="9"/>
  <c r="I70" i="29"/>
  <c r="Q48" i="9"/>
  <c r="R48" i="9" s="1"/>
  <c r="I69" i="29"/>
  <c r="Q40" i="9"/>
  <c r="I56" i="29"/>
  <c r="Q38" i="9"/>
  <c r="I54" i="29"/>
  <c r="Q26" i="9"/>
  <c r="I33" i="29"/>
  <c r="Q21" i="9"/>
  <c r="I28" i="29"/>
  <c r="Q16" i="9"/>
  <c r="I18" i="29"/>
  <c r="J116" i="9"/>
  <c r="G168" i="29"/>
  <c r="J115" i="9"/>
  <c r="K115" i="9" s="1"/>
  <c r="G167" i="29"/>
  <c r="J113" i="9"/>
  <c r="G165" i="29"/>
  <c r="J106" i="9"/>
  <c r="G153" i="29"/>
  <c r="J102" i="9"/>
  <c r="G149" i="29"/>
  <c r="J92" i="9"/>
  <c r="K92" i="9" s="1"/>
  <c r="G130" i="29"/>
  <c r="J84" i="9"/>
  <c r="G118" i="29"/>
  <c r="J83" i="9"/>
  <c r="K83" i="9" s="1"/>
  <c r="G117" i="29"/>
  <c r="J82" i="9"/>
  <c r="G116" i="29"/>
  <c r="J81" i="9"/>
  <c r="K81" i="9" s="1"/>
  <c r="G115" i="29"/>
  <c r="J80" i="9"/>
  <c r="K80" i="9" s="1"/>
  <c r="G114" i="29"/>
  <c r="J79" i="9"/>
  <c r="G113" i="29"/>
  <c r="J77" i="9"/>
  <c r="G111" i="29"/>
  <c r="J76" i="9"/>
  <c r="K76" i="9" s="1"/>
  <c r="G110" i="29"/>
  <c r="J75" i="9"/>
  <c r="G109" i="29"/>
  <c r="J74" i="9"/>
  <c r="K74" i="9" s="1"/>
  <c r="G108" i="29"/>
  <c r="J61" i="9"/>
  <c r="G86" i="29"/>
  <c r="J57" i="9"/>
  <c r="K57" i="9" s="1"/>
  <c r="G82" i="29"/>
  <c r="J49" i="9"/>
  <c r="K49" i="9" s="1"/>
  <c r="G70" i="29"/>
  <c r="T70" i="29" s="1"/>
  <c r="J47" i="9"/>
  <c r="K47" i="9" s="1"/>
  <c r="G68" i="29"/>
  <c r="J44" i="9"/>
  <c r="G60" i="29"/>
  <c r="J43" i="9"/>
  <c r="K43" i="9" s="1"/>
  <c r="G59" i="29"/>
  <c r="J39" i="9"/>
  <c r="K39" i="9" s="1"/>
  <c r="G55" i="29"/>
  <c r="K38" i="9"/>
  <c r="G54" i="29"/>
  <c r="J37" i="9"/>
  <c r="K37" i="9" s="1"/>
  <c r="J32" i="9"/>
  <c r="K32" i="9" s="1"/>
  <c r="G44" i="29"/>
  <c r="J27" i="9"/>
  <c r="G34" i="29"/>
  <c r="G31" i="29"/>
  <c r="J9" i="9"/>
  <c r="G11" i="29"/>
  <c r="K15" i="9"/>
  <c r="Q30" i="9"/>
  <c r="J31" i="9"/>
  <c r="K51" i="9"/>
  <c r="P116" i="9"/>
  <c r="R116" i="9" s="1"/>
  <c r="G44" i="22"/>
  <c r="C28" i="22"/>
  <c r="G19" i="22"/>
  <c r="D26" i="22"/>
  <c r="D28" i="22"/>
  <c r="F19" i="22"/>
  <c r="K16" i="9"/>
  <c r="O44" i="9"/>
  <c r="O51" i="9"/>
  <c r="O83" i="9"/>
  <c r="G40" i="22"/>
  <c r="O31" i="9"/>
  <c r="O86" i="9"/>
  <c r="O82" i="9"/>
  <c r="O116" i="9"/>
  <c r="K18" i="9"/>
  <c r="K41" i="9"/>
  <c r="K53" i="9"/>
  <c r="O5" i="19"/>
  <c r="O17" i="9"/>
  <c r="O85" i="9"/>
  <c r="O97" i="9"/>
  <c r="O115" i="9"/>
  <c r="F49" i="22"/>
  <c r="F40" i="22"/>
  <c r="K10" i="9"/>
  <c r="M5" i="19"/>
  <c r="O87" i="19"/>
  <c r="O90" i="9"/>
  <c r="G30" i="19"/>
  <c r="I87" i="19"/>
  <c r="K5" i="19"/>
  <c r="K87" i="19"/>
  <c r="O100" i="19"/>
  <c r="I100" i="19"/>
  <c r="G95" i="19"/>
  <c r="S100" i="19"/>
  <c r="K40" i="9"/>
  <c r="K66" i="9"/>
  <c r="I5" i="19"/>
  <c r="K100" i="19"/>
  <c r="K112" i="9"/>
  <c r="Q5" i="19"/>
  <c r="M33" i="19"/>
  <c r="O70" i="19"/>
  <c r="O69" i="19" s="1"/>
  <c r="R32" i="9"/>
  <c r="K22" i="9"/>
  <c r="O94" i="9"/>
  <c r="R98" i="9"/>
  <c r="E30" i="19"/>
  <c r="S87" i="19"/>
  <c r="O49" i="9"/>
  <c r="O23" i="9"/>
  <c r="O28" i="9"/>
  <c r="O24" i="9"/>
  <c r="O26" i="9"/>
  <c r="Q33" i="19"/>
  <c r="O81" i="9"/>
  <c r="O117" i="9"/>
  <c r="O99" i="9"/>
  <c r="O15" i="9"/>
  <c r="S55" i="19"/>
  <c r="K33" i="19"/>
  <c r="O25" i="9"/>
  <c r="O80" i="9"/>
  <c r="S5" i="19"/>
  <c r="K52" i="9"/>
  <c r="K59" i="9"/>
  <c r="O57" i="9"/>
  <c r="O64" i="9"/>
  <c r="I94" i="23" s="1"/>
  <c r="R89" i="9"/>
  <c r="O84" i="9"/>
  <c r="O102" i="9"/>
  <c r="K8" i="9"/>
  <c r="O21" i="9"/>
  <c r="O62" i="9"/>
  <c r="O77" i="9"/>
  <c r="O113" i="9"/>
  <c r="R107" i="9"/>
  <c r="K9" i="9"/>
  <c r="K7" i="9"/>
  <c r="R84" i="9"/>
  <c r="O74" i="9"/>
  <c r="O59" i="9"/>
  <c r="S33" i="19"/>
  <c r="O40" i="9"/>
  <c r="G34" i="19"/>
  <c r="O27" i="9"/>
  <c r="G19" i="19"/>
  <c r="G70" i="19"/>
  <c r="O78" i="9"/>
  <c r="P30" i="9"/>
  <c r="O60" i="9"/>
  <c r="G64" i="19"/>
  <c r="G56" i="19"/>
  <c r="O89" i="9"/>
  <c r="O39" i="9"/>
  <c r="R117" i="9"/>
  <c r="O63" i="9"/>
  <c r="G49" i="22"/>
  <c r="B28" i="22"/>
  <c r="F28" i="22" s="1"/>
  <c r="F10" i="22"/>
  <c r="I55" i="19"/>
  <c r="O92" i="9"/>
  <c r="O38" i="9"/>
  <c r="O12" i="9"/>
  <c r="G10" i="22"/>
  <c r="F34" i="22"/>
  <c r="G15" i="22"/>
  <c r="G14" i="22" s="1"/>
  <c r="K55" i="19"/>
  <c r="R103" i="9"/>
  <c r="I33" i="19"/>
  <c r="K103" i="9"/>
  <c r="K61" i="9"/>
  <c r="B15" i="22"/>
  <c r="B14" i="22" s="1"/>
  <c r="B26" i="22" s="1"/>
  <c r="B55" i="22" s="1"/>
  <c r="G6" i="19"/>
  <c r="O16" i="9"/>
  <c r="E46" i="19"/>
  <c r="E101" i="19"/>
  <c r="R68" i="9"/>
  <c r="E64" i="19"/>
  <c r="R31" i="9"/>
  <c r="E114" i="19"/>
  <c r="H166" i="29" s="1"/>
  <c r="E15" i="22"/>
  <c r="E14" i="22" s="1"/>
  <c r="E26" i="22" s="1"/>
  <c r="M100" i="19"/>
  <c r="G46" i="19"/>
  <c r="E88" i="19"/>
  <c r="G29" i="22"/>
  <c r="E28" i="22"/>
  <c r="G88" i="19"/>
  <c r="E95" i="19"/>
  <c r="F29" i="22"/>
  <c r="G111" i="19"/>
  <c r="K77" i="9"/>
  <c r="O54" i="9"/>
  <c r="E70" i="19"/>
  <c r="E61" i="19"/>
  <c r="G34" i="22"/>
  <c r="F15" i="22"/>
  <c r="F14" i="22" s="1"/>
  <c r="C26" i="22"/>
  <c r="G101" i="19"/>
  <c r="K109" i="9"/>
  <c r="K50" i="9"/>
  <c r="R82" i="9" l="1"/>
  <c r="M129" i="19"/>
  <c r="R80" i="9"/>
  <c r="I56" i="9"/>
  <c r="K116" i="9"/>
  <c r="J113" i="29"/>
  <c r="J155" i="29"/>
  <c r="K79" i="9"/>
  <c r="J111" i="29"/>
  <c r="J106" i="29"/>
  <c r="K42" i="9"/>
  <c r="I88" i="9"/>
  <c r="I101" i="9"/>
  <c r="R57" i="9"/>
  <c r="R91" i="9"/>
  <c r="K108" i="9"/>
  <c r="R12" i="9"/>
  <c r="K82" i="9"/>
  <c r="I46" i="9"/>
  <c r="J32" i="29"/>
  <c r="J68" i="29"/>
  <c r="J114" i="29"/>
  <c r="H170" i="29"/>
  <c r="R53" i="9"/>
  <c r="J73" i="29"/>
  <c r="K14" i="9"/>
  <c r="Q64" i="9"/>
  <c r="R85" i="9"/>
  <c r="D55" i="22"/>
  <c r="J105" i="29"/>
  <c r="J87" i="29"/>
  <c r="R62" i="9"/>
  <c r="R97" i="9"/>
  <c r="R67" i="9"/>
  <c r="R109" i="9"/>
  <c r="K44" i="9"/>
  <c r="K102" i="9"/>
  <c r="R39" i="9"/>
  <c r="K84" i="9"/>
  <c r="K75" i="9"/>
  <c r="I70" i="9"/>
  <c r="I69" i="9" s="1"/>
  <c r="I55" i="9" s="1"/>
  <c r="R106" i="9"/>
  <c r="J64" i="9"/>
  <c r="K72" i="9"/>
  <c r="R86" i="9"/>
  <c r="R59" i="9"/>
  <c r="R94" i="9"/>
  <c r="R99" i="9"/>
  <c r="R49" i="9"/>
  <c r="I30" i="9"/>
  <c r="K97" i="9"/>
  <c r="K95" i="9" s="1"/>
  <c r="I146" i="29" s="1"/>
  <c r="K20" i="9"/>
  <c r="Q56" i="9"/>
  <c r="R92" i="9"/>
  <c r="I34" i="9"/>
  <c r="I33" i="9" s="1"/>
  <c r="K106" i="9"/>
  <c r="Q6" i="9"/>
  <c r="R81" i="9"/>
  <c r="R104" i="9"/>
  <c r="J120" i="29"/>
  <c r="J55" i="29"/>
  <c r="R93" i="9"/>
  <c r="R54" i="9"/>
  <c r="J157" i="29"/>
  <c r="I64" i="9"/>
  <c r="K64" i="9" s="1"/>
  <c r="R17" i="9"/>
  <c r="R110" i="9"/>
  <c r="I46" i="29"/>
  <c r="J19" i="29"/>
  <c r="J14" i="29"/>
  <c r="R45" i="9"/>
  <c r="J127" i="29"/>
  <c r="J141" i="29"/>
  <c r="K31" i="9"/>
  <c r="I24" i="29"/>
  <c r="J167" i="29"/>
  <c r="P34" i="9"/>
  <c r="R78" i="9"/>
  <c r="R27" i="9"/>
  <c r="J107" i="29"/>
  <c r="J132" i="29"/>
  <c r="J43" i="29"/>
  <c r="P101" i="9"/>
  <c r="J142" i="29"/>
  <c r="J139" i="29"/>
  <c r="H143" i="29"/>
  <c r="P95" i="9"/>
  <c r="R96" i="9"/>
  <c r="P88" i="9"/>
  <c r="H133" i="29"/>
  <c r="J128" i="29"/>
  <c r="Q88" i="9"/>
  <c r="R90" i="9"/>
  <c r="G69" i="19"/>
  <c r="E69" i="19"/>
  <c r="J112" i="29"/>
  <c r="J115" i="29"/>
  <c r="P70" i="9"/>
  <c r="P69" i="9" s="1"/>
  <c r="J109" i="29"/>
  <c r="J110" i="29"/>
  <c r="P64" i="9"/>
  <c r="R64" i="9" s="1"/>
  <c r="I101" i="29" s="1"/>
  <c r="J98" i="29"/>
  <c r="H99" i="29"/>
  <c r="R60" i="9"/>
  <c r="R63" i="9"/>
  <c r="P61" i="9"/>
  <c r="R61" i="9" s="1"/>
  <c r="H86" i="29"/>
  <c r="J86" i="29" s="1"/>
  <c r="J74" i="29"/>
  <c r="J71" i="29"/>
  <c r="J35" i="29"/>
  <c r="R26" i="9"/>
  <c r="J29" i="29"/>
  <c r="J72" i="29"/>
  <c r="R40" i="9"/>
  <c r="J60" i="29"/>
  <c r="J56" i="29"/>
  <c r="J44" i="29"/>
  <c r="H45" i="29"/>
  <c r="J33" i="29"/>
  <c r="R24" i="9"/>
  <c r="J34" i="29"/>
  <c r="J31" i="29"/>
  <c r="P23" i="9"/>
  <c r="R23" i="9" s="1"/>
  <c r="H30" i="29"/>
  <c r="J30" i="29" s="1"/>
  <c r="H21" i="29"/>
  <c r="P6" i="9"/>
  <c r="R74" i="9"/>
  <c r="R38" i="9"/>
  <c r="R51" i="9"/>
  <c r="H121" i="29"/>
  <c r="R30" i="9"/>
  <c r="I47" i="29" s="1"/>
  <c r="R16" i="9"/>
  <c r="K113" i="9"/>
  <c r="J111" i="9"/>
  <c r="K111" i="9" s="1"/>
  <c r="I173" i="29" s="1"/>
  <c r="H76" i="29"/>
  <c r="J34" i="9"/>
  <c r="I159" i="29"/>
  <c r="Q46" i="9"/>
  <c r="H62" i="29"/>
  <c r="J62" i="29" s="1"/>
  <c r="J88" i="29"/>
  <c r="J88" i="9"/>
  <c r="K88" i="9" s="1"/>
  <c r="I136" i="29" s="1"/>
  <c r="Q70" i="9"/>
  <c r="Q69" i="9" s="1"/>
  <c r="J70" i="9"/>
  <c r="J69" i="9" s="1"/>
  <c r="K69" i="9" s="1"/>
  <c r="J56" i="9"/>
  <c r="K56" i="9" s="1"/>
  <c r="I92" i="29" s="1"/>
  <c r="J46" i="9"/>
  <c r="Q95" i="9"/>
  <c r="J140" i="29"/>
  <c r="I144" i="29"/>
  <c r="I100" i="29"/>
  <c r="J96" i="29"/>
  <c r="J101" i="9"/>
  <c r="J151" i="29"/>
  <c r="R102" i="9"/>
  <c r="J85" i="29"/>
  <c r="P46" i="9"/>
  <c r="J70" i="29"/>
  <c r="J153" i="29"/>
  <c r="H158" i="29"/>
  <c r="Q111" i="9"/>
  <c r="I171" i="29"/>
  <c r="J165" i="29"/>
  <c r="Q101" i="9"/>
  <c r="J149" i="29"/>
  <c r="I134" i="29"/>
  <c r="J130" i="29"/>
  <c r="J108" i="29"/>
  <c r="I122" i="29"/>
  <c r="I90" i="29"/>
  <c r="J84" i="29"/>
  <c r="J69" i="29"/>
  <c r="I77" i="29"/>
  <c r="Q34" i="9"/>
  <c r="I63" i="29"/>
  <c r="J54" i="29"/>
  <c r="Q19" i="9"/>
  <c r="R21" i="9"/>
  <c r="I38" i="29"/>
  <c r="J28" i="29"/>
  <c r="J18" i="29"/>
  <c r="I22" i="29"/>
  <c r="J30" i="9"/>
  <c r="O118" i="19"/>
  <c r="G87" i="19"/>
  <c r="G28" i="22"/>
  <c r="P114" i="9"/>
  <c r="P111" i="9" s="1"/>
  <c r="G5" i="19"/>
  <c r="O70" i="9"/>
  <c r="I116" i="23" s="1"/>
  <c r="Q118" i="19"/>
  <c r="Q129" i="19" s="1"/>
  <c r="E55" i="22"/>
  <c r="G55" i="19"/>
  <c r="E5" i="19"/>
  <c r="O95" i="9"/>
  <c r="I136" i="23" s="1"/>
  <c r="R36" i="9"/>
  <c r="E33" i="19"/>
  <c r="S118" i="19"/>
  <c r="G100" i="19"/>
  <c r="E111" i="19"/>
  <c r="I159" i="23"/>
  <c r="G33" i="19"/>
  <c r="K118" i="19"/>
  <c r="O46" i="9"/>
  <c r="I72" i="23" s="1"/>
  <c r="F26" i="22"/>
  <c r="F55" i="22" s="1"/>
  <c r="F58" i="22" s="1"/>
  <c r="F60" i="22" s="1"/>
  <c r="O56" i="9"/>
  <c r="I85" i="23" s="1"/>
  <c r="I100" i="9"/>
  <c r="O34" i="9"/>
  <c r="I58" i="23" s="1"/>
  <c r="E56" i="19"/>
  <c r="R115" i="9"/>
  <c r="O69" i="9"/>
  <c r="R108" i="9"/>
  <c r="E87" i="19"/>
  <c r="O101" i="9"/>
  <c r="O88" i="9"/>
  <c r="I126" i="23" s="1"/>
  <c r="C55" i="22"/>
  <c r="G26" i="22"/>
  <c r="G55" i="22" s="1"/>
  <c r="I129" i="19" l="1"/>
  <c r="V129" i="19"/>
  <c r="J76" i="29"/>
  <c r="K30" i="9"/>
  <c r="J171" i="29"/>
  <c r="G121" i="19"/>
  <c r="J99" i="29"/>
  <c r="Q55" i="9"/>
  <c r="P56" i="9"/>
  <c r="P55" i="9" s="1"/>
  <c r="Q5" i="9"/>
  <c r="R6" i="9"/>
  <c r="I23" i="29" s="1"/>
  <c r="R88" i="9"/>
  <c r="I135" i="29" s="1"/>
  <c r="P87" i="9"/>
  <c r="G118" i="19"/>
  <c r="K70" i="9"/>
  <c r="I124" i="29" s="1"/>
  <c r="K34" i="9"/>
  <c r="I65" i="29" s="1"/>
  <c r="Q87" i="9"/>
  <c r="J143" i="29"/>
  <c r="J45" i="29"/>
  <c r="E100" i="19"/>
  <c r="R101" i="9"/>
  <c r="I160" i="29" s="1"/>
  <c r="J133" i="29"/>
  <c r="R69" i="9"/>
  <c r="R70" i="9"/>
  <c r="I123" i="29" s="1"/>
  <c r="J121" i="29"/>
  <c r="E55" i="19"/>
  <c r="H89" i="29"/>
  <c r="J89" i="29" s="1"/>
  <c r="P19" i="9"/>
  <c r="R19" i="9" s="1"/>
  <c r="I39" i="29" s="1"/>
  <c r="J21" i="29"/>
  <c r="P33" i="9"/>
  <c r="H37" i="29"/>
  <c r="J37" i="29" s="1"/>
  <c r="K101" i="9"/>
  <c r="I161" i="29" s="1"/>
  <c r="Q33" i="9"/>
  <c r="R111" i="9"/>
  <c r="I172" i="29" s="1"/>
  <c r="K46" i="9"/>
  <c r="J33" i="9"/>
  <c r="J55" i="9"/>
  <c r="R34" i="9"/>
  <c r="I64" i="29" s="1"/>
  <c r="I48" i="29"/>
  <c r="J5" i="9"/>
  <c r="I40" i="29"/>
  <c r="J158" i="29"/>
  <c r="Q100" i="9"/>
  <c r="Q118" i="9"/>
  <c r="H121" i="19" s="1"/>
  <c r="J100" i="9"/>
  <c r="J95" i="9" s="1"/>
  <c r="J87" i="9" s="1"/>
  <c r="I148" i="23"/>
  <c r="R114" i="9"/>
  <c r="P100" i="9"/>
  <c r="R46" i="9"/>
  <c r="I78" i="29" s="1"/>
  <c r="K55" i="9"/>
  <c r="I95" i="9"/>
  <c r="I87" i="9" s="1"/>
  <c r="O87" i="9"/>
  <c r="O55" i="9"/>
  <c r="O100" i="9"/>
  <c r="I161" i="23"/>
  <c r="O5" i="9"/>
  <c r="R95" i="9"/>
  <c r="I145" i="29" s="1"/>
  <c r="O33" i="9"/>
  <c r="P118" i="9" l="1"/>
  <c r="I121" i="19"/>
  <c r="R87" i="9"/>
  <c r="I171" i="23"/>
  <c r="J161" i="23"/>
  <c r="K33" i="9"/>
  <c r="E118" i="19"/>
  <c r="R33" i="9"/>
  <c r="P5" i="9"/>
  <c r="R5" i="9" s="1"/>
  <c r="K5" i="9"/>
  <c r="I79" i="29"/>
  <c r="I175" i="29"/>
  <c r="K100" i="9"/>
  <c r="R100" i="9"/>
  <c r="K87" i="9"/>
  <c r="R55" i="9"/>
  <c r="R56" i="9"/>
  <c r="I91" i="29" s="1"/>
  <c r="R118" i="9" l="1"/>
  <c r="I176" i="29" s="1"/>
  <c r="K118" i="9"/>
  <c r="E18" i="24" s="1"/>
  <c r="T176" i="29"/>
  <c r="I174" i="29"/>
  <c r="I177" i="29" l="1"/>
  <c r="J174" i="29"/>
  <c r="S179" i="29" s="1"/>
  <c r="S181" i="29" s="1"/>
</calcChain>
</file>

<file path=xl/comments1.xml><?xml version="1.0" encoding="utf-8"?>
<comments xmlns="http://schemas.openxmlformats.org/spreadsheetml/2006/main">
  <authors>
    <author>PERSONAL</author>
    <author>esilva</author>
    <author>Edisney Silva Argote</author>
    <author>auxiliar1</author>
    <author>user</author>
    <author>Ronal Estith Dussan Quiacha</author>
  </authors>
  <commentList>
    <comment ref="H8" authorId="0" shapeId="0">
      <text>
        <r>
          <rPr>
            <b/>
            <sz val="9"/>
            <color indexed="81"/>
            <rFont val="Tahoma"/>
            <family val="2"/>
          </rPr>
          <t>PERSONAL:</t>
        </r>
        <r>
          <rPr>
            <sz val="9"/>
            <color indexed="81"/>
            <rFont val="Tahoma"/>
            <family val="2"/>
          </rPr>
          <t xml:space="preserve">
RÍO NEIVA , MAJO GARZON Y LA HONDA GIGANTE ,  CONTRATADO Y DECLARATORIA EN REGLAMENTACIÓN pedernal teruel y higado en tarqui</t>
        </r>
      </text>
    </comment>
    <comment ref="L8" authorId="1"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H10" authorId="0" shapeId="0">
      <text>
        <r>
          <rPr>
            <b/>
            <sz val="9"/>
            <color indexed="81"/>
            <rFont val="Tahoma"/>
            <family val="2"/>
          </rPr>
          <t>PERSONAL:</t>
        </r>
        <r>
          <rPr>
            <sz val="9"/>
            <color indexed="81"/>
            <rFont val="Tahoma"/>
            <family val="2"/>
          </rPr>
          <t xml:space="preserve">
 Río Neiva Campoalegre, Higado y Pedernal ESTE AÑO CULMINAN Y SE ENTREGAN COMO META
inicia majo y honda</t>
        </r>
      </text>
    </comment>
    <comment ref="L10" authorId="1" shapeId="0">
      <text>
        <r>
          <rPr>
            <b/>
            <sz val="9"/>
            <color indexed="81"/>
            <rFont val="Tahoma"/>
            <family val="2"/>
          </rPr>
          <t>esilva:</t>
        </r>
        <r>
          <rPr>
            <sz val="9"/>
            <color indexed="81"/>
            <rFont val="Tahoma"/>
            <family val="2"/>
          </rPr>
          <t xml:space="preserve">
TERMINADO HONDA MAJO
  inicia contratacion de guaroco, vueltas y quebradon</t>
        </r>
      </text>
    </comment>
    <comment ref="P10" authorId="0" shapeId="0">
      <text>
        <r>
          <rPr>
            <b/>
            <sz val="9"/>
            <color indexed="81"/>
            <rFont val="Tahoma"/>
            <family val="2"/>
          </rPr>
          <t>PERSONAL:</t>
        </r>
        <r>
          <rPr>
            <sz val="9"/>
            <color indexed="81"/>
            <rFont val="Tahoma"/>
            <family val="2"/>
          </rPr>
          <t xml:space="preserve">
Guarocó Baraya, La Vueltas Gigante y Quebradón Hobo
Iniciia contratacion Garzon y Hobo</t>
        </r>
      </text>
    </comment>
    <comment ref="T10" authorId="2" shapeId="0">
      <text>
        <r>
          <rPr>
            <b/>
            <sz val="9"/>
            <color indexed="81"/>
            <rFont val="Tahoma"/>
            <family val="2"/>
          </rPr>
          <t>Edisney Silva Argote:</t>
        </r>
        <r>
          <rPr>
            <sz val="9"/>
            <color indexed="81"/>
            <rFont val="Tahoma"/>
            <family val="2"/>
          </rPr>
          <t xml:space="preserve">
termina garzon y hobo</t>
        </r>
      </text>
    </comment>
    <comment ref="V11" authorId="2" shapeId="0">
      <text>
        <r>
          <rPr>
            <b/>
            <sz val="9"/>
            <color indexed="81"/>
            <rFont val="Tahoma"/>
            <family val="2"/>
          </rPr>
          <t>Edisney Silva Argote:</t>
        </r>
        <r>
          <rPr>
            <sz val="9"/>
            <color indexed="81"/>
            <rFont val="Tahoma"/>
            <family val="2"/>
          </rPr>
          <t xml:space="preserve">
debe colocarse 62 en el 2019</t>
        </r>
      </text>
    </comment>
    <comment ref="L12" authorId="0" shapeId="0">
      <text>
        <r>
          <rPr>
            <b/>
            <sz val="9"/>
            <color indexed="81"/>
            <rFont val="Tahoma"/>
            <family val="2"/>
          </rPr>
          <t>PERSONAL:</t>
        </r>
        <r>
          <rPr>
            <sz val="9"/>
            <color indexed="81"/>
            <rFont val="Tahoma"/>
            <family val="2"/>
          </rPr>
          <t xml:space="preserve">
Guarapas</t>
        </r>
      </text>
    </comment>
    <comment ref="P12" authorId="2" shapeId="0">
      <text>
        <r>
          <rPr>
            <b/>
            <sz val="9"/>
            <color indexed="81"/>
            <rFont val="Tahoma"/>
            <family val="2"/>
          </rPr>
          <t>Edisney Silva Argote:</t>
        </r>
        <r>
          <rPr>
            <sz val="9"/>
            <color indexed="81"/>
            <rFont val="Tahoma"/>
            <family val="2"/>
          </rPr>
          <t xml:space="preserve">
PMA Barbillas</t>
        </r>
      </text>
    </comment>
    <comment ref="V12" authorId="2" shapeId="0">
      <text>
        <r>
          <rPr>
            <b/>
            <sz val="9"/>
            <color indexed="81"/>
            <rFont val="Tahoma"/>
            <family val="2"/>
          </rPr>
          <t>Edisney Silva Argote:</t>
        </r>
        <r>
          <rPr>
            <sz val="9"/>
            <color indexed="81"/>
            <rFont val="Tahoma"/>
            <family val="2"/>
          </rPr>
          <t xml:space="preserve">
debe colcoarse en 2019 1,7</t>
        </r>
      </text>
    </comment>
    <comment ref="H13" authorId="2" shapeId="0">
      <text>
        <r>
          <rPr>
            <b/>
            <sz val="9"/>
            <color indexed="81"/>
            <rFont val="Tahoma"/>
            <family val="2"/>
          </rPr>
          <t>Edisney Silva Argote:</t>
        </r>
        <r>
          <rPr>
            <sz val="9"/>
            <color indexed="81"/>
            <rFont val="Tahoma"/>
            <family val="2"/>
          </rPr>
          <t xml:space="preserve">
9 estaciones de la vigencia anterior</t>
        </r>
      </text>
    </comment>
    <comment ref="V20" authorId="2" shapeId="0">
      <text>
        <r>
          <rPr>
            <b/>
            <sz val="9"/>
            <color indexed="81"/>
            <rFont val="Tahoma"/>
            <family val="2"/>
          </rPr>
          <t>Edisney Silva Argote:</t>
        </r>
        <r>
          <rPr>
            <sz val="9"/>
            <color indexed="81"/>
            <rFont val="Tahoma"/>
            <family val="2"/>
          </rPr>
          <t xml:space="preserve">
se debe colocar 40 en el 2019</t>
        </r>
      </text>
    </comment>
    <comment ref="H21" authorId="3" shapeId="0">
      <text>
        <r>
          <rPr>
            <b/>
            <sz val="9"/>
            <color indexed="81"/>
            <rFont val="Tahoma"/>
            <family val="2"/>
          </rPr>
          <t>auxiliar1:</t>
        </r>
        <r>
          <rPr>
            <sz val="9"/>
            <color indexed="81"/>
            <rFont val="Tahoma"/>
            <family val="2"/>
          </rPr>
          <t xml:space="preserve">
CEIBAS, SUAZA, GUARAPAS
</t>
        </r>
      </text>
    </comment>
    <comment ref="T21" authorId="0" shapeId="0">
      <text>
        <r>
          <rPr>
            <b/>
            <sz val="9"/>
            <color indexed="81"/>
            <rFont val="Tahoma"/>
            <family val="2"/>
          </rPr>
          <t>PERSONAL:</t>
        </r>
        <r>
          <rPr>
            <sz val="9"/>
            <color indexed="81"/>
            <rFont val="Tahoma"/>
            <family val="2"/>
          </rPr>
          <t xml:space="preserve">
CEIBAS, SUAZA, GUARAPAS, GARZÓN, BARBILLAS</t>
        </r>
      </text>
    </comment>
    <comment ref="V21" authorId="2" shapeId="0">
      <text>
        <r>
          <rPr>
            <b/>
            <sz val="9"/>
            <color indexed="81"/>
            <rFont val="Tahoma"/>
            <family val="2"/>
          </rPr>
          <t>Edisney Silva Argote:</t>
        </r>
        <r>
          <rPr>
            <sz val="9"/>
            <color indexed="81"/>
            <rFont val="Tahoma"/>
            <family val="2"/>
          </rPr>
          <t xml:space="preserve">
se debe incluir 2 en el 2019</t>
        </r>
      </text>
    </comment>
    <comment ref="Y21" authorId="4" shapeId="0">
      <text>
        <r>
          <rPr>
            <b/>
            <sz val="9"/>
            <color indexed="81"/>
            <rFont val="Tahoma"/>
            <family val="2"/>
          </rPr>
          <t>Fredy A.: Ceibas, Garzòn, Suaza y Guarapas</t>
        </r>
        <r>
          <rPr>
            <sz val="9"/>
            <color indexed="81"/>
            <rFont val="Tahoma"/>
            <family val="2"/>
          </rPr>
          <t xml:space="preserve">
</t>
        </r>
      </text>
    </comment>
    <comment ref="H23" authorId="2" shapeId="0">
      <text>
        <r>
          <rPr>
            <b/>
            <sz val="9"/>
            <color indexed="81"/>
            <rFont val="Tahoma"/>
            <family val="2"/>
          </rPr>
          <t>Edisney Silva Argote:</t>
        </r>
        <r>
          <rPr>
            <sz val="9"/>
            <color indexed="81"/>
            <rFont val="Tahoma"/>
            <family val="2"/>
          </rPr>
          <t xml:space="preserve">
has afectadas por incedios forestales</t>
        </r>
      </text>
    </comment>
    <comment ref="R28" authorId="5" shapeId="0">
      <text>
        <r>
          <rPr>
            <b/>
            <sz val="9"/>
            <color indexed="81"/>
            <rFont val="Tahoma"/>
            <family val="2"/>
          </rPr>
          <t>Ronal Estith Dussan Quiacha:</t>
        </r>
        <r>
          <rPr>
            <sz val="9"/>
            <color indexed="81"/>
            <rFont val="Tahoma"/>
            <family val="2"/>
          </rPr>
          <t xml:space="preserve">
Informa que realizo mas de la meta en compra de predios </t>
        </r>
      </text>
    </comment>
    <comment ref="H36" authorId="0" shapeId="0">
      <text>
        <r>
          <rPr>
            <b/>
            <sz val="9"/>
            <color indexed="81"/>
            <rFont val="Tahoma"/>
            <family val="2"/>
          </rPr>
          <t>PERSONAL:</t>
        </r>
        <r>
          <rPr>
            <sz val="9"/>
            <color indexed="81"/>
            <rFont val="Tahoma"/>
            <family val="2"/>
          </rPr>
          <t xml:space="preserve">
PNR PARAMO DE OSERAS</t>
        </r>
      </text>
    </comment>
    <comment ref="L36" authorId="0"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6" authorId="0" shapeId="0">
      <text>
        <r>
          <rPr>
            <b/>
            <sz val="9"/>
            <color indexed="81"/>
            <rFont val="Tahoma"/>
            <family val="2"/>
          </rPr>
          <t>PERSONAL:</t>
        </r>
        <r>
          <rPr>
            <sz val="9"/>
            <color indexed="81"/>
            <rFont val="Tahoma"/>
            <family val="2"/>
          </rPr>
          <t xml:space="preserve">
DRMI ACEVEDO</t>
        </r>
      </text>
    </comment>
    <comment ref="H39" authorId="0" shapeId="0">
      <text>
        <r>
          <rPr>
            <b/>
            <sz val="9"/>
            <color indexed="81"/>
            <rFont val="Tahoma"/>
            <family val="2"/>
          </rPr>
          <t>PERSONAL:</t>
        </r>
        <r>
          <rPr>
            <sz val="9"/>
            <color indexed="81"/>
            <rFont val="Tahoma"/>
            <family val="2"/>
          </rPr>
          <t xml:space="preserve">
SIRAP Macizo, CEERCCO, VALLE SECO MAGDALENA</t>
        </r>
      </text>
    </comment>
    <comment ref="U39" authorId="1" shapeId="0">
      <text>
        <r>
          <rPr>
            <b/>
            <sz val="9"/>
            <color indexed="81"/>
            <rFont val="Tahoma"/>
            <family val="2"/>
          </rPr>
          <t>esilva:</t>
        </r>
        <r>
          <rPr>
            <sz val="9"/>
            <color indexed="81"/>
            <rFont val="Tahoma"/>
            <family val="2"/>
          </rPr>
          <t xml:space="preserve">
resolucion 2541 de 22 de octubre de 2015 
152.827.425</t>
        </r>
      </text>
    </comment>
    <comment ref="L42" authorId="0" shapeId="0">
      <text>
        <r>
          <rPr>
            <b/>
            <sz val="9"/>
            <color indexed="81"/>
            <rFont val="Tahoma"/>
            <family val="2"/>
          </rPr>
          <t>PERSONAL:</t>
        </r>
        <r>
          <rPr>
            <sz val="9"/>
            <color indexed="81"/>
            <rFont val="Tahoma"/>
            <family val="2"/>
          </rPr>
          <t xml:space="preserve">
PICACHOS</t>
        </r>
      </text>
    </comment>
    <comment ref="P42" authorId="0" shapeId="0">
      <text>
        <r>
          <rPr>
            <b/>
            <sz val="9"/>
            <color indexed="81"/>
            <rFont val="Tahoma"/>
            <family val="2"/>
          </rPr>
          <t>PERSONAL:</t>
        </r>
        <r>
          <rPr>
            <sz val="9"/>
            <color indexed="81"/>
            <rFont val="Tahoma"/>
            <family val="2"/>
          </rPr>
          <t xml:space="preserve">
PICACHOS, SUMAPAZ Y MIRAFLORES-regimen de uso</t>
        </r>
      </text>
    </comment>
    <comment ref="T42" authorId="0" shapeId="0">
      <text>
        <r>
          <rPr>
            <b/>
            <sz val="9"/>
            <color indexed="81"/>
            <rFont val="Tahoma"/>
            <family val="2"/>
          </rPr>
          <t>PERSONAL:</t>
        </r>
        <r>
          <rPr>
            <sz val="9"/>
            <color indexed="81"/>
            <rFont val="Tahoma"/>
            <family val="2"/>
          </rPr>
          <t xml:space="preserve">
SUMAPAZ</t>
        </r>
      </text>
    </comment>
    <comment ref="V51" authorId="2" shapeId="0">
      <text>
        <r>
          <rPr>
            <b/>
            <sz val="9"/>
            <color indexed="81"/>
            <rFont val="Tahoma"/>
            <family val="2"/>
          </rPr>
          <t>Edisney Silva Argote:</t>
        </r>
        <r>
          <rPr>
            <sz val="9"/>
            <color indexed="81"/>
            <rFont val="Tahoma"/>
            <family val="2"/>
          </rPr>
          <t xml:space="preserve">
incluir en 2019 25 has humedales</t>
        </r>
      </text>
    </comment>
    <comment ref="J83" authorId="1" shapeId="0">
      <text>
        <r>
          <rPr>
            <b/>
            <sz val="9"/>
            <color indexed="81"/>
            <rFont val="Tahoma"/>
            <family val="2"/>
          </rPr>
          <t>esilva:</t>
        </r>
        <r>
          <rPr>
            <sz val="9"/>
            <color indexed="81"/>
            <rFont val="Tahoma"/>
            <family val="2"/>
          </rPr>
          <t xml:space="preserve">
100</t>
        </r>
      </text>
    </comment>
  </commentList>
</comments>
</file>

<file path=xl/comments2.xml><?xml version="1.0" encoding="utf-8"?>
<comments xmlns="http://schemas.openxmlformats.org/spreadsheetml/2006/main">
  <authors>
    <author>jvargas</author>
  </authors>
  <commentList>
    <comment ref="K147" authorId="0" shapeId="0">
      <text>
        <r>
          <rPr>
            <b/>
            <sz val="8"/>
            <color indexed="81"/>
            <rFont val="Tahoma"/>
            <family val="2"/>
          </rPr>
          <t>jvargas:
PROMEDIO FISICO</t>
        </r>
      </text>
    </comment>
  </commentList>
</comments>
</file>

<file path=xl/comments3.xml><?xml version="1.0" encoding="utf-8"?>
<comments xmlns="http://schemas.openxmlformats.org/spreadsheetml/2006/main">
  <authors>
    <author>jvargas</author>
  </authors>
  <commentList>
    <comment ref="K159" authorId="0" shapeId="0">
      <text>
        <r>
          <rPr>
            <b/>
            <sz val="8"/>
            <color indexed="81"/>
            <rFont val="Tahoma"/>
            <family val="2"/>
          </rPr>
          <t>jvargas:
PROMEDIO FISICO</t>
        </r>
      </text>
    </comment>
  </commentList>
</comments>
</file>

<file path=xl/sharedStrings.xml><?xml version="1.0" encoding="utf-8"?>
<sst xmlns="http://schemas.openxmlformats.org/spreadsheetml/2006/main" count="1973" uniqueCount="628">
  <si>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</si>
  <si>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</si>
  <si>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</si>
  <si>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</si>
  <si>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</si>
  <si>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</si>
  <si>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</si>
  <si>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</si>
  <si>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</si>
  <si>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</si>
  <si>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</si>
  <si>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</si>
  <si>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</si>
  <si>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</si>
  <si>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</si>
  <si>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</si>
  <si>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</si>
  <si>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</si>
  <si>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</si>
  <si>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</si>
  <si>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</si>
  <si>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</si>
  <si>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</si>
  <si>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</si>
  <si>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</si>
  <si>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</si>
  <si>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</si>
  <si>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</si>
  <si>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</si>
  <si>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</si>
  <si>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</si>
  <si>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</si>
  <si>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</si>
  <si>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</si>
  <si>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</si>
  <si>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</si>
  <si>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</si>
  <si>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</si>
  <si>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</si>
  <si>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</si>
  <si>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</si>
  <si>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</si>
  <si>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</si>
  <si>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</si>
  <si>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</si>
  <si>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</si>
  <si>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</si>
  <si>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</si>
  <si>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</si>
  <si>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</si>
  <si>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</si>
  <si>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</si>
  <si>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</si>
  <si>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</si>
  <si>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</si>
  <si>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</si>
  <si>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</si>
  <si>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</si>
  <si>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</si>
  <si>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</si>
  <si>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</si>
  <si>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</si>
  <si>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</si>
  <si>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</si>
  <si>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</si>
  <si>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</si>
  <si>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</si>
  <si>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</si>
  <si>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</si>
  <si>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</si>
  <si>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</si>
  <si>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</si>
  <si>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</si>
  <si>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</si>
  <si>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</si>
  <si>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</si>
  <si>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</si>
  <si>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</si>
  <si>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</si>
  <si>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</si>
  <si>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</si>
  <si>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</si>
  <si>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</si>
  <si>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</si>
  <si>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</si>
  <si>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</si>
  <si>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</si>
  <si>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</si>
  <si>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</si>
  <si>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</si>
  <si>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</si>
  <si>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</si>
  <si>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</si>
  <si>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</si>
  <si>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</si>
  <si>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</si>
  <si>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</si>
  <si>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</si>
  <si>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</si>
  <si>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</si>
  <si>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</si>
  <si>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</si>
  <si>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</si>
  <si>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</si>
  <si>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</si>
  <si>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</si>
  <si>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</si>
  <si>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</si>
  <si>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</si>
  <si>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</si>
  <si>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</si>
  <si>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</si>
  <si>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</si>
  <si>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</si>
  <si>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</si>
  <si>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</si>
  <si>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</si>
  <si>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</si>
  <si>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</si>
  <si>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</si>
  <si>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</si>
  <si>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</si>
  <si>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</si>
  <si>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</si>
  <si>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</si>
  <si>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</si>
  <si>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</si>
  <si>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</si>
  <si>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</si>
  <si>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</si>
  <si>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</si>
  <si>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</si>
  <si>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</si>
  <si>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</si>
  <si>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</si>
  <si>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</si>
  <si>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</si>
  <si>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</si>
  <si>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</si>
  <si>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</si>
  <si>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</si>
  <si>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</si>
  <si>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</si>
  <si>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</si>
  <si>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</si>
  <si>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</si>
  <si>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</si>
  <si>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</si>
  <si>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</si>
  <si>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</si>
  <si>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</si>
  <si>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</si>
  <si>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</si>
  <si>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</si>
  <si>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</si>
  <si>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</si>
  <si>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</si>
  <si>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</si>
  <si>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</si>
  <si>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</si>
  <si>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</si>
  <si>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</si>
  <si>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</si>
  <si>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</si>
  <si>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</si>
  <si>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</si>
  <si>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</si>
  <si>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</si>
  <si>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</si>
  <si>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</si>
  <si>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</si>
  <si>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</si>
  <si>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</si>
  <si>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</si>
  <si>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</si>
  <si>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</si>
  <si>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</si>
  <si>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</si>
  <si>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</si>
  <si>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</si>
  <si>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</si>
  <si>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</si>
  <si>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</si>
  <si>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</si>
  <si>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</si>
  <si>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</si>
  <si>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</si>
  <si>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</si>
  <si>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</si>
  <si>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</si>
  <si>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</si>
  <si>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</si>
  <si>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</si>
  <si>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</si>
  <si>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</si>
  <si>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</si>
  <si>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</si>
  <si>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CORPORACION AUTONOMA REGIONAL DEL ALTO MAGDALENA CAM</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</si>
  <si>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</si>
  <si>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</si>
  <si>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</si>
  <si>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</si>
  <si>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</si>
  <si>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</si>
  <si>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</si>
  <si>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</si>
  <si>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</si>
  <si>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</si>
  <si>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</si>
  <si>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</si>
  <si>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</si>
  <si>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</si>
  <si>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</si>
  <si>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</si>
  <si>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</si>
  <si>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</si>
  <si>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</si>
  <si>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</si>
  <si>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</si>
  <si>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</si>
  <si>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</si>
  <si>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</si>
  <si>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</si>
  <si>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</si>
  <si>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</si>
  <si>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</si>
  <si>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</si>
  <si>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</si>
  <si>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</si>
  <si>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</si>
  <si>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</si>
  <si>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</si>
  <si>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</si>
  <si>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</si>
  <si>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</si>
  <si>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</si>
  <si>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</si>
  <si>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</si>
  <si>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</si>
  <si>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</si>
  <si>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</si>
  <si>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</si>
  <si>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</si>
  <si>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</si>
  <si>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</si>
  <si>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</si>
  <si>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</si>
  <si>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</si>
  <si>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</si>
  <si>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</si>
  <si>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</si>
  <si>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</si>
  <si>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</si>
  <si>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</si>
  <si>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</si>
  <si>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</si>
  <si>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</si>
  <si>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</si>
  <si>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</si>
  <si>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</si>
  <si>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</si>
  <si>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</si>
  <si>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</si>
  <si>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</si>
  <si>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</si>
  <si>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</si>
  <si>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</si>
  <si>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</si>
  <si>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</si>
  <si>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</si>
  <si>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</si>
  <si>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</si>
  <si>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</si>
  <si>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</si>
  <si>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</si>
  <si>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</si>
  <si>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</si>
  <si>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</si>
  <si>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</si>
  <si>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</si>
  <si>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</si>
  <si>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</si>
  <si>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</si>
  <si>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</si>
  <si>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</si>
  <si>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</si>
  <si>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</si>
  <si>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</si>
  <si>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</si>
  <si>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</si>
  <si>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</si>
  <si>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</si>
  <si>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</si>
  <si>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</si>
  <si>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</si>
  <si>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</si>
  <si>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</si>
  <si>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</si>
  <si>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</si>
  <si>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</si>
  <si>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</si>
  <si>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</si>
  <si>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</si>
  <si>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</si>
  <si>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</si>
  <si>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</si>
  <si>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</si>
  <si>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</si>
  <si>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</si>
  <si>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</si>
  <si>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</si>
  <si>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</si>
  <si>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</si>
  <si>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</si>
  <si>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</si>
  <si>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</si>
  <si>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</si>
  <si>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</si>
  <si>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</si>
  <si>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</si>
  <si>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</si>
  <si>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</si>
  <si>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</si>
  <si>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</si>
  <si>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</si>
  <si>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</si>
  <si>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</si>
  <si>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</si>
  <si>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</si>
  <si>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</si>
  <si>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</si>
  <si>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</si>
  <si>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</si>
  <si>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</si>
  <si>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</si>
  <si>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</si>
  <si>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</si>
  <si>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</si>
  <si>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</si>
  <si>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</si>
  <si>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</si>
  <si>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</si>
  <si>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</si>
  <si>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</si>
  <si>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</si>
  <si>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</si>
  <si>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</si>
  <si>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</si>
  <si>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PROGRAMA 1: AGUA PARA TODOS</t>
  </si>
  <si>
    <t>Suelos degradados en recuperación o rehabilitacón</t>
  </si>
  <si>
    <t>EJECUCION PLAN DE ACCIÓN 2016-2019</t>
  </si>
  <si>
    <t>META PROGRAMADA 
VIGENCIA 2016</t>
  </si>
  <si>
    <t>EJECUCION 2016</t>
  </si>
  <si>
    <t>META PROGRAMADA 
VIGENCIA 2017</t>
  </si>
  <si>
    <t>EJECUCION 2017</t>
  </si>
  <si>
    <t>META PROGRAMADA 
VIGENCIA 2018</t>
  </si>
  <si>
    <t>EJECUCION 2018 A DICIEMBRE 31</t>
  </si>
  <si>
    <t>META PROGRAMADA VIGENCIA 2019</t>
  </si>
  <si>
    <t>EJECUCION 2019</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</si>
  <si>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</si>
  <si>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</si>
  <si>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</si>
  <si>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</si>
  <si>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</si>
  <si>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</si>
  <si>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</si>
  <si>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</si>
  <si>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</si>
  <si>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</si>
  <si>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</si>
  <si>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</si>
  <si>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Evaluación  Regional del Agua</t>
  </si>
  <si>
    <t>Subzonas</t>
  </si>
  <si>
    <t>Estudios Ambientales del Recuso Hídrico</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</si>
  <si>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</si>
  <si>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</si>
  <si>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</si>
  <si>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</si>
  <si>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</si>
  <si>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</si>
  <si>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</si>
  <si>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</si>
  <si>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</si>
  <si>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</si>
  <si>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</si>
  <si>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</si>
  <si>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</si>
  <si>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</si>
  <si>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</si>
  <si>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</si>
  <si>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</si>
  <si>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</si>
  <si>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 xml:space="preserve">PROGRAMA 3: ADAPTACIÓN PARA EL CRECIMIENTO VERDE </t>
  </si>
  <si>
    <r>
      <t xml:space="preserve">
PROGRAMAS - PROYECTOS  PLAN DE ACCION 2016-2019
</t>
    </r>
    <r>
      <rPr>
        <b/>
        <sz val="10"/>
        <color indexed="10"/>
        <rFont val="Arial Narrow"/>
        <family val="2"/>
      </rPr>
      <t/>
    </r>
  </si>
  <si>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</si>
  <si>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</si>
  <si>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</si>
  <si>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</si>
  <si>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</si>
  <si>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</si>
  <si>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</si>
  <si>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</si>
  <si>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</si>
  <si>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</si>
  <si>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</si>
  <si>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</si>
  <si>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</si>
  <si>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PROGRAMA 4:  CUIDA TU NATURALEZA</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</si>
  <si>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</si>
  <si>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</si>
  <si>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</si>
  <si>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</si>
  <si>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</si>
  <si>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</si>
  <si>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</si>
  <si>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</si>
  <si>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</si>
  <si>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</si>
  <si>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</si>
  <si>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</si>
  <si>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</si>
  <si>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</si>
  <si>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</si>
  <si>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</si>
  <si>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 xml:space="preserve">PROGRAMA 5:  HUILA TERRITORIO ORDENADO </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</si>
  <si>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</si>
  <si>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</si>
  <si>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</si>
  <si>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</si>
  <si>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</si>
  <si>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</si>
  <si>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</si>
  <si>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</si>
  <si>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</si>
  <si>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</si>
  <si>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</si>
  <si>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</si>
  <si>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PROGRAMA 6: EDUCACIÓN CAMINO DE PAZ</t>
  </si>
  <si>
    <t>Sistema Integrado de Gestión  conforme y articulado al MECI</t>
  </si>
  <si>
    <t>Ejecución del Plan Estratégico Tecnológico 2016-2019</t>
  </si>
  <si>
    <t xml:space="preserve">Implementacion del programa de gestión documental  </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</si>
  <si>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</si>
  <si>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</si>
  <si>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</si>
  <si>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</si>
  <si>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</si>
  <si>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</si>
  <si>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</si>
  <si>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</si>
  <si>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</si>
  <si>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promedio</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</si>
  <si>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</si>
  <si>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</si>
  <si>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</si>
  <si>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</si>
  <si>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</si>
  <si>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t>CORPORACIÓN AUTÓNOMA REGIONAL DEL ALTO MAGDALENA CAM
MATRIZ DE SEGUIMIENTO DEL PLAN DE ACCIÓN 
AVANCE EN LAS METAS FÍSICAS Y FINANCIERAS DEL PLAN DE ACCIÓN 2016-2019</t>
  </si>
  <si>
    <r>
      <t xml:space="preserve">(1)
PROGRAMAS - PROYECTOS  DEL PA 2016-2019
</t>
    </r>
    <r>
      <rPr>
        <b/>
        <sz val="10"/>
        <color indexed="10"/>
        <rFont val="Arial Narrow"/>
        <family val="2"/>
      </rPr>
      <t/>
    </r>
  </si>
  <si>
    <t>PROGRAMA No. 2  BIODIVERSIDAD: FUENTE DE VIDA</t>
  </si>
  <si>
    <t xml:space="preserve">Proyecto No.2.1:   CONOCIMIENTO Y PLANIFICACIÓN DE ECOSISTEMAS ESTRATÉGICOS </t>
  </si>
  <si>
    <t>PROGRAMA No. 3  ADAPTACIÓN PARA EL CRECIMIENTO VERDE</t>
  </si>
  <si>
    <t>Proyecto No.3.1:    CRECIMIENTO VERDE DE SECTORES PRODUCTIVOS</t>
  </si>
  <si>
    <t xml:space="preserve">PROGRAMA No. 4    CUIDA TU NATURALEZA </t>
  </si>
  <si>
    <t>Proyecto No. 4.1:  CONTROL Y VIGILANCIA AMBIENTAL</t>
  </si>
  <si>
    <t>PROGRAMA No. 6  EDUCACIÓN CAMINO DE PAZ</t>
  </si>
  <si>
    <t>Proyecto No. 6.1:   CAM: MODELO DE GESTIÓN CORPORATIVA</t>
  </si>
  <si>
    <t>Proyecto No. 6.2:   EDUCACIÓN AMBIENTAL: OPITA DE CORAZON</t>
  </si>
  <si>
    <t>P 1.2: RECUPERACION DE CUENCAS  HIDROGRAFICAS</t>
  </si>
  <si>
    <t>P 1.3:  CONOCIMIENTO Y PLANIFICACIÓN DE ECOSISTEMAS ESTRATÉGICOS</t>
  </si>
  <si>
    <t>P 2: BIODIVERSIDAD: FUENTE DE VIDA</t>
  </si>
  <si>
    <t>P 3: ADAPTACIÓN PARA EL CRECIMIENTO VERDE</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</si>
  <si>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</si>
  <si>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</si>
  <si>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</si>
  <si>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</si>
  <si>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</si>
  <si>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</si>
  <si>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</si>
  <si>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</si>
  <si>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</si>
  <si>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</si>
  <si>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PROGRAMA 2: BIODIVERSIDAD, FUENTE DE VIDA.</t>
  </si>
  <si>
    <t>Porcentaje de la superficie de áreas protegidas regionales declaradas, homologadas o recategorizadas, inscritas en el RUNAP.</t>
  </si>
  <si>
    <t>META PLAN DE ACCIÓN PROGRAMADA
ENERO 2016 A DICIEMBRE 2019</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</si>
  <si>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</si>
  <si>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</si>
  <si>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</si>
  <si>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</si>
  <si>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</si>
  <si>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</si>
  <si>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</si>
  <si>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</si>
  <si>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</si>
  <si>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</si>
  <si>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</si>
  <si>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</si>
  <si>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Proyecto No. 5.1  Planificación Ambiental Territorial</t>
  </si>
  <si>
    <t>Proyecto No. 6.2 Eduación Ambiental Opitas de Corazón</t>
  </si>
  <si>
    <t>Proyecto No. 6.1  CAM: Modelo de Gestión Corporativa</t>
  </si>
  <si>
    <t xml:space="preserve">Proyecto No. 5.2 Gestion de Riesgo de Desastres </t>
  </si>
  <si>
    <t>Proyecto No. 4.1  Control y Vigilancia Ambiental</t>
  </si>
  <si>
    <t>Proyecto No. 3.2  Areas Urbanas Sostenibles y Resilentes</t>
  </si>
  <si>
    <t>Proyecto No. 3.1 Crecimiento Verde de Sectores Productivos</t>
  </si>
  <si>
    <t>Proyecto No. 2.2 Conservación  y Recuperación de Ecosistemas Estratégicos y su Biodiversidad</t>
  </si>
  <si>
    <t>Proyecto No. 2.1  Conocimiento y Planificación de Ecosistemas  Estratégicos</t>
  </si>
  <si>
    <t>Proyecto No. 1.2 Recuperación de Cuencas Hidrográficas</t>
  </si>
  <si>
    <t>Proyecto No. 1.1  Ordenamiento y Administracion del Recurso Hídrico y las Cuencas Hidrográficas</t>
  </si>
  <si>
    <t xml:space="preserve">Unidad </t>
  </si>
  <si>
    <t xml:space="preserve">Áreas revegetalizadas naturalmente para la protección y restauración de cuencas abastecedoras. </t>
  </si>
  <si>
    <t>Predios</t>
  </si>
  <si>
    <t xml:space="preserve">Aplicación </t>
  </si>
  <si>
    <t>Sistema *</t>
  </si>
  <si>
    <t>Seguimiento*</t>
  </si>
  <si>
    <t>CORPORACIÓN AUTÓNOMA REGIONAL DEL ALTO MAGDALENA -CAM-
CONSOLIDADO GESTIÓN FÍSICA Y FINANCIERA DEL PLAN DE ACCIÓN 2016 - 2019 HUILA RESILIENTE, TERRITORIO NATURAL DE PAZ</t>
  </si>
  <si>
    <t>Gastos de Gestión, Operación, Administración y Promoción del Proyecto</t>
  </si>
  <si>
    <t>Global</t>
  </si>
  <si>
    <t>Proyecto No. 1.3:   Descontaminación de Fuentes Hídricas</t>
  </si>
  <si>
    <t xml:space="preserve">Proyecto No. 5.2 Gestion de riesgo de desastres </t>
  </si>
  <si>
    <t>N/A</t>
  </si>
  <si>
    <t>Promoción e implementación del Pacto Intersectorial por la Madera legal</t>
  </si>
  <si>
    <t>Estrategia de control a la extracción  legal de los recursos naturales.RED DE CONTROL AMBIENTAL RECAM</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</si>
  <si>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</si>
  <si>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</si>
  <si>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</si>
  <si>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</si>
  <si>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</si>
  <si>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META FÍSICA DEL PROYECTO</t>
  </si>
  <si>
    <t>GLOBAL META FÍSICA DE LOS PROYECTOS</t>
  </si>
  <si>
    <t>PORCENTAJE (%) META FÍSICA DEL PROYECTO</t>
  </si>
  <si>
    <t>P 1: AGUA PARA TODOS</t>
  </si>
  <si>
    <t xml:space="preserve">
P6.2: EDUCACIÓN AMBIENTAL: OPITA DE CORAZÓN</t>
  </si>
  <si>
    <t>Proyecto No. 1.3 Descontaminación de Fuentes Hídricas</t>
  </si>
  <si>
    <t>Estudio técnico y proceso  de socialización tendiente  a la declaratoria de áreas protegidas.</t>
  </si>
  <si>
    <t>Porcentaje de Páramos delimitados por el MADS, con zonificación y régimen de usos adoptados por la CAM</t>
  </si>
  <si>
    <t>PROGRAMA 1 Ordenamiento y administración del recurso hídrico y las cuencas Hidrográficas</t>
  </si>
  <si>
    <t>Proyecto No. 1.2 RECUPERACIÓN DE CUENCAS  HIDROGRÁFICAS</t>
  </si>
  <si>
    <t>Proyecto No.2.2:  CONSERVACIÓN Y RECUPERACIÓN DE ECOSISTEMAS ESTRATÉGICOS Y SU BIODIVERSIDAD</t>
  </si>
  <si>
    <t xml:space="preserve">Proyecto No.3.2: ÁREAS URBANAS SOSTENIBLES Y RESILIENTES   </t>
  </si>
  <si>
    <t>P 1.1: ORDENAMIENTO Y ADMINISTRACIÓN DEL RECURSO HÍDRICO Y LAS CUENCAS HIDROGRÁFICAS</t>
  </si>
  <si>
    <t>P 2.2:  CONSERVACIÓN Y RECUPERACIÓN DE ECOSISTEMAS ESTRATÉGICOS Y SU BIODIVERSIDAD</t>
  </si>
  <si>
    <t xml:space="preserve">P 3.2: ÁREAS URBANAS SOSTENIBLES Y RESILIENTES  </t>
  </si>
  <si>
    <t>INDICADORES DE GESTIÓN</t>
  </si>
  <si>
    <t>INFORME DE EJECUCIÓN PLAN DE ACCIÓN</t>
  </si>
  <si>
    <t>P 5.2: GESTIÓN DEL RIESGO DE DESASTRES</t>
  </si>
  <si>
    <t xml:space="preserve">Implementación del programa de gestión documental  </t>
  </si>
  <si>
    <t>INDICE DE EJECUCIÓN FINANCIERA DEL PROYECTO (%)</t>
  </si>
  <si>
    <t>Proyecto No. 1.1  Ordenamiento y administración del recurso hídrico y las cuencas Hidrográficas</t>
  </si>
  <si>
    <t>Suelos degradados en recuperación o rehabilitación</t>
  </si>
  <si>
    <t>Porcentaje de áreas de ecosistemas en restauración, rehabilitación y reforestación</t>
  </si>
  <si>
    <t>Porcentaje de suelos degradados en recuperación o rehabilitación</t>
  </si>
  <si>
    <t xml:space="preserve">Porcentaje </t>
  </si>
  <si>
    <t xml:space="preserve">ANEXO No. 5-1. INFORME DE EJECUCION PRESUPUESTAL DE INGRESOS </t>
  </si>
  <si>
    <t xml:space="preserve">  </t>
  </si>
  <si>
    <t>APROPIACION DEFINITIVA</t>
  </si>
  <si>
    <t>EJECUCION    (COMPROMISOS)</t>
  </si>
  <si>
    <t>Pograma 1</t>
  </si>
  <si>
    <t>Programa 2</t>
  </si>
  <si>
    <t>Programa 3</t>
  </si>
  <si>
    <t>3,1 Crecimiento Verde de Sectores Productivos</t>
  </si>
  <si>
    <t>3,2 Areas  Urbanas Sostenibles y Resilientes</t>
  </si>
  <si>
    <t>3,3 Crecimiento Verde de Sectores Productivos-Vigencias Expiradas</t>
  </si>
  <si>
    <t>Programa 4</t>
  </si>
  <si>
    <t>4,1 Control y vigilancia Ambiental</t>
  </si>
  <si>
    <t>Programa 5</t>
  </si>
  <si>
    <t>Programa 6</t>
  </si>
  <si>
    <r>
      <t xml:space="preserve">VIGENCIA EVALUADA (AÑO): </t>
    </r>
    <r>
      <rPr>
        <b/>
        <u/>
        <sz val="11"/>
        <rFont val="Arial"/>
        <family val="2"/>
      </rPr>
      <t xml:space="preserve">2018 </t>
    </r>
    <r>
      <rPr>
        <b/>
        <sz val="11"/>
        <rFont val="Arial"/>
        <family val="2"/>
      </rPr>
      <t xml:space="preserve"> PERIODO EVALUADO: I SEMESTRE DE 2018</t>
    </r>
  </si>
  <si>
    <t>META FÍSICA DEL PROYECTO %</t>
  </si>
  <si>
    <t>n/a</t>
  </si>
  <si>
    <t>RECURSOS VIGENCIA :   DICIEMBRE DE 2018</t>
  </si>
  <si>
    <t>EJECUCION    (PAGOS Y CXP)</t>
  </si>
  <si>
    <t>PRESUPUESTO APROPIADO PLAN DE ACCIÓN VIGENCIA 2019</t>
  </si>
  <si>
    <t>VALOR TOTAL COMPROMETIDO PLAN DE ACCIÓN VIGENCIA 2019</t>
  </si>
  <si>
    <t>INDICE GLOBAL DE EJECUCIÓN FINANCIERA PLAN DE ACCIÓN 2019</t>
  </si>
  <si>
    <t>,</t>
  </si>
  <si>
    <t>2016 -2019</t>
  </si>
  <si>
    <t xml:space="preserve">ANEXO No.5-2. INFORME DE EJECUCION PRESUPUESTAL DE GASTOS </t>
  </si>
  <si>
    <t>1,1 Ordenamiento y Admon RH y Cuencas Hidrograficas</t>
  </si>
  <si>
    <t>1,2 Recuperacion de Cuencas Hidrograficas</t>
  </si>
  <si>
    <t>1,3 descontaminacion de Fuentes Hidricas</t>
  </si>
  <si>
    <t>2,1 Conocimiento y Planificacion de Ecosistemas Estrategicos</t>
  </si>
  <si>
    <t>2,2 Conservacion y Recuperacion de Ecosistemas Estrategicos y su Biodiversidad</t>
  </si>
  <si>
    <t>2,3 Conservacion y Recuperacion de Ecosistemas Estrategicos y su Biodiversidad- Vigencias Expiradas</t>
  </si>
  <si>
    <t>5,1 Planificacion Ambiental Territorial</t>
  </si>
  <si>
    <t>5,2 Gestion del Riesgo de Desastres</t>
  </si>
  <si>
    <t>6,1 CAM Modelo de Gestion Corporativa</t>
  </si>
  <si>
    <t>6,2 Educacion Ambiental Opita de Corazon</t>
  </si>
  <si>
    <t>TOTAL PRESUPUESTO  DE INVERSION</t>
  </si>
  <si>
    <t>Seguimiento, Monitoreo y Control al Recurso Hídrico (Cuencas Abastecedoras y Otras Cuencas Prioritarias)</t>
  </si>
  <si>
    <t>Meta cumplida en la vigencia 2017. Estos indicadores son complementario, el inidcador minimo (en color)</t>
  </si>
  <si>
    <t>Meta cumplida en las vigencias 2017 y 2018</t>
  </si>
  <si>
    <t>Meta cumplida en el 2018</t>
  </si>
  <si>
    <t>Estos indicadores son complementarios, el inidcador minimo (en color)</t>
  </si>
  <si>
    <t>Meta cumplida en la vigencia 2018</t>
  </si>
  <si>
    <t>Meta cumplida en el 2017</t>
  </si>
  <si>
    <t>Se avanza en la contratación del acotamiento de ronas hidricas conforme a la priorizacion realizada</t>
  </si>
  <si>
    <t>Obras de mitigación del riesgo Municipio de Timaná</t>
  </si>
  <si>
    <t>Meta cumplida en el 2016</t>
  </si>
  <si>
    <t>Meta cumplida en la vigencia 2016 y 2017</t>
  </si>
  <si>
    <t xml:space="preserve">Estos indicadores son complementarios, el indicador  minimo (en color). Este indicador fue ajustado mediante acuerdo No. 013 del 28 de septiembre de 2018. 
Con corte a 30 de noviembre de 2019 para el POMCA GUARAPAS se encuentran finalizadas las fases de Aprestamiento, Diagnóstico, Prospectiva y Zonificación y Formulación del POMCA del rio Guarapas . 98 % de avance.
PMAN BARBILLAS: Con la finalización de la fase de diagnóstico y la finalización de la fase de formulación, se reporta un avance de 98%.
PMAM  GARZON: A la fecha el PMAM reporta un avance de 90 %. En el trascurso del mes diciembre se espera tener el acto administrativo por el cual se aprueba el PMAM.
</t>
  </si>
  <si>
    <t>Para el año 2019, se ejecuta el convenio entre la CAM y el Instituto de Hidrología, Meteorología y Estudios Ambientales (IDEAM) para dar continuidad al Programa de monitoreo de calidad y cantidad de aguas superficiales a través de dos (2) campañas en 40 estaciones de muestreo (ver mapa 1), (Campaña 1: junio-2019; Campaña 2: octubre-2019).</t>
  </si>
  <si>
    <t xml:space="preserve">Se tiene terminado el análisis de dos de los tres indicadores de calidad del agua, el Índice de Calidad del Agua ICA y el índice de Calidad Biológica del Agua con Macroinvertebrados IMA, para los cuales está adelantando la correspondiente espacialización para la generación de los mapas en categoría de colores. 
De acuerdo con el cronograma de actividades, se tiene programado para la tercera semana de diciembre de 2019, tener resultados consolidados de la actualización de la ERA y el documento ERA-2019, en una primera versión.
</t>
  </si>
  <si>
    <t xml:space="preserve">Estos indicadores son complementarios, el inidicador minimo (en color). </t>
  </si>
  <si>
    <t xml:space="preserve">Estos indicadores son complementario, el indicador minimo (en color). </t>
  </si>
  <si>
    <t>Se gestionó el establecimiento de 20 hectáreas de reforestación, con recursos 100% de la autoridad ambiental regional. A 30 de noviembre se han recibido 17 hectáreas de las 20 previstas para la presente vigencia.</t>
  </si>
  <si>
    <t>De las 141 has previstas como meta de la vigencia, se han recibido a la fecha 90 has. Las restantes estan en proceso de revisión por parte  de la supervisión.</t>
  </si>
  <si>
    <t>De las 500 has previstas como meta de la vigencia, se han recibido a la fecha 300  has. Las restantes estan en proceso de revisión por parte  de la supervisión.</t>
  </si>
  <si>
    <t>Se dio por cumplidas las fases de aprestamiento y caracterización de los ecosistemas estratégicos de la cordillera Oriental en el tramo que conecta al PNR Cerro Páramo de Miraflores “Rigoberto Urriago” con los Parques Municipales de Guadalupe, Garzón, Suaza y Acevedo</t>
  </si>
  <si>
    <t>Estos indicadores son complementarios, el indcador minimo (en color)</t>
  </si>
  <si>
    <t>Meta cumplida en el 2016 y 2017: Actualización de mapas de ruido y planes de descontaminación del municipio de Neiva  y Pitalito.</t>
  </si>
  <si>
    <t>Estos indicadores son complementarios, el indicador minimo (en color)</t>
  </si>
  <si>
    <t xml:space="preserve">Durante la vigencia 2019 se realizaron 25 visitas de seguimiento a los municipios que cuentan con el PUEAA . Se continuará con los seguimientos  durante el mes de diciembre para alcanzar a la totalidad de los 37 municipios. </t>
  </si>
  <si>
    <t xml:space="preserve">Se realizaron dos (2) seguimientos acumulativos a los Planes de Gestión Integral de Residuos Sólidos PGIRS adoptados. Se continuará con los seguimientos  durante el mes de diciembre para alcanzar a la totalidad de los 37 municipios. </t>
  </si>
  <si>
    <t xml:space="preserve">Se continuará con los seguimientos  durante el mes de diciembre para alcanzar a la totalidad de los 37 municipios. </t>
  </si>
  <si>
    <t>Estos indicadores son complementarios, el indicador minimo (en color). Durante la vigencia  se apoyó al sector Cafetero,  Ganadero,  Cacaotero, Apicola, Porcícola, Piscícola, ladrillero, frutícola, minero.</t>
  </si>
  <si>
    <t xml:space="preserve">Durante el cuatrienio 2016 -2019 se realizaron 16 Estudios detallados de amenaza, vulnerabilidad y riesgo (AVR) a escala 1:2000 en 14 de los 37 municipios del departamento del Huila, siendo estos: Timaná, Colombia, Campoalegre, Iquira, Altamira, Palestina, La Argentina, La Plata, Acevedo, Guadalupe, Nátaga, San Agustín, Teruel y Garzón; equivalentes al 38% de los municipios del Departamento. </t>
  </si>
  <si>
    <t xml:space="preserve">37 municipios asesorados </t>
  </si>
  <si>
    <t>Se apoyó a los resguardos indigenas en  formulación y/o actualización del Plan de Vida,  y Apoyo a proyectos productivos</t>
  </si>
  <si>
    <t xml:space="preserve"> Estos indicadores son complementarios, el indicador minimo (en color). Durante la vigencia  se homologa la denominación de Parque Natural Regional con las categorías de áreas protegidas Parque Natural Regional y Distrito Regional de Manejo Integrado para el caso de la Serranía de las Minas y, con la de Distrito Regional de Manejo Integrado para el caso de Cerro Banderas - Ojo Blanco, respectivamente.  Con relación al proceso de homologación del PNR Siberia Ceibas, se presentó  propuesta  al MADS  para la integración de la  Reserva Forestal Protectora Nacional  de la parte alta de la cuenca del rio Ceibas al PNR,  paso indispendsbale para la homologación del área. Esta pendiente de su aprobación.
</t>
  </si>
  <si>
    <t>Los ecosistemas intervenciso son PNR Y humedale s</t>
  </si>
  <si>
    <t>Se frimó acta de justificación para celebración del Otro si No. 10  el dia 7 de noviembre de 2019, para  la  transferecnia  de los recursos 2019 al patrimonio  autónomo FIA en el marco del convenio del PDA. Se espera en el mes de diciembre realizar la transferrencia.</t>
  </si>
  <si>
    <t>Estos indicadores son complementarios, el indicador minimo (en color). La meta del cuatrienio  eran  6 corrientes regalmentadas. 
La meta se cumplió con las siguientes  corrientes: Rio Neiva-Campoalegre,  Quebrada Majo en Garzón, rio Pedernal en Teruel, Quebrada Garzón en Garzón. En la presente  vigencia: Quebrada Buenavista en el Agrado ,  Quebrada Otas Campoalegre  y Quebrada la Nutria en Baraya. Quebrada Cienaga y Caraguaja -Campoalegre</t>
  </si>
  <si>
    <t>Se encuentra en proceso de ejecución, el  contrato de muestreos y contramuestreos</t>
  </si>
  <si>
    <t>Estos indicadores son complementarios, el inidicador minimo (en color). La meta del cuatrienio eran 10 PORH  adoptados. 
 Se adoptaron los PORH de Rio Neiva (Algeciras, Campoalegre y Rivera) , Quebrada Majo Garzón,  Quebrada Las Vueltas (Hobo y Gigante) rio Guarocó (Baraya, Tello y Villavieja) y Quebrada El pescador (Hobo), rio Frío Rivera y Campoalegre, río Ceibas Neiva, quebrada La Nutria en Baraya.  Quebrada El Hobo en el Hobo, Quebrada Garzón en Garzón.</t>
  </si>
  <si>
    <t>Estos indicadores son complementarios, el inidcador minimo (en color). Esta pendiente culminar el Plan de Conservación de Roble Negro.</t>
  </si>
  <si>
    <t>A DICIEMBRE 30 DE 2019</t>
  </si>
  <si>
    <t>A 30 DICIEMBRE DE 2019</t>
  </si>
  <si>
    <t>RECURSOS VIGENCIA :   DICIEMBRE 2019</t>
  </si>
  <si>
    <t>RECURSOS VIGENCIA:  DICIEMBRE 31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</si>
</sst>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3" formatCode="0.0"/>
    <numFmt numFmtId="174" formatCode="#,##0_ ;\-#,##0\ "/>
    <numFmt numFmtId="175" formatCode="#,##0.000"/>
    <numFmt numFmtId="176" formatCode="_ &quot;$&quot;\ * #,##0_ ;_ &quot;$&quot;\ * \-#,##0_ ;_ &quot;$&quot;\ * &quot;-&quot;_ ;_ @_ "/>
    <numFmt numFmtId="177" formatCode="_ &quot;$&quot;\ * #,##0.00_ ;_ &quot;$&quot;\ * \-#,##0.00_ ;_ &quot;$&quot;\ * &quot;-&quot;??_ ;_ @_ "/>
    <numFmt numFmtId="178" formatCode="#,##0.0;[Red]#,##0.0"/>
    <numFmt numFmtId="179" formatCode="#,##0.00;[Red]#,##0.00"/>
    <numFmt numFmtId="180" formatCode="0.0%"/>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b/>
      <u/>
      <sz val="11"/>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sz val="9"/>
      <color rgb="FFFF0000"/>
      <name val="Arial"/>
      <family val="2"/>
    </font>
    <font>
      <b/>
      <sz val="14"/>
      <color theme="1"/>
      <name val="Arial"/>
      <family val="2"/>
    </font>
    <font>
      <sz val="10"/>
      <color theme="1"/>
      <name val="Arial"/>
      <family val="2"/>
    </font>
    <font>
      <sz val="12"/>
      <color theme="1"/>
      <name val="Arial"/>
      <family val="2"/>
    </font>
    <font>
      <b/>
      <sz val="14"/>
      <color rgb="FFFF0000"/>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sz val="10"/>
      <color rgb="FFC00000"/>
      <name val="Arial"/>
      <family val="2"/>
    </font>
    <font>
      <b/>
      <sz val="6"/>
      <name val="Arial"/>
      <family val="2"/>
    </font>
    <font>
      <b/>
      <sz val="10"/>
      <name val="Univers"/>
      <family val="2"/>
    </font>
    <font>
      <b/>
      <sz val="8"/>
      <name val="Univers"/>
    </font>
    <font>
      <b/>
      <sz val="10"/>
      <color rgb="FFFF0000"/>
      <name val="Arial"/>
      <family val="2"/>
    </font>
    <font>
      <sz val="12"/>
      <color rgb="FFFF0000"/>
      <name val="Arial"/>
      <family val="2"/>
    </font>
    <font>
      <sz val="10"/>
      <name val="Arial"/>
      <family val="2"/>
    </font>
    <font>
      <sz val="6"/>
      <name val="Arial Narrow"/>
      <family val="2"/>
    </font>
    <font>
      <sz val="14"/>
      <color theme="0"/>
      <name val="Arial"/>
      <family val="2"/>
    </font>
    <font>
      <sz val="11"/>
      <color theme="0"/>
      <name val="Arial"/>
      <family val="2"/>
    </font>
  </fonts>
  <fills count="34">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s>
  <borders count="73">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8"/>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37">
    <xf numFmtId="0" fontId="0" fillId="0" borderId="0"/>
    <xf numFmtId="170" fontId="7" fillId="0" borderId="0" applyFont="0" applyFill="0" applyBorder="0" applyAlignment="0" applyProtection="0"/>
    <xf numFmtId="166" fontId="7" fillId="0" borderId="0" applyFont="0" applyFill="0" applyBorder="0" applyAlignment="0" applyProtection="0"/>
    <xf numFmtId="172" fontId="33" fillId="0" borderId="0" applyFont="0" applyFill="0" applyBorder="0" applyAlignment="0" applyProtection="0"/>
    <xf numFmtId="43" fontId="55" fillId="0" borderId="0" applyFont="0" applyFill="0" applyBorder="0" applyAlignment="0" applyProtection="0"/>
    <xf numFmtId="165" fontId="27" fillId="0" borderId="0" applyFont="0" applyFill="0" applyBorder="0" applyAlignment="0" applyProtection="0"/>
    <xf numFmtId="43" fontId="7" fillId="0" borderId="0" applyFont="0" applyFill="0" applyBorder="0" applyAlignment="0" applyProtection="0"/>
    <xf numFmtId="43" fontId="40" fillId="0" borderId="0" applyFont="0" applyFill="0" applyBorder="0" applyAlignment="0" applyProtection="0"/>
    <xf numFmtId="165" fontId="55" fillId="0" borderId="0" applyFont="0" applyFill="0" applyBorder="0" applyAlignment="0" applyProtection="0"/>
    <xf numFmtId="43" fontId="55" fillId="0" borderId="0" applyFont="0" applyFill="0" applyBorder="0" applyAlignment="0" applyProtection="0"/>
    <xf numFmtId="176" fontId="7" fillId="0" borderId="0" applyFont="0" applyFill="0" applyBorder="0" applyAlignment="0" applyProtection="0"/>
    <xf numFmtId="164" fontId="27" fillId="0" borderId="0" applyFont="0" applyFill="0" applyBorder="0" applyAlignment="0" applyProtection="0"/>
    <xf numFmtId="164" fontId="7" fillId="0" borderId="0" applyFont="0" applyFill="0" applyBorder="0" applyAlignment="0" applyProtection="0"/>
    <xf numFmtId="177" fontId="7" fillId="0" borderId="0" applyFont="0" applyFill="0" applyBorder="0" applyAlignment="0" applyProtection="0"/>
    <xf numFmtId="0" fontId="55" fillId="0" borderId="0"/>
    <xf numFmtId="0" fontId="27" fillId="0" borderId="0"/>
    <xf numFmtId="0" fontId="7" fillId="0" borderId="0"/>
    <xf numFmtId="0" fontId="55" fillId="0" borderId="0"/>
    <xf numFmtId="0" fontId="5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55"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1" fontId="7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1" fillId="0" borderId="0" applyFont="0" applyFill="0" applyBorder="0" applyAlignment="0" applyProtection="0"/>
    <xf numFmtId="0" fontId="1" fillId="0" borderId="0"/>
  </cellStyleXfs>
  <cellXfs count="1034">
    <xf numFmtId="0" fontId="0" fillId="0" borderId="0" xfId="0"/>
    <xf numFmtId="0" fontId="10" fillId="0" borderId="0" xfId="0" applyFont="1" applyFill="1" applyAlignment="1">
      <alignment vertical="center" wrapText="1"/>
    </xf>
    <xf numFmtId="3" fontId="10" fillId="0" borderId="0" xfId="0" applyNumberFormat="1" applyFont="1" applyFill="1" applyAlignment="1">
      <alignment horizontal="center" vertical="center" wrapText="1"/>
    </xf>
    <xf numFmtId="0" fontId="10" fillId="0" borderId="0" xfId="0" applyFont="1" applyFill="1" applyAlignment="1">
      <alignment horizontal="justify"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6" fillId="2" borderId="1" xfId="0" applyFont="1" applyFill="1" applyBorder="1" applyAlignment="1">
      <alignment horizont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6" fillId="0" borderId="4" xfId="0" applyFont="1" applyBorder="1" applyAlignment="1">
      <alignment wrapText="1"/>
    </xf>
    <xf numFmtId="0" fontId="17" fillId="0" borderId="4" xfId="0" applyFont="1" applyBorder="1" applyAlignment="1">
      <alignment horizontal="justify" wrapText="1"/>
    </xf>
    <xf numFmtId="0" fontId="17" fillId="0" borderId="5" xfId="0" applyFont="1" applyBorder="1" applyAlignment="1">
      <alignment horizontal="justify" wrapText="1"/>
    </xf>
    <xf numFmtId="0" fontId="0" fillId="0" borderId="0" xfId="0" applyBorder="1" applyAlignment="1">
      <alignment horizontal="left"/>
    </xf>
    <xf numFmtId="0" fontId="18" fillId="0" borderId="1" xfId="0" applyFont="1" applyBorder="1" applyAlignment="1">
      <alignment vertical="top" wrapText="1"/>
    </xf>
    <xf numFmtId="0" fontId="18" fillId="0" borderId="1" xfId="0" applyFont="1" applyFill="1" applyBorder="1" applyAlignment="1">
      <alignment vertical="top" wrapText="1"/>
    </xf>
    <xf numFmtId="0" fontId="12" fillId="0" borderId="2" xfId="0" applyFont="1" applyFill="1" applyBorder="1" applyAlignment="1">
      <alignment horizontal="justify" wrapText="1"/>
    </xf>
    <xf numFmtId="0" fontId="12" fillId="0" borderId="2" xfId="0" applyFont="1" applyBorder="1" applyAlignment="1">
      <alignment horizontal="justify" wrapText="1"/>
    </xf>
    <xf numFmtId="0" fontId="11" fillId="0" borderId="0" xfId="0" applyFont="1" applyFill="1" applyBorder="1" applyAlignment="1">
      <alignment horizontal="center" vertical="center"/>
    </xf>
    <xf numFmtId="0" fontId="23" fillId="2" borderId="6" xfId="0" applyFont="1" applyFill="1" applyBorder="1" applyAlignment="1">
      <alignment horizontal="center" vertical="center"/>
    </xf>
    <xf numFmtId="0" fontId="19" fillId="2" borderId="7" xfId="0" quotePrefix="1" applyFont="1" applyFill="1" applyBorder="1" applyAlignment="1">
      <alignment horizontal="center" vertical="center" wrapText="1"/>
    </xf>
    <xf numFmtId="0" fontId="10" fillId="0" borderId="8" xfId="0" applyFont="1" applyFill="1" applyBorder="1" applyAlignment="1">
      <alignment vertical="center"/>
    </xf>
    <xf numFmtId="0" fontId="10" fillId="0" borderId="9" xfId="0" applyFont="1" applyFill="1" applyBorder="1" applyAlignment="1">
      <alignment vertical="center"/>
    </xf>
    <xf numFmtId="0" fontId="9"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26" fillId="0" borderId="12" xfId="0" applyFont="1" applyFill="1" applyBorder="1" applyAlignment="1">
      <alignment horizontal="center" vertical="center" wrapText="1"/>
    </xf>
    <xf numFmtId="0" fontId="24" fillId="0" borderId="0" xfId="0" applyFont="1" applyFill="1" applyBorder="1" applyAlignment="1">
      <alignment vertical="center"/>
    </xf>
    <xf numFmtId="0" fontId="24" fillId="0" borderId="0" xfId="0" applyFont="1" applyBorder="1" applyAlignment="1">
      <alignment vertical="center"/>
    </xf>
    <xf numFmtId="0" fontId="24" fillId="0" borderId="0" xfId="0" applyFont="1" applyFill="1" applyAlignment="1">
      <alignment vertical="center" wrapText="1"/>
    </xf>
    <xf numFmtId="0" fontId="24" fillId="3" borderId="0" xfId="0" applyFont="1" applyFill="1" applyAlignment="1">
      <alignment vertical="center" wrapText="1"/>
    </xf>
    <xf numFmtId="0" fontId="24" fillId="2" borderId="0" xfId="0" applyFont="1" applyFill="1" applyAlignment="1">
      <alignment vertical="center" wrapText="1"/>
    </xf>
    <xf numFmtId="0" fontId="11" fillId="0" borderId="13" xfId="0" applyFont="1" applyFill="1" applyBorder="1" applyAlignment="1">
      <alignment horizontal="center" vertical="center"/>
    </xf>
    <xf numFmtId="0" fontId="26" fillId="0" borderId="10" xfId="0"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0" fontId="19" fillId="2" borderId="14" xfId="0" quotePrefix="1" applyFont="1" applyFill="1" applyBorder="1" applyAlignment="1">
      <alignment horizontal="center" vertical="center" wrapText="1"/>
    </xf>
    <xf numFmtId="3" fontId="9" fillId="4" borderId="10" xfId="0" applyNumberFormat="1" applyFont="1" applyFill="1" applyBorder="1" applyAlignment="1">
      <alignment vertical="center" wrapText="1"/>
    </xf>
    <xf numFmtId="3" fontId="10" fillId="4" borderId="10" xfId="0" applyNumberFormat="1" applyFont="1" applyFill="1" applyBorder="1" applyAlignment="1">
      <alignment horizontal="center" vertical="center" wrapText="1"/>
    </xf>
    <xf numFmtId="0" fontId="29" fillId="2" borderId="10" xfId="0" applyFont="1" applyFill="1" applyBorder="1" applyAlignment="1">
      <alignment horizontal="justify" vertical="center" wrapText="1"/>
    </xf>
    <xf numFmtId="0" fontId="30" fillId="0" borderId="15" xfId="0" applyFont="1" applyFill="1" applyBorder="1" applyAlignment="1">
      <alignment horizontal="center" vertical="center" wrapText="1"/>
    </xf>
    <xf numFmtId="0" fontId="29" fillId="0" borderId="10" xfId="0" applyFont="1" applyFill="1" applyBorder="1" applyAlignment="1">
      <alignment horizontal="center" vertical="center" wrapText="1"/>
    </xf>
    <xf numFmtId="3" fontId="29" fillId="0" borderId="10" xfId="0"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9" fillId="0" borderId="12" xfId="0" applyFont="1" applyFill="1" applyBorder="1" applyAlignment="1">
      <alignment horizontal="center" vertical="center" wrapText="1"/>
    </xf>
    <xf numFmtId="3" fontId="30" fillId="0" borderId="10" xfId="0" applyNumberFormat="1"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9" fillId="0" borderId="10" xfId="0" applyFont="1" applyFill="1" applyBorder="1" applyAlignment="1">
      <alignment vertical="center" wrapText="1"/>
    </xf>
    <xf numFmtId="0" fontId="29" fillId="0" borderId="10"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30" fillId="0" borderId="16" xfId="0" applyFont="1" applyFill="1" applyBorder="1" applyAlignment="1">
      <alignment horizontal="center" vertical="center" wrapText="1"/>
    </xf>
    <xf numFmtId="0" fontId="29" fillId="2" borderId="17"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0" fillId="0" borderId="15" xfId="0" applyFont="1" applyFill="1" applyBorder="1" applyAlignment="1">
      <alignment horizontal="center" vertical="center" textRotation="90" wrapText="1"/>
    </xf>
    <xf numFmtId="3" fontId="31" fillId="0" borderId="10" xfId="0" applyNumberFormat="1" applyFont="1" applyFill="1" applyBorder="1" applyAlignment="1">
      <alignment horizontal="center" vertical="center" wrapText="1"/>
    </xf>
    <xf numFmtId="3" fontId="32" fillId="0" borderId="10" xfId="0" applyNumberFormat="1" applyFont="1" applyFill="1" applyBorder="1" applyAlignment="1">
      <alignment horizontal="center" vertical="center" wrapText="1"/>
    </xf>
    <xf numFmtId="0" fontId="31"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27" fillId="0" borderId="0" xfId="0" applyFont="1"/>
    <xf numFmtId="0" fontId="24" fillId="14" borderId="0" xfId="0" applyFont="1" applyFill="1" applyAlignment="1">
      <alignment vertical="center" wrapText="1"/>
    </xf>
    <xf numFmtId="0" fontId="24" fillId="0" borderId="18" xfId="0" applyFont="1" applyFill="1" applyBorder="1" applyAlignment="1">
      <alignment vertical="center" wrapText="1"/>
    </xf>
    <xf numFmtId="3" fontId="31" fillId="0" borderId="10" xfId="0" applyNumberFormat="1" applyFont="1" applyFill="1" applyBorder="1" applyAlignment="1">
      <alignment horizontal="right" vertical="center" wrapText="1"/>
    </xf>
    <xf numFmtId="0" fontId="27" fillId="0" borderId="0" xfId="15" applyFont="1" applyBorder="1" applyAlignment="1">
      <alignment vertical="center" wrapText="1"/>
    </xf>
    <xf numFmtId="0" fontId="27" fillId="0" borderId="0" xfId="15" applyFont="1" applyFill="1" applyAlignment="1">
      <alignment vertical="center" wrapText="1"/>
    </xf>
    <xf numFmtId="0" fontId="27" fillId="0" borderId="0" xfId="15" applyFont="1" applyFill="1" applyAlignment="1">
      <alignment horizontal="center" vertical="center" wrapText="1"/>
    </xf>
    <xf numFmtId="171" fontId="27" fillId="0" borderId="0" xfId="15" applyNumberFormat="1" applyFont="1" applyFill="1" applyAlignment="1">
      <alignment vertical="center" wrapText="1"/>
    </xf>
    <xf numFmtId="3" fontId="27" fillId="0" borderId="0" xfId="15" applyNumberFormat="1" applyFont="1" applyFill="1" applyAlignment="1">
      <alignment vertical="center" wrapText="1"/>
    </xf>
    <xf numFmtId="171" fontId="27" fillId="0" borderId="0" xfId="5" applyNumberFormat="1" applyFont="1" applyFill="1" applyAlignment="1">
      <alignment vertical="center" wrapText="1"/>
    </xf>
    <xf numFmtId="0" fontId="27" fillId="15" borderId="0" xfId="15" applyFont="1" applyFill="1" applyAlignment="1">
      <alignment vertical="center" wrapText="1"/>
    </xf>
    <xf numFmtId="0" fontId="27" fillId="16" borderId="0" xfId="15" applyFont="1" applyFill="1" applyAlignment="1">
      <alignment vertical="center" wrapText="1"/>
    </xf>
    <xf numFmtId="0" fontId="56" fillId="0" borderId="12" xfId="0" applyFont="1" applyFill="1" applyBorder="1" applyAlignment="1">
      <alignment horizontal="center" vertical="center" wrapText="1"/>
    </xf>
    <xf numFmtId="0" fontId="10" fillId="0" borderId="0" xfId="0" applyFont="1" applyAlignment="1">
      <alignment wrapText="1"/>
    </xf>
    <xf numFmtId="169" fontId="57" fillId="0" borderId="10" xfId="0" applyNumberFormat="1" applyFont="1" applyFill="1" applyBorder="1" applyAlignment="1">
      <alignment horizontal="center" vertical="center" wrapText="1"/>
    </xf>
    <xf numFmtId="3" fontId="31" fillId="0" borderId="10" xfId="15" applyNumberFormat="1" applyFont="1" applyFill="1" applyBorder="1" applyAlignment="1">
      <alignment horizontal="right" vertical="center" wrapText="1"/>
    </xf>
    <xf numFmtId="0" fontId="57" fillId="0" borderId="10" xfId="0" applyFont="1" applyFill="1" applyBorder="1" applyAlignment="1">
      <alignment horizontal="center" vertical="center"/>
    </xf>
    <xf numFmtId="0" fontId="24" fillId="0" borderId="18" xfId="0" applyFont="1" applyFill="1" applyBorder="1" applyAlignment="1">
      <alignment vertical="center"/>
    </xf>
    <xf numFmtId="3" fontId="10" fillId="0" borderId="12" xfId="0" applyNumberFormat="1" applyFont="1" applyFill="1" applyBorder="1" applyAlignment="1">
      <alignment horizontal="right" vertical="center" wrapTex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6" fillId="0" borderId="0" xfId="0" applyFont="1" applyBorder="1" applyAlignment="1" applyProtection="1">
      <alignment horizontal="centerContinuous" vertical="center"/>
    </xf>
    <xf numFmtId="0" fontId="26" fillId="0" borderId="0" xfId="0" applyFont="1" applyBorder="1" applyAlignment="1" applyProtection="1">
      <alignment vertical="center"/>
    </xf>
    <xf numFmtId="0" fontId="0" fillId="0" borderId="0" xfId="0" applyBorder="1" applyAlignment="1" applyProtection="1">
      <alignment vertical="center"/>
    </xf>
    <xf numFmtId="0" fontId="18" fillId="0" borderId="1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39" fillId="0" borderId="15" xfId="0" applyFont="1" applyFill="1" applyBorder="1" applyAlignment="1" applyProtection="1">
      <alignment vertical="center"/>
    </xf>
    <xf numFmtId="4" fontId="39" fillId="0" borderId="10" xfId="0" applyNumberFormat="1" applyFont="1" applyFill="1" applyBorder="1" applyAlignment="1" applyProtection="1">
      <alignment vertical="center"/>
    </xf>
    <xf numFmtId="4" fontId="39" fillId="0" borderId="12" xfId="0" applyNumberFormat="1" applyFont="1" applyFill="1" applyBorder="1" applyAlignment="1" applyProtection="1">
      <alignment vertical="center"/>
    </xf>
    <xf numFmtId="4" fontId="0" fillId="0" borderId="0" xfId="0" applyNumberFormat="1" applyAlignment="1">
      <alignment vertical="center"/>
    </xf>
    <xf numFmtId="0" fontId="37" fillId="0" borderId="15" xfId="0" applyFont="1" applyFill="1" applyBorder="1" applyAlignment="1" applyProtection="1">
      <alignment vertical="center"/>
    </xf>
    <xf numFmtId="4" fontId="37" fillId="0" borderId="10" xfId="0" applyNumberFormat="1" applyFont="1" applyFill="1" applyBorder="1" applyAlignment="1" applyProtection="1">
      <alignment vertical="center"/>
    </xf>
    <xf numFmtId="4" fontId="37" fillId="0" borderId="12" xfId="0" applyNumberFormat="1" applyFont="1" applyFill="1" applyBorder="1" applyAlignment="1" applyProtection="1">
      <alignment vertical="center"/>
    </xf>
    <xf numFmtId="4" fontId="27" fillId="0" borderId="0" xfId="0" applyNumberFormat="1" applyFont="1" applyAlignment="1">
      <alignment vertical="center"/>
    </xf>
    <xf numFmtId="4" fontId="37" fillId="0" borderId="19" xfId="0" applyNumberFormat="1" applyFont="1" applyBorder="1" applyAlignment="1" applyProtection="1">
      <alignment vertical="center"/>
    </xf>
    <xf numFmtId="4" fontId="37" fillId="0" borderId="20" xfId="0" applyNumberFormat="1" applyFont="1" applyBorder="1" applyAlignment="1" applyProtection="1">
      <alignment vertical="center"/>
    </xf>
    <xf numFmtId="4" fontId="39" fillId="0" borderId="20" xfId="0" applyNumberFormat="1" applyFont="1" applyFill="1" applyBorder="1" applyAlignment="1" applyProtection="1">
      <alignment vertical="center"/>
    </xf>
    <xf numFmtId="4" fontId="37" fillId="0" borderId="21" xfId="0" applyNumberFormat="1" applyFont="1" applyFill="1" applyBorder="1" applyAlignment="1" applyProtection="1">
      <alignment vertical="center"/>
    </xf>
    <xf numFmtId="0" fontId="39" fillId="0" borderId="6" xfId="0" applyFont="1" applyFill="1" applyBorder="1" applyAlignment="1" applyProtection="1">
      <alignment vertical="center"/>
    </xf>
    <xf numFmtId="4" fontId="39" fillId="0" borderId="7" xfId="0" applyNumberFormat="1" applyFont="1" applyFill="1" applyBorder="1" applyAlignment="1" applyProtection="1">
      <alignment vertical="center"/>
    </xf>
    <xf numFmtId="4" fontId="39" fillId="0" borderId="14" xfId="0" applyNumberFormat="1" applyFont="1" applyFill="1" applyBorder="1" applyAlignment="1" applyProtection="1">
      <alignment vertical="center"/>
    </xf>
    <xf numFmtId="0" fontId="39" fillId="8" borderId="15" xfId="0" applyFont="1" applyFill="1" applyBorder="1" applyAlignment="1" applyProtection="1">
      <alignment vertical="center" wrapText="1"/>
      <protection locked="0"/>
    </xf>
    <xf numFmtId="4" fontId="39" fillId="0" borderId="10" xfId="0" applyNumberFormat="1" applyFont="1" applyFill="1" applyBorder="1" applyAlignment="1" applyProtection="1">
      <alignment vertical="center" wrapText="1"/>
      <protection locked="0"/>
    </xf>
    <xf numFmtId="0" fontId="25" fillId="17" borderId="22" xfId="0" applyFont="1" applyFill="1" applyBorder="1" applyAlignment="1">
      <alignment horizontal="justify" vertical="center" wrapText="1"/>
    </xf>
    <xf numFmtId="3" fontId="42" fillId="0" borderId="15" xfId="0" applyNumberFormat="1" applyFont="1" applyBorder="1" applyAlignment="1">
      <alignment wrapText="1"/>
    </xf>
    <xf numFmtId="4" fontId="37" fillId="0" borderId="10" xfId="0" applyNumberFormat="1" applyFont="1" applyFill="1" applyBorder="1" applyAlignment="1" applyProtection="1">
      <alignment vertical="center" wrapText="1"/>
      <protection locked="0"/>
    </xf>
    <xf numFmtId="4" fontId="58" fillId="0" borderId="10" xfId="0" applyNumberFormat="1" applyFont="1" applyFill="1" applyBorder="1" applyAlignment="1" applyProtection="1">
      <alignment vertical="center" wrapText="1"/>
      <protection locked="0"/>
    </xf>
    <xf numFmtId="4" fontId="39" fillId="0" borderId="12" xfId="0" applyNumberFormat="1" applyFont="1" applyFill="1" applyBorder="1" applyAlignment="1" applyProtection="1">
      <alignment vertical="center" wrapText="1"/>
      <protection locked="0"/>
    </xf>
    <xf numFmtId="4" fontId="43" fillId="0" borderId="10" xfId="0" applyNumberFormat="1" applyFont="1" applyFill="1" applyBorder="1" applyAlignment="1" applyProtection="1">
      <alignment vertical="center" wrapText="1"/>
      <protection locked="0"/>
    </xf>
    <xf numFmtId="4" fontId="43" fillId="0" borderId="12" xfId="0" applyNumberFormat="1" applyFont="1" applyFill="1" applyBorder="1" applyAlignment="1" applyProtection="1">
      <alignment vertical="center" wrapText="1"/>
      <protection locked="0"/>
    </xf>
    <xf numFmtId="0" fontId="42" fillId="0" borderId="15" xfId="0" applyFont="1" applyBorder="1" applyAlignment="1">
      <alignment vertical="center" wrapText="1"/>
    </xf>
    <xf numFmtId="3" fontId="42" fillId="0" borderId="15" xfId="0" applyNumberFormat="1" applyFont="1" applyBorder="1" applyAlignment="1">
      <alignment horizontal="justify"/>
    </xf>
    <xf numFmtId="0" fontId="39" fillId="8" borderId="15" xfId="0" applyFont="1" applyFill="1" applyBorder="1" applyAlignment="1" applyProtection="1">
      <alignment vertical="center"/>
    </xf>
    <xf numFmtId="4" fontId="44" fillId="8" borderId="15" xfId="0" applyNumberFormat="1" applyFont="1" applyFill="1" applyBorder="1" applyAlignment="1" applyProtection="1">
      <alignment vertical="center"/>
    </xf>
    <xf numFmtId="4" fontId="44" fillId="0" borderId="10" xfId="0" applyNumberFormat="1" applyFont="1" applyBorder="1" applyAlignment="1" applyProtection="1">
      <alignment vertical="center"/>
    </xf>
    <xf numFmtId="0" fontId="39" fillId="8" borderId="16" xfId="0" applyFont="1" applyFill="1" applyBorder="1" applyAlignment="1" applyProtection="1">
      <alignment vertical="center"/>
    </xf>
    <xf numFmtId="4" fontId="39" fillId="0" borderId="17" xfId="0" applyNumberFormat="1" applyFont="1" applyFill="1" applyBorder="1" applyAlignment="1" applyProtection="1">
      <alignment vertical="center"/>
    </xf>
    <xf numFmtId="4" fontId="39" fillId="0" borderId="23" xfId="0" applyNumberFormat="1" applyFont="1" applyFill="1" applyBorder="1" applyAlignment="1" applyProtection="1">
      <alignment vertical="center"/>
    </xf>
    <xf numFmtId="0" fontId="45" fillId="8" borderId="0" xfId="0" applyFont="1" applyFill="1" applyBorder="1" applyAlignment="1" applyProtection="1">
      <alignment horizontal="centerContinuous" vertical="center" wrapText="1"/>
    </xf>
    <xf numFmtId="0" fontId="46" fillId="0" borderId="0" xfId="0" applyFont="1" applyFill="1" applyBorder="1" applyAlignment="1" applyProtection="1">
      <alignment horizontal="centerContinuous" vertical="center" wrapText="1"/>
    </xf>
    <xf numFmtId="4" fontId="46" fillId="0" borderId="0" xfId="0" applyNumberFormat="1" applyFont="1" applyFill="1" applyBorder="1" applyAlignment="1" applyProtection="1">
      <alignment horizontal="centerContinuous" vertical="center" wrapText="1"/>
    </xf>
    <xf numFmtId="1" fontId="39"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7" fillId="0" borderId="0" xfId="0" applyNumberFormat="1" applyFont="1" applyAlignment="1" applyProtection="1">
      <alignment vertical="center"/>
    </xf>
    <xf numFmtId="0" fontId="26" fillId="8" borderId="0" xfId="0" applyFont="1" applyFill="1" applyAlignment="1">
      <alignment vertical="center"/>
    </xf>
    <xf numFmtId="0" fontId="27" fillId="8" borderId="0" xfId="0" applyFont="1" applyFill="1" applyAlignment="1">
      <alignment vertical="center"/>
    </xf>
    <xf numFmtId="0" fontId="0" fillId="8" borderId="0" xfId="0" applyFill="1" applyAlignment="1">
      <alignment vertical="center"/>
    </xf>
    <xf numFmtId="3" fontId="10" fillId="10" borderId="10" xfId="0" applyNumberFormat="1" applyFont="1" applyFill="1" applyBorder="1"/>
    <xf numFmtId="3" fontId="10" fillId="2" borderId="10" xfId="0" applyNumberFormat="1" applyFont="1" applyFill="1" applyBorder="1"/>
    <xf numFmtId="3" fontId="10" fillId="4" borderId="10" xfId="0" applyNumberFormat="1" applyFont="1" applyFill="1" applyBorder="1"/>
    <xf numFmtId="3" fontId="10" fillId="4" borderId="10" xfId="0" applyNumberFormat="1" applyFont="1" applyFill="1" applyBorder="1" applyAlignment="1">
      <alignment vertical="center" wrapText="1"/>
    </xf>
    <xf numFmtId="0" fontId="31" fillId="0" borderId="0" xfId="0" applyFont="1" applyFill="1" applyAlignment="1">
      <alignment horizontal="center" vertical="center" wrapText="1"/>
    </xf>
    <xf numFmtId="3" fontId="9" fillId="10" borderId="10" xfId="0" applyNumberFormat="1" applyFont="1" applyFill="1" applyBorder="1" applyAlignment="1">
      <alignment horizontal="center" vertical="center" wrapText="1"/>
    </xf>
    <xf numFmtId="3" fontId="9" fillId="2" borderId="10" xfId="0" applyNumberFormat="1" applyFont="1" applyFill="1" applyBorder="1" applyAlignment="1">
      <alignment horizontal="center" vertical="center" wrapText="1"/>
    </xf>
    <xf numFmtId="3" fontId="10" fillId="10" borderId="10" xfId="0" applyNumberFormat="1" applyFont="1" applyFill="1" applyBorder="1" applyAlignment="1">
      <alignment vertical="center" wrapText="1"/>
    </xf>
    <xf numFmtId="3" fontId="10" fillId="2" borderId="10" xfId="0" applyNumberFormat="1" applyFont="1" applyFill="1" applyBorder="1" applyAlignment="1">
      <alignment vertical="center" wrapText="1"/>
    </xf>
    <xf numFmtId="3" fontId="9" fillId="0" borderId="0" xfId="0" applyNumberFormat="1" applyFont="1" applyFill="1" applyAlignment="1">
      <alignment vertical="center" wrapText="1"/>
    </xf>
    <xf numFmtId="3" fontId="9" fillId="11" borderId="10" xfId="0" applyNumberFormat="1" applyFont="1" applyFill="1" applyBorder="1" applyAlignment="1">
      <alignment vertical="center" wrapText="1"/>
    </xf>
    <xf numFmtId="3" fontId="47" fillId="10" borderId="10" xfId="0" applyNumberFormat="1" applyFont="1" applyFill="1" applyBorder="1" applyAlignment="1">
      <alignment vertical="center" wrapText="1"/>
    </xf>
    <xf numFmtId="3" fontId="9" fillId="0" borderId="24" xfId="0" applyNumberFormat="1" applyFont="1" applyFill="1" applyBorder="1" applyAlignment="1">
      <alignment horizontal="right" vertical="center" wrapText="1"/>
    </xf>
    <xf numFmtId="3" fontId="10" fillId="11" borderId="10" xfId="0" applyNumberFormat="1" applyFont="1" applyFill="1" applyBorder="1" applyAlignment="1">
      <alignment vertical="center" wrapText="1"/>
    </xf>
    <xf numFmtId="3" fontId="9" fillId="2" borderId="10" xfId="0" applyNumberFormat="1" applyFont="1" applyFill="1" applyBorder="1" applyAlignment="1">
      <alignment vertical="center" wrapText="1"/>
    </xf>
    <xf numFmtId="3" fontId="10" fillId="12" borderId="10" xfId="0" applyNumberFormat="1" applyFont="1" applyFill="1" applyBorder="1" applyAlignment="1">
      <alignment vertical="center" wrapText="1"/>
    </xf>
    <xf numFmtId="3" fontId="9" fillId="0" borderId="0" xfId="0" applyNumberFormat="1" applyFont="1" applyFill="1" applyBorder="1" applyAlignment="1">
      <alignment horizontal="right" vertical="center" wrapText="1"/>
    </xf>
    <xf numFmtId="0" fontId="9" fillId="0" borderId="0" xfId="0" applyFont="1" applyFill="1" applyAlignment="1">
      <alignment vertical="center" wrapText="1"/>
    </xf>
    <xf numFmtId="3" fontId="9" fillId="11" borderId="0" xfId="0" applyNumberFormat="1" applyFont="1" applyFill="1" applyBorder="1" applyAlignment="1">
      <alignment vertical="center" wrapText="1"/>
    </xf>
    <xf numFmtId="3" fontId="9" fillId="0" borderId="13" xfId="0" applyNumberFormat="1" applyFont="1" applyFill="1" applyBorder="1" applyAlignment="1">
      <alignment horizontal="right" vertical="center" wrapText="1"/>
    </xf>
    <xf numFmtId="0" fontId="10" fillId="8" borderId="0" xfId="0" applyFont="1" applyFill="1" applyAlignment="1">
      <alignment horizontal="center" vertical="center" wrapText="1"/>
    </xf>
    <xf numFmtId="4" fontId="10" fillId="0" borderId="0" xfId="0" applyNumberFormat="1" applyFont="1" applyFill="1" applyAlignment="1">
      <alignment horizontal="right" vertical="center" wrapText="1"/>
    </xf>
    <xf numFmtId="4" fontId="10" fillId="8" borderId="0" xfId="0" applyNumberFormat="1" applyFont="1" applyFill="1" applyAlignment="1">
      <alignment horizontal="right" vertical="center" wrapText="1"/>
    </xf>
    <xf numFmtId="0" fontId="24"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6" fillId="14" borderId="10" xfId="0" applyFont="1" applyFill="1" applyBorder="1" applyAlignment="1">
      <alignment horizontal="center" vertical="center"/>
    </xf>
    <xf numFmtId="0" fontId="0" fillId="0" borderId="10" xfId="0" applyBorder="1" applyAlignment="1">
      <alignment horizontal="center" vertical="center" wrapText="1"/>
    </xf>
    <xf numFmtId="0" fontId="26" fillId="14" borderId="10" xfId="0" applyFont="1" applyFill="1" applyBorder="1" applyAlignment="1">
      <alignment horizontal="center" vertical="center" wrapText="1"/>
    </xf>
    <xf numFmtId="0" fontId="30" fillId="0" borderId="0" xfId="0" applyFont="1"/>
    <xf numFmtId="3" fontId="30" fillId="0" borderId="0" xfId="0" applyNumberFormat="1" applyFont="1"/>
    <xf numFmtId="0" fontId="17" fillId="0" borderId="4" xfId="0" applyFont="1" applyBorder="1" applyAlignment="1">
      <alignment horizontal="justify" vertical="top" wrapText="1"/>
    </xf>
    <xf numFmtId="0" fontId="16" fillId="18" borderId="4" xfId="0" applyFont="1" applyFill="1" applyBorder="1" applyAlignment="1">
      <alignment wrapText="1"/>
    </xf>
    <xf numFmtId="0" fontId="17" fillId="18" borderId="4" xfId="0" applyFont="1" applyFill="1" applyBorder="1" applyAlignment="1">
      <alignment horizontal="justify" vertical="top" wrapText="1"/>
    </xf>
    <xf numFmtId="0" fontId="17" fillId="0" borderId="4" xfId="0" applyFont="1" applyBorder="1" applyAlignment="1">
      <alignment horizontal="justify"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24" fillId="0" borderId="0" xfId="0" applyFont="1" applyFill="1" applyAlignment="1">
      <alignment vertical="top" wrapText="1"/>
    </xf>
    <xf numFmtId="0" fontId="59" fillId="0" borderId="18" xfId="0" applyFont="1" applyFill="1" applyBorder="1" applyAlignment="1">
      <alignment vertical="center" wrapText="1"/>
    </xf>
    <xf numFmtId="0" fontId="59" fillId="0" borderId="0" xfId="0" applyFont="1" applyFill="1" applyAlignment="1">
      <alignment vertical="center" wrapText="1"/>
    </xf>
    <xf numFmtId="0" fontId="0" fillId="18" borderId="10" xfId="0" applyFill="1" applyBorder="1" applyAlignment="1">
      <alignment horizontal="center" vertical="center"/>
    </xf>
    <xf numFmtId="0" fontId="27" fillId="0" borderId="0" xfId="0" applyFont="1" applyAlignment="1">
      <alignment horizontal="center" vertical="center"/>
    </xf>
    <xf numFmtId="171" fontId="31" fillId="0" borderId="0" xfId="5" applyNumberFormat="1" applyFont="1" applyBorder="1" applyAlignment="1">
      <alignment vertical="center" wrapText="1"/>
    </xf>
    <xf numFmtId="0" fontId="34" fillId="13" borderId="17" xfId="15" applyFont="1" applyFill="1" applyBorder="1" applyAlignment="1">
      <alignment horizontal="center" vertical="center" wrapText="1"/>
    </xf>
    <xf numFmtId="0" fontId="34" fillId="14" borderId="26" xfId="15" applyFont="1" applyFill="1" applyBorder="1" applyAlignment="1">
      <alignment horizontal="center" vertical="center" wrapText="1"/>
    </xf>
    <xf numFmtId="0" fontId="31" fillId="0" borderId="18" xfId="15" applyFont="1" applyFill="1" applyBorder="1" applyAlignment="1">
      <alignment vertical="center" wrapText="1"/>
    </xf>
    <xf numFmtId="0" fontId="50" fillId="0" borderId="10" xfId="15" applyFont="1" applyFill="1" applyBorder="1" applyAlignment="1">
      <alignment horizontal="center" vertical="center" wrapText="1"/>
    </xf>
    <xf numFmtId="3" fontId="31" fillId="0" borderId="27" xfId="15" applyNumberFormat="1" applyFont="1" applyFill="1" applyBorder="1" applyAlignment="1">
      <alignment horizontal="right" vertical="center" wrapText="1"/>
    </xf>
    <xf numFmtId="0" fontId="31" fillId="0" borderId="10" xfId="15" applyFont="1" applyFill="1" applyBorder="1" applyAlignment="1">
      <alignment horizontal="center" vertical="center" wrapText="1"/>
    </xf>
    <xf numFmtId="0" fontId="31" fillId="0" borderId="10" xfId="15" applyFont="1" applyFill="1" applyBorder="1" applyAlignment="1">
      <alignment vertical="center" wrapText="1"/>
    </xf>
    <xf numFmtId="0" fontId="31" fillId="0" borderId="26" xfId="15" applyFont="1" applyFill="1" applyBorder="1" applyAlignment="1">
      <alignment horizontal="center" vertical="center" wrapText="1"/>
    </xf>
    <xf numFmtId="0" fontId="31" fillId="4" borderId="26" xfId="15" applyFont="1" applyFill="1" applyBorder="1" applyAlignment="1">
      <alignment horizontal="justify" vertical="center" wrapText="1"/>
    </xf>
    <xf numFmtId="0" fontId="31" fillId="4" borderId="26" xfId="15" applyFont="1" applyFill="1" applyBorder="1" applyAlignment="1">
      <alignment horizontal="center" vertical="center" wrapText="1"/>
    </xf>
    <xf numFmtId="3" fontId="31" fillId="4" borderId="26" xfId="15" applyNumberFormat="1" applyFont="1" applyFill="1" applyBorder="1" applyAlignment="1">
      <alignment horizontal="center" vertical="center" wrapText="1"/>
    </xf>
    <xf numFmtId="3" fontId="34" fillId="19" borderId="10" xfId="15" applyNumberFormat="1" applyFont="1" applyFill="1" applyBorder="1" applyAlignment="1">
      <alignment horizontal="right" vertical="center" wrapText="1"/>
    </xf>
    <xf numFmtId="3" fontId="31" fillId="19" borderId="10" xfId="15" applyNumberFormat="1" applyFont="1" applyFill="1" applyBorder="1" applyAlignment="1">
      <alignment horizontal="center" vertical="center" wrapText="1"/>
    </xf>
    <xf numFmtId="0" fontId="50" fillId="0" borderId="10" xfId="15" applyFont="1" applyBorder="1" applyAlignment="1">
      <alignment horizontal="center" vertical="center" wrapText="1"/>
    </xf>
    <xf numFmtId="0" fontId="31" fillId="20" borderId="10" xfId="15" applyFont="1" applyFill="1" applyBorder="1" applyAlignment="1">
      <alignment horizontal="center" vertical="center" wrapText="1"/>
    </xf>
    <xf numFmtId="0" fontId="31" fillId="4" borderId="19" xfId="15" applyFont="1" applyFill="1" applyBorder="1" applyAlignment="1">
      <alignment horizontal="justify" vertical="center" wrapText="1"/>
    </xf>
    <xf numFmtId="0" fontId="31" fillId="4" borderId="10" xfId="15" applyFont="1" applyFill="1" applyBorder="1" applyAlignment="1">
      <alignment horizontal="justify" vertical="center" wrapText="1"/>
    </xf>
    <xf numFmtId="0" fontId="31" fillId="4" borderId="20" xfId="15" applyFont="1" applyFill="1" applyBorder="1" applyAlignment="1">
      <alignment horizontal="center" vertical="center" wrapText="1"/>
    </xf>
    <xf numFmtId="0" fontId="31" fillId="0" borderId="25" xfId="15" applyFont="1" applyFill="1" applyBorder="1" applyAlignment="1">
      <alignment vertical="center" wrapText="1"/>
    </xf>
    <xf numFmtId="0" fontId="34" fillId="5" borderId="15" xfId="15" applyFont="1" applyFill="1" applyBorder="1" applyAlignment="1">
      <alignment horizontal="center" vertical="center" wrapText="1"/>
    </xf>
    <xf numFmtId="0" fontId="34" fillId="5" borderId="10" xfId="15" applyFont="1" applyFill="1" applyBorder="1" applyAlignment="1">
      <alignment horizontal="center" vertical="center" wrapText="1"/>
    </xf>
    <xf numFmtId="3" fontId="34" fillId="14" borderId="10" xfId="15" applyNumberFormat="1" applyFont="1" applyFill="1" applyBorder="1" applyAlignment="1">
      <alignment horizontal="center" vertical="center" wrapText="1"/>
    </xf>
    <xf numFmtId="3" fontId="34" fillId="14" borderId="10" xfId="15" applyNumberFormat="1" applyFont="1" applyFill="1" applyBorder="1" applyAlignment="1">
      <alignment horizontal="right" vertical="center" wrapText="1"/>
    </xf>
    <xf numFmtId="0" fontId="31" fillId="4" borderId="20" xfId="15" applyFont="1" applyFill="1" applyBorder="1" applyAlignment="1">
      <alignment horizontal="justify" vertical="center" wrapText="1"/>
    </xf>
    <xf numFmtId="3" fontId="31" fillId="19" borderId="20" xfId="15" applyNumberFormat="1" applyFont="1" applyFill="1" applyBorder="1" applyAlignment="1">
      <alignment horizontal="center" vertical="center" wrapText="1"/>
    </xf>
    <xf numFmtId="0" fontId="31" fillId="4" borderId="24" xfId="15" applyFont="1" applyFill="1" applyBorder="1" applyAlignment="1">
      <alignment horizontal="justify" vertical="center" wrapText="1"/>
    </xf>
    <xf numFmtId="0" fontId="31" fillId="4" borderId="28" xfId="15" applyFont="1" applyFill="1" applyBorder="1" applyAlignment="1">
      <alignment horizontal="center" vertical="center" wrapText="1"/>
    </xf>
    <xf numFmtId="0" fontId="31" fillId="19" borderId="26" xfId="15" applyFont="1" applyFill="1" applyBorder="1" applyAlignment="1">
      <alignment horizontal="center" vertical="center" wrapText="1"/>
    </xf>
    <xf numFmtId="3" fontId="34" fillId="19" borderId="20" xfId="15" applyNumberFormat="1" applyFont="1" applyFill="1" applyBorder="1" applyAlignment="1">
      <alignment horizontal="right" vertical="center" wrapText="1"/>
    </xf>
    <xf numFmtId="3" fontId="31" fillId="20" borderId="10" xfId="15" applyNumberFormat="1" applyFont="1" applyFill="1" applyBorder="1" applyAlignment="1">
      <alignment horizontal="right" vertical="center" wrapText="1"/>
    </xf>
    <xf numFmtId="0" fontId="31" fillId="19" borderId="20" xfId="15" applyFont="1" applyFill="1" applyBorder="1" applyAlignment="1">
      <alignment horizontal="center" vertical="center" wrapText="1"/>
    </xf>
    <xf numFmtId="0" fontId="31" fillId="14" borderId="26" xfId="15" applyFont="1" applyFill="1" applyBorder="1" applyAlignment="1">
      <alignment vertical="center" wrapText="1"/>
    </xf>
    <xf numFmtId="0" fontId="31" fillId="14" borderId="10" xfId="15" applyFont="1" applyFill="1" applyBorder="1" applyAlignment="1">
      <alignment vertical="center" wrapText="1"/>
    </xf>
    <xf numFmtId="3" fontId="34" fillId="14" borderId="10" xfId="15" applyNumberFormat="1" applyFont="1" applyFill="1" applyBorder="1" applyAlignment="1">
      <alignment vertical="center" wrapText="1"/>
    </xf>
    <xf numFmtId="0" fontId="31" fillId="4" borderId="20" xfId="15" applyFont="1" applyFill="1" applyBorder="1" applyAlignment="1">
      <alignment vertical="center" wrapText="1"/>
    </xf>
    <xf numFmtId="0" fontId="31" fillId="4" borderId="10" xfId="15" applyFont="1" applyFill="1" applyBorder="1" applyAlignment="1">
      <alignment vertical="center" wrapText="1"/>
    </xf>
    <xf numFmtId="3" fontId="34" fillId="19" borderId="10" xfId="15" applyNumberFormat="1" applyFont="1" applyFill="1" applyBorder="1" applyAlignment="1">
      <alignment vertical="center" wrapText="1"/>
    </xf>
    <xf numFmtId="0" fontId="31" fillId="19" borderId="10" xfId="15" applyFont="1" applyFill="1" applyBorder="1" applyAlignment="1">
      <alignment vertical="center" wrapText="1"/>
    </xf>
    <xf numFmtId="3" fontId="31" fillId="0" borderId="10" xfId="15" applyNumberFormat="1" applyFont="1" applyFill="1" applyBorder="1" applyAlignment="1">
      <alignment horizontal="center" vertical="center" wrapText="1"/>
    </xf>
    <xf numFmtId="0" fontId="31" fillId="0" borderId="26" xfId="15" applyFont="1" applyFill="1" applyBorder="1" applyAlignment="1">
      <alignment vertical="center" wrapText="1"/>
    </xf>
    <xf numFmtId="0" fontId="31" fillId="0" borderId="27" xfId="15" applyFont="1" applyFill="1" applyBorder="1" applyAlignment="1">
      <alignment vertical="center" wrapText="1"/>
    </xf>
    <xf numFmtId="0" fontId="31" fillId="4" borderId="0" xfId="15" applyFont="1" applyFill="1" applyBorder="1" applyAlignment="1">
      <alignment vertical="center" wrapText="1"/>
    </xf>
    <xf numFmtId="0" fontId="34" fillId="14" borderId="10" xfId="15" applyFont="1" applyFill="1" applyBorder="1" applyAlignment="1">
      <alignment horizontal="center" vertical="center" wrapText="1"/>
    </xf>
    <xf numFmtId="0" fontId="31" fillId="19" borderId="10" xfId="15" applyFont="1" applyFill="1" applyBorder="1" applyAlignment="1">
      <alignment horizontal="justify" vertical="center" wrapText="1"/>
    </xf>
    <xf numFmtId="3" fontId="31" fillId="0" borderId="20" xfId="15" applyNumberFormat="1" applyFont="1" applyFill="1" applyBorder="1" applyAlignment="1">
      <alignment horizontal="right" vertical="center" wrapText="1"/>
    </xf>
    <xf numFmtId="3" fontId="31" fillId="0" borderId="20" xfId="15" applyNumberFormat="1" applyFont="1" applyFill="1" applyBorder="1" applyAlignment="1">
      <alignment horizontal="center" vertical="center" wrapText="1"/>
    </xf>
    <xf numFmtId="3" fontId="34" fillId="13" borderId="17" xfId="15" applyNumberFormat="1" applyFont="1" applyFill="1" applyBorder="1" applyAlignment="1">
      <alignment horizontal="center" vertical="center" wrapText="1"/>
    </xf>
    <xf numFmtId="0" fontId="31" fillId="20" borderId="25" xfId="15" applyFont="1" applyFill="1" applyBorder="1" applyAlignment="1">
      <alignment vertical="center" wrapText="1"/>
    </xf>
    <xf numFmtId="171" fontId="34" fillId="13" borderId="23" xfId="5" applyNumberFormat="1" applyFont="1" applyFill="1" applyBorder="1" applyAlignment="1">
      <alignment horizontal="center" vertical="center" wrapText="1"/>
    </xf>
    <xf numFmtId="171" fontId="31" fillId="0" borderId="12" xfId="5" applyNumberFormat="1" applyFont="1" applyFill="1" applyBorder="1" applyAlignment="1">
      <alignment vertical="center" wrapText="1"/>
    </xf>
    <xf numFmtId="171" fontId="34" fillId="19" borderId="29" xfId="5" applyNumberFormat="1" applyFont="1" applyFill="1" applyBorder="1" applyAlignment="1">
      <alignment horizontal="right" vertical="center" wrapText="1"/>
    </xf>
    <xf numFmtId="171" fontId="60" fillId="13" borderId="17" xfId="5" applyNumberFormat="1" applyFont="1" applyFill="1" applyBorder="1" applyAlignment="1">
      <alignment horizontal="center" vertical="center" wrapText="1"/>
    </xf>
    <xf numFmtId="0" fontId="31" fillId="19" borderId="20" xfId="15" applyFont="1" applyFill="1" applyBorder="1" applyAlignment="1">
      <alignment vertical="center" wrapText="1"/>
    </xf>
    <xf numFmtId="3" fontId="34" fillId="19" borderId="20" xfId="15" applyNumberFormat="1" applyFont="1" applyFill="1" applyBorder="1" applyAlignment="1">
      <alignment horizontal="center" vertical="center" wrapText="1"/>
    </xf>
    <xf numFmtId="3" fontId="57" fillId="0" borderId="10" xfId="0" applyNumberFormat="1" applyFont="1" applyFill="1" applyBorder="1" applyAlignment="1">
      <alignment horizontal="center" vertical="center" wrapText="1"/>
    </xf>
    <xf numFmtId="0" fontId="57" fillId="0" borderId="10" xfId="0" applyFont="1" applyFill="1" applyBorder="1" applyAlignment="1">
      <alignment horizontal="center" vertical="center" wrapText="1"/>
    </xf>
    <xf numFmtId="1" fontId="57" fillId="0" borderId="10" xfId="0" applyNumberFormat="1" applyFont="1" applyFill="1" applyBorder="1" applyAlignment="1">
      <alignment horizontal="center" vertical="center" wrapText="1"/>
    </xf>
    <xf numFmtId="171" fontId="31" fillId="0" borderId="12" xfId="0" applyNumberFormat="1" applyFont="1" applyFill="1" applyBorder="1" applyAlignment="1">
      <alignment horizontal="right" vertical="center" wrapText="1"/>
    </xf>
    <xf numFmtId="171" fontId="57" fillId="0" borderId="12" xfId="0" applyNumberFormat="1" applyFont="1" applyFill="1" applyBorder="1" applyAlignment="1">
      <alignment horizontal="right" vertical="center" wrapText="1"/>
    </xf>
    <xf numFmtId="0" fontId="27" fillId="0" borderId="30" xfId="15" applyFont="1" applyFill="1" applyBorder="1" applyAlignment="1">
      <alignment vertical="center" wrapText="1"/>
    </xf>
    <xf numFmtId="0" fontId="27" fillId="0" borderId="31" xfId="15" applyFont="1" applyFill="1" applyBorder="1" applyAlignment="1">
      <alignment vertical="center" wrapText="1"/>
    </xf>
    <xf numFmtId="3" fontId="26" fillId="0" borderId="31" xfId="15" applyNumberFormat="1" applyFont="1" applyFill="1" applyBorder="1" applyAlignment="1">
      <alignment vertical="center" wrapText="1"/>
    </xf>
    <xf numFmtId="171" fontId="27" fillId="0" borderId="31" xfId="5" applyNumberFormat="1" applyFont="1" applyFill="1" applyBorder="1" applyAlignment="1">
      <alignment vertical="center" wrapText="1"/>
    </xf>
    <xf numFmtId="3" fontId="27" fillId="0" borderId="31" xfId="15" applyNumberFormat="1" applyFont="1" applyFill="1" applyBorder="1" applyAlignment="1">
      <alignment vertical="center" wrapText="1"/>
    </xf>
    <xf numFmtId="171" fontId="27" fillId="0" borderId="32" xfId="5" applyNumberFormat="1" applyFont="1" applyFill="1" applyBorder="1" applyAlignment="1">
      <alignment vertical="center" wrapText="1"/>
    </xf>
    <xf numFmtId="0" fontId="52" fillId="0" borderId="0" xfId="15" applyFont="1" applyBorder="1" applyAlignment="1">
      <alignment vertical="center" wrapText="1"/>
    </xf>
    <xf numFmtId="0" fontId="31" fillId="21" borderId="33" xfId="15" applyFont="1" applyFill="1" applyBorder="1" applyAlignment="1">
      <alignment horizontal="justify" vertical="center" wrapText="1"/>
    </xf>
    <xf numFmtId="0" fontId="62" fillId="0" borderId="10" xfId="0" applyFont="1" applyFill="1" applyBorder="1" applyAlignment="1">
      <alignment horizontal="center" vertical="center"/>
    </xf>
    <xf numFmtId="0" fontId="31" fillId="20" borderId="15" xfId="15" applyFont="1" applyFill="1" applyBorder="1" applyAlignment="1">
      <alignment horizontal="justify" vertical="center" wrapText="1"/>
    </xf>
    <xf numFmtId="0" fontId="50" fillId="20" borderId="10" xfId="15" applyFont="1" applyFill="1" applyBorder="1" applyAlignment="1">
      <alignment horizontal="center" vertical="center" wrapText="1"/>
    </xf>
    <xf numFmtId="0" fontId="50" fillId="20" borderId="20" xfId="15" applyFont="1" applyFill="1" applyBorder="1" applyAlignment="1">
      <alignment horizontal="center" vertical="center" wrapText="1"/>
    </xf>
    <xf numFmtId="3" fontId="31" fillId="0" borderId="27" xfId="15" applyNumberFormat="1" applyFont="1" applyFill="1" applyBorder="1" applyAlignment="1">
      <alignment horizontal="center" vertical="center" wrapText="1"/>
    </xf>
    <xf numFmtId="0" fontId="34" fillId="5" borderId="15" xfId="15" applyFont="1" applyFill="1" applyBorder="1" applyAlignment="1" applyProtection="1">
      <alignment horizontal="center" vertical="center" wrapText="1"/>
      <protection locked="0"/>
    </xf>
    <xf numFmtId="0" fontId="31" fillId="21" borderId="15" xfId="15" applyFont="1" applyFill="1" applyBorder="1" applyAlignment="1">
      <alignment horizontal="justify" vertical="center" wrapText="1"/>
    </xf>
    <xf numFmtId="0" fontId="57" fillId="20" borderId="10" xfId="0" applyFont="1" applyFill="1" applyBorder="1" applyAlignment="1">
      <alignment horizontal="center" vertical="center"/>
    </xf>
    <xf numFmtId="0" fontId="31" fillId="0" borderId="25" xfId="15" applyFont="1" applyFill="1" applyBorder="1" applyAlignment="1">
      <alignment horizontal="center" vertical="center" wrapText="1"/>
    </xf>
    <xf numFmtId="3" fontId="34" fillId="19" borderId="20" xfId="15" applyNumberFormat="1" applyFont="1" applyFill="1" applyBorder="1" applyAlignment="1">
      <alignment vertical="center" wrapText="1"/>
    </xf>
    <xf numFmtId="0" fontId="34" fillId="13" borderId="17" xfId="15" applyFont="1" applyFill="1" applyBorder="1" applyAlignment="1" applyProtection="1">
      <alignment horizontal="center" vertical="center" wrapText="1"/>
      <protection locked="0"/>
    </xf>
    <xf numFmtId="0" fontId="34" fillId="22" borderId="17" xfId="15" applyFont="1" applyFill="1" applyBorder="1" applyAlignment="1" applyProtection="1">
      <alignment horizontal="center" vertical="center" wrapText="1"/>
      <protection locked="0"/>
    </xf>
    <xf numFmtId="0" fontId="34" fillId="5" borderId="33" xfId="15" applyFont="1" applyFill="1" applyBorder="1" applyAlignment="1">
      <alignment horizontal="center" vertical="center" wrapText="1"/>
    </xf>
    <xf numFmtId="3" fontId="34" fillId="14" borderId="26" xfId="15" applyNumberFormat="1" applyFont="1" applyFill="1" applyBorder="1" applyAlignment="1">
      <alignment vertical="center" wrapText="1"/>
    </xf>
    <xf numFmtId="171" fontId="34" fillId="14" borderId="26" xfId="15" applyNumberFormat="1" applyFont="1" applyFill="1" applyBorder="1" applyAlignment="1">
      <alignment vertical="center" wrapText="1"/>
    </xf>
    <xf numFmtId="3" fontId="31" fillId="0" borderId="0" xfId="15" applyNumberFormat="1" applyFont="1" applyFill="1" applyBorder="1" applyAlignment="1">
      <alignment horizontal="right" vertical="center" wrapText="1"/>
    </xf>
    <xf numFmtId="169" fontId="57" fillId="0" borderId="0" xfId="0" applyNumberFormat="1" applyFont="1" applyFill="1" applyBorder="1" applyAlignment="1">
      <alignment horizontal="center" vertical="center" wrapText="1"/>
    </xf>
    <xf numFmtId="171" fontId="31" fillId="0" borderId="0" xfId="5" applyNumberFormat="1" applyFont="1" applyFill="1" applyBorder="1" applyAlignment="1">
      <alignment vertical="center" wrapText="1"/>
    </xf>
    <xf numFmtId="0" fontId="31" fillId="18" borderId="26" xfId="15" applyFont="1" applyFill="1" applyBorder="1" applyAlignment="1">
      <alignment horizontal="center" vertical="center" wrapText="1"/>
    </xf>
    <xf numFmtId="3" fontId="31" fillId="18" borderId="10" xfId="15" applyNumberFormat="1" applyFont="1" applyFill="1" applyBorder="1" applyAlignment="1">
      <alignment horizontal="right" vertical="center" wrapText="1"/>
    </xf>
    <xf numFmtId="0" fontId="31" fillId="18" borderId="10" xfId="15" applyFont="1" applyFill="1" applyBorder="1" applyAlignment="1">
      <alignment horizontal="center" vertical="center" wrapText="1"/>
    </xf>
    <xf numFmtId="0" fontId="57" fillId="18" borderId="10" xfId="0" applyFont="1" applyFill="1" applyBorder="1" applyAlignment="1">
      <alignment horizontal="center" vertical="center"/>
    </xf>
    <xf numFmtId="0" fontId="50" fillId="18" borderId="10" xfId="15" applyFont="1" applyFill="1" applyBorder="1" applyAlignment="1">
      <alignment horizontal="center" vertical="center" wrapText="1"/>
    </xf>
    <xf numFmtId="3" fontId="31" fillId="18" borderId="26" xfId="15" applyNumberFormat="1" applyFont="1" applyFill="1" applyBorder="1" applyAlignment="1">
      <alignment horizontal="center" vertical="center" wrapText="1"/>
    </xf>
    <xf numFmtId="3" fontId="50" fillId="18" borderId="10" xfId="15" applyNumberFormat="1" applyFont="1" applyFill="1" applyBorder="1" applyAlignment="1">
      <alignment horizontal="center" vertical="center" wrapText="1"/>
    </xf>
    <xf numFmtId="3" fontId="31" fillId="18" borderId="10" xfId="15" applyNumberFormat="1" applyFont="1" applyFill="1" applyBorder="1" applyAlignment="1">
      <alignment horizontal="center" vertical="center" wrapText="1"/>
    </xf>
    <xf numFmtId="3" fontId="34" fillId="18" borderId="26" xfId="15" applyNumberFormat="1" applyFont="1" applyFill="1" applyBorder="1" applyAlignment="1">
      <alignment horizontal="center" vertical="center" wrapText="1"/>
    </xf>
    <xf numFmtId="3" fontId="31" fillId="18" borderId="20" xfId="15" applyNumberFormat="1" applyFont="1" applyFill="1" applyBorder="1" applyAlignment="1">
      <alignment horizontal="center" vertical="center" wrapText="1"/>
    </xf>
    <xf numFmtId="0" fontId="31" fillId="18" borderId="26" xfId="15" applyFont="1" applyFill="1" applyBorder="1" applyAlignment="1">
      <alignment vertical="center" wrapText="1"/>
    </xf>
    <xf numFmtId="0" fontId="31" fillId="18" borderId="10" xfId="15" applyFont="1" applyFill="1" applyBorder="1" applyAlignment="1">
      <alignment vertical="center" wrapText="1"/>
    </xf>
    <xf numFmtId="0" fontId="31" fillId="18" borderId="0" xfId="15" applyFont="1" applyFill="1" applyBorder="1" applyAlignment="1">
      <alignment vertical="center" wrapText="1"/>
    </xf>
    <xf numFmtId="3" fontId="57" fillId="18" borderId="10" xfId="0" applyNumberFormat="1" applyFont="1" applyFill="1" applyBorder="1" applyAlignment="1">
      <alignment horizontal="center" vertical="center"/>
    </xf>
    <xf numFmtId="0" fontId="34" fillId="13" borderId="34" xfId="15" applyFont="1" applyFill="1" applyBorder="1" applyAlignment="1">
      <alignment vertical="center" wrapText="1"/>
    </xf>
    <xf numFmtId="0" fontId="34" fillId="13" borderId="35" xfId="15" applyFont="1" applyFill="1" applyBorder="1" applyAlignment="1">
      <alignment vertical="center" wrapText="1"/>
    </xf>
    <xf numFmtId="3" fontId="34" fillId="18" borderId="10" xfId="15" applyNumberFormat="1" applyFont="1" applyFill="1" applyBorder="1" applyAlignment="1">
      <alignment horizontal="right" vertical="center" wrapText="1"/>
    </xf>
    <xf numFmtId="3" fontId="31" fillId="18" borderId="27" xfId="15" applyNumberFormat="1" applyFont="1" applyFill="1" applyBorder="1" applyAlignment="1">
      <alignment horizontal="center" vertical="center" wrapText="1"/>
    </xf>
    <xf numFmtId="0" fontId="31" fillId="0" borderId="18" xfId="15" applyFont="1" applyFill="1" applyBorder="1" applyAlignment="1">
      <alignment horizontal="center" vertical="center" wrapText="1"/>
    </xf>
    <xf numFmtId="3" fontId="31" fillId="20" borderId="27" xfId="15" applyNumberFormat="1" applyFont="1" applyFill="1" applyBorder="1" applyAlignment="1">
      <alignment horizontal="center" vertical="center" wrapText="1"/>
    </xf>
    <xf numFmtId="3" fontId="34" fillId="18" borderId="20" xfId="15" applyNumberFormat="1" applyFont="1" applyFill="1" applyBorder="1" applyAlignment="1">
      <alignment horizontal="center" vertical="center" wrapText="1"/>
    </xf>
    <xf numFmtId="169" fontId="50" fillId="18" borderId="10" xfId="15" applyNumberFormat="1" applyFont="1" applyFill="1" applyBorder="1" applyAlignment="1">
      <alignment horizontal="center" vertical="center" wrapText="1"/>
    </xf>
    <xf numFmtId="3" fontId="31" fillId="18" borderId="10" xfId="0" applyNumberFormat="1" applyFont="1" applyFill="1" applyBorder="1" applyAlignment="1">
      <alignment horizontal="center" vertical="center" wrapText="1"/>
    </xf>
    <xf numFmtId="3" fontId="34" fillId="18" borderId="10" xfId="15" applyNumberFormat="1" applyFont="1" applyFill="1" applyBorder="1" applyAlignment="1">
      <alignment horizontal="center" vertical="center" wrapText="1"/>
    </xf>
    <xf numFmtId="0" fontId="31" fillId="0" borderId="27" xfId="15" applyFont="1" applyFill="1" applyBorder="1" applyAlignment="1">
      <alignment horizontal="center" vertical="center" wrapText="1"/>
    </xf>
    <xf numFmtId="0" fontId="57" fillId="20" borderId="10" xfId="0" applyFont="1" applyFill="1" applyBorder="1" applyAlignment="1">
      <alignment horizontal="center" vertical="center" wrapText="1"/>
    </xf>
    <xf numFmtId="0" fontId="30" fillId="0" borderId="15" xfId="15" applyFont="1" applyFill="1" applyBorder="1" applyAlignment="1">
      <alignment horizontal="justify" vertical="center" wrapText="1"/>
    </xf>
    <xf numFmtId="0" fontId="31" fillId="0" borderId="36" xfId="15" applyFont="1" applyFill="1" applyBorder="1" applyAlignment="1">
      <alignment vertical="center" wrapText="1"/>
    </xf>
    <xf numFmtId="0" fontId="50" fillId="0" borderId="28" xfId="15" applyFont="1" applyFill="1" applyBorder="1" applyAlignment="1">
      <alignment horizontal="center" vertical="center" wrapText="1"/>
    </xf>
    <xf numFmtId="3" fontId="31" fillId="0" borderId="24" xfId="15" applyNumberFormat="1" applyFont="1" applyFill="1" applyBorder="1" applyAlignment="1">
      <alignment horizontal="center" vertical="center" wrapText="1"/>
    </xf>
    <xf numFmtId="169" fontId="57" fillId="0" borderId="20" xfId="0" applyNumberFormat="1" applyFont="1" applyFill="1" applyBorder="1" applyAlignment="1">
      <alignment horizontal="center" vertical="center" wrapText="1"/>
    </xf>
    <xf numFmtId="171" fontId="31" fillId="0" borderId="21" xfId="5" applyNumberFormat="1" applyFont="1" applyFill="1" applyBorder="1" applyAlignment="1">
      <alignment vertical="center" wrapText="1"/>
    </xf>
    <xf numFmtId="3" fontId="31" fillId="0" borderId="10" xfId="15" applyNumberFormat="1" applyFont="1" applyFill="1" applyBorder="1" applyAlignment="1">
      <alignment vertical="center" wrapText="1"/>
    </xf>
    <xf numFmtId="3" fontId="31" fillId="0" borderId="26" xfId="15" applyNumberFormat="1" applyFont="1" applyFill="1" applyBorder="1" applyAlignment="1">
      <alignment horizontal="right" vertical="center" wrapText="1"/>
    </xf>
    <xf numFmtId="3" fontId="31" fillId="20" borderId="26" xfId="15" applyNumberFormat="1" applyFont="1" applyFill="1" applyBorder="1" applyAlignment="1">
      <alignment horizontal="right" vertical="center" wrapText="1"/>
    </xf>
    <xf numFmtId="3" fontId="57" fillId="0" borderId="26" xfId="0" applyNumberFormat="1" applyFont="1" applyFill="1" applyBorder="1" applyAlignment="1">
      <alignment horizontal="center" vertical="center" wrapText="1"/>
    </xf>
    <xf numFmtId="169" fontId="57" fillId="0" borderId="26" xfId="0" applyNumberFormat="1" applyFont="1" applyFill="1" applyBorder="1" applyAlignment="1">
      <alignment horizontal="center" vertical="center" wrapText="1"/>
    </xf>
    <xf numFmtId="171" fontId="31" fillId="0" borderId="29" xfId="5" applyNumberFormat="1" applyFont="1" applyFill="1" applyBorder="1" applyAlignment="1">
      <alignment vertical="center" wrapText="1"/>
    </xf>
    <xf numFmtId="3" fontId="31" fillId="0" borderId="37" xfId="15" applyNumberFormat="1" applyFont="1" applyFill="1" applyBorder="1" applyAlignment="1">
      <alignment horizontal="center" vertical="center" wrapText="1"/>
    </xf>
    <xf numFmtId="3" fontId="34" fillId="14" borderId="35" xfId="15" applyNumberFormat="1" applyFont="1" applyFill="1" applyBorder="1" applyAlignment="1">
      <alignment horizontal="right" vertical="center" wrapText="1"/>
    </xf>
    <xf numFmtId="0" fontId="34" fillId="4" borderId="38" xfId="15" applyFont="1" applyFill="1" applyBorder="1" applyAlignment="1">
      <alignment horizontal="justify" vertical="center" wrapText="1"/>
    </xf>
    <xf numFmtId="0" fontId="34" fillId="4" borderId="15" xfId="15" applyFont="1" applyFill="1" applyBorder="1" applyAlignment="1">
      <alignment horizontal="justify" vertical="center" wrapText="1"/>
    </xf>
    <xf numFmtId="3" fontId="31" fillId="18" borderId="24" xfId="15" applyNumberFormat="1" applyFont="1" applyFill="1" applyBorder="1" applyAlignment="1">
      <alignment horizontal="center" vertical="center" wrapText="1"/>
    </xf>
    <xf numFmtId="0" fontId="34" fillId="0" borderId="15" xfId="15" applyFont="1" applyFill="1" applyBorder="1" applyAlignment="1">
      <alignment horizontal="justify" vertical="center" wrapText="1"/>
    </xf>
    <xf numFmtId="0" fontId="34" fillId="20" borderId="15" xfId="15" applyFont="1" applyFill="1" applyBorder="1" applyAlignment="1">
      <alignment horizontal="justify" vertical="center" wrapText="1"/>
    </xf>
    <xf numFmtId="0" fontId="34" fillId="4" borderId="19" xfId="15" applyFont="1" applyFill="1" applyBorder="1" applyAlignment="1">
      <alignment horizontal="justify" vertical="center" wrapText="1"/>
    </xf>
    <xf numFmtId="0" fontId="30" fillId="4" borderId="19" xfId="15" applyFont="1" applyFill="1" applyBorder="1" applyAlignment="1">
      <alignment horizontal="justify" vertical="center" wrapText="1"/>
    </xf>
    <xf numFmtId="0" fontId="34" fillId="19" borderId="15" xfId="15" applyFont="1" applyFill="1" applyBorder="1" applyAlignment="1">
      <alignment horizontal="justify" vertical="center" wrapText="1"/>
    </xf>
    <xf numFmtId="3" fontId="31" fillId="0" borderId="26" xfId="15" applyNumberFormat="1" applyFont="1" applyFill="1" applyBorder="1" applyAlignment="1">
      <alignment horizontal="center" vertical="center" wrapText="1"/>
    </xf>
    <xf numFmtId="0" fontId="34" fillId="5" borderId="39" xfId="15" applyFont="1" applyFill="1" applyBorder="1" applyAlignment="1">
      <alignment horizontal="center" vertical="center" wrapText="1"/>
    </xf>
    <xf numFmtId="3" fontId="31" fillId="0" borderId="18" xfId="15" applyNumberFormat="1" applyFont="1" applyFill="1" applyBorder="1" applyAlignment="1">
      <alignment horizontal="center" vertical="center" wrapText="1"/>
    </xf>
    <xf numFmtId="3" fontId="34" fillId="19" borderId="10" xfId="15" applyNumberFormat="1" applyFont="1" applyFill="1" applyBorder="1" applyAlignment="1">
      <alignment horizontal="center" vertical="center" wrapText="1"/>
    </xf>
    <xf numFmtId="3" fontId="31" fillId="0" borderId="40" xfId="15" applyNumberFormat="1" applyFont="1" applyFill="1" applyBorder="1" applyAlignment="1">
      <alignment horizontal="center" vertical="center" wrapText="1"/>
    </xf>
    <xf numFmtId="171" fontId="34" fillId="14" borderId="26" xfId="15" applyNumberFormat="1" applyFont="1" applyFill="1" applyBorder="1" applyAlignment="1">
      <alignment horizontal="center" vertical="center" wrapText="1"/>
    </xf>
    <xf numFmtId="3" fontId="34" fillId="14" borderId="35" xfId="15" applyNumberFormat="1" applyFont="1" applyFill="1" applyBorder="1" applyAlignment="1">
      <alignment horizontal="center" vertical="center" wrapText="1"/>
    </xf>
    <xf numFmtId="0" fontId="27" fillId="0" borderId="31" xfId="15" applyFont="1" applyFill="1" applyBorder="1" applyAlignment="1">
      <alignment horizontal="center" vertical="center" wrapText="1"/>
    </xf>
    <xf numFmtId="0" fontId="34" fillId="4" borderId="26" xfId="15" applyFont="1" applyFill="1" applyBorder="1" applyAlignment="1">
      <alignment horizontal="justify" vertical="center" wrapText="1"/>
    </xf>
    <xf numFmtId="3" fontId="31" fillId="4" borderId="26" xfId="15" applyNumberFormat="1" applyFont="1" applyFill="1" applyBorder="1" applyAlignment="1">
      <alignment horizontal="left" vertical="center" wrapText="1"/>
    </xf>
    <xf numFmtId="3" fontId="34" fillId="19" borderId="26" xfId="15" applyNumberFormat="1" applyFont="1" applyFill="1" applyBorder="1" applyAlignment="1">
      <alignment horizontal="right" vertical="center" wrapText="1"/>
    </xf>
    <xf numFmtId="3" fontId="34" fillId="19" borderId="26" xfId="15" applyNumberFormat="1" applyFont="1" applyFill="1" applyBorder="1" applyAlignment="1">
      <alignment horizontal="center" vertical="center" wrapText="1"/>
    </xf>
    <xf numFmtId="0" fontId="34" fillId="14" borderId="41" xfId="15" applyFont="1" applyFill="1" applyBorder="1" applyAlignment="1">
      <alignment horizontal="center" vertical="center" wrapText="1"/>
    </xf>
    <xf numFmtId="168" fontId="30" fillId="5" borderId="41" xfId="2" applyNumberFormat="1" applyFont="1" applyFill="1" applyBorder="1" applyAlignment="1">
      <alignment horizontal="center" vertical="center" wrapText="1"/>
    </xf>
    <xf numFmtId="3" fontId="34" fillId="14" borderId="41" xfId="15" applyNumberFormat="1" applyFont="1" applyFill="1" applyBorder="1" applyAlignment="1">
      <alignment vertical="center" wrapText="1"/>
    </xf>
    <xf numFmtId="3" fontId="34" fillId="14" borderId="41" xfId="15" applyNumberFormat="1" applyFont="1" applyFill="1" applyBorder="1" applyAlignment="1">
      <alignment horizontal="center" vertical="center" wrapText="1"/>
    </xf>
    <xf numFmtId="0" fontId="31" fillId="20" borderId="15" xfId="0" applyFont="1" applyFill="1" applyBorder="1" applyAlignment="1">
      <alignment horizontal="justify" vertical="center" wrapText="1"/>
    </xf>
    <xf numFmtId="0" fontId="31" fillId="23" borderId="15" xfId="0" applyFont="1" applyFill="1" applyBorder="1" applyAlignment="1">
      <alignment horizontal="justify" vertical="center" wrapText="1"/>
    </xf>
    <xf numFmtId="0" fontId="31" fillId="24" borderId="15" xfId="0" applyFont="1" applyFill="1" applyBorder="1" applyAlignment="1">
      <alignment horizontal="justify" vertical="center" wrapText="1"/>
    </xf>
    <xf numFmtId="0" fontId="31" fillId="21" borderId="15" xfId="0" applyFont="1" applyFill="1" applyBorder="1" applyAlignment="1">
      <alignment horizontal="justify" vertical="center" wrapText="1"/>
    </xf>
    <xf numFmtId="0" fontId="30" fillId="0" borderId="15" xfId="15" applyFont="1" applyFill="1" applyBorder="1" applyAlignment="1">
      <alignment vertical="center" wrapText="1"/>
    </xf>
    <xf numFmtId="0" fontId="34" fillId="20" borderId="15" xfId="0" applyFont="1" applyFill="1" applyBorder="1" applyAlignment="1">
      <alignment horizontal="justify" vertical="center" wrapText="1"/>
    </xf>
    <xf numFmtId="0" fontId="31" fillId="0" borderId="15" xfId="0" applyFont="1" applyFill="1" applyBorder="1" applyAlignment="1">
      <alignment horizontal="justify" vertical="center" wrapText="1"/>
    </xf>
    <xf numFmtId="0" fontId="34" fillId="0" borderId="15" xfId="0" applyFont="1" applyFill="1" applyBorder="1" applyAlignment="1">
      <alignment horizontal="justify" vertical="center" wrapText="1"/>
    </xf>
    <xf numFmtId="171" fontId="31" fillId="21" borderId="15" xfId="2" applyNumberFormat="1" applyFont="1" applyFill="1" applyBorder="1" applyAlignment="1">
      <alignment horizontal="justify" vertical="center" wrapText="1"/>
    </xf>
    <xf numFmtId="0" fontId="29" fillId="21" borderId="15" xfId="0" applyFont="1" applyFill="1" applyBorder="1" applyAlignment="1">
      <alignment horizontal="justify" vertical="center"/>
    </xf>
    <xf numFmtId="0" fontId="31" fillId="20" borderId="16" xfId="0" applyFont="1" applyFill="1" applyBorder="1" applyAlignment="1">
      <alignment horizontal="justify" vertical="center" wrapText="1"/>
    </xf>
    <xf numFmtId="3" fontId="9" fillId="25" borderId="10" xfId="0" applyNumberFormat="1" applyFont="1" applyFill="1" applyBorder="1" applyAlignment="1">
      <alignment horizontal="center" vertical="center" wrapText="1"/>
    </xf>
    <xf numFmtId="3" fontId="10" fillId="25" borderId="10" xfId="0" applyNumberFormat="1" applyFont="1" applyFill="1" applyBorder="1" applyAlignment="1">
      <alignment horizontal="center" vertical="center" wrapText="1"/>
    </xf>
    <xf numFmtId="0" fontId="9" fillId="25" borderId="15" xfId="0" applyFont="1" applyFill="1" applyBorder="1" applyAlignment="1">
      <alignment horizontal="center" vertical="center" wrapText="1"/>
    </xf>
    <xf numFmtId="0" fontId="26" fillId="0" borderId="20"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14" borderId="7" xfId="0" applyFont="1" applyFill="1" applyBorder="1" applyAlignment="1">
      <alignment horizontal="center" vertical="top" wrapText="1"/>
    </xf>
    <xf numFmtId="0" fontId="26" fillId="0" borderId="20" xfId="0" applyFont="1" applyFill="1" applyBorder="1" applyAlignment="1">
      <alignment horizontal="center" vertical="center" wrapText="1"/>
    </xf>
    <xf numFmtId="0" fontId="24" fillId="2" borderId="0" xfId="0" applyFont="1" applyFill="1" applyAlignment="1">
      <alignment horizontal="center" vertical="center" wrapText="1"/>
    </xf>
    <xf numFmtId="3" fontId="31" fillId="26" borderId="10" xfId="15" applyNumberFormat="1" applyFont="1" applyFill="1" applyBorder="1" applyAlignment="1">
      <alignment horizontal="right" vertical="center" wrapText="1"/>
    </xf>
    <xf numFmtId="3" fontId="34" fillId="26" borderId="41" xfId="15" applyNumberFormat="1" applyFont="1" applyFill="1" applyBorder="1" applyAlignment="1">
      <alignment vertical="center" wrapText="1"/>
    </xf>
    <xf numFmtId="3" fontId="31" fillId="26" borderId="26" xfId="15" applyNumberFormat="1" applyFont="1" applyFill="1" applyBorder="1" applyAlignment="1">
      <alignment vertical="center" wrapText="1"/>
    </xf>
    <xf numFmtId="3" fontId="31" fillId="26" borderId="10" xfId="15" applyNumberFormat="1" applyFont="1" applyFill="1" applyBorder="1" applyAlignment="1">
      <alignment vertical="center" wrapText="1"/>
    </xf>
    <xf numFmtId="3" fontId="31" fillId="26" borderId="27" xfId="15" applyNumberFormat="1" applyFont="1" applyFill="1" applyBorder="1" applyAlignment="1">
      <alignment vertical="center" wrapText="1"/>
    </xf>
    <xf numFmtId="3" fontId="31" fillId="26" borderId="18" xfId="15" applyNumberFormat="1" applyFont="1" applyFill="1" applyBorder="1" applyAlignment="1">
      <alignment vertical="center" wrapText="1"/>
    </xf>
    <xf numFmtId="3" fontId="34" fillId="26" borderId="10" xfId="15" applyNumberFormat="1" applyFont="1" applyFill="1" applyBorder="1" applyAlignment="1">
      <alignment horizontal="right" vertical="center" wrapText="1"/>
    </xf>
    <xf numFmtId="3" fontId="31" fillId="26" borderId="20" xfId="15" applyNumberFormat="1" applyFont="1" applyFill="1" applyBorder="1" applyAlignment="1">
      <alignment horizontal="right" vertical="center" wrapText="1"/>
    </xf>
    <xf numFmtId="3" fontId="34" fillId="26" borderId="20" xfId="15" applyNumberFormat="1" applyFont="1" applyFill="1" applyBorder="1" applyAlignment="1">
      <alignment horizontal="right" vertical="center" wrapText="1"/>
    </xf>
    <xf numFmtId="0" fontId="31" fillId="26" borderId="10" xfId="15" applyFont="1" applyFill="1" applyBorder="1" applyAlignment="1">
      <alignment vertical="center" wrapText="1"/>
    </xf>
    <xf numFmtId="0" fontId="31" fillId="26" borderId="26" xfId="15" applyFont="1" applyFill="1" applyBorder="1" applyAlignment="1">
      <alignment vertical="center" wrapText="1"/>
    </xf>
    <xf numFmtId="171" fontId="34" fillId="26" borderId="26" xfId="15" applyNumberFormat="1" applyFont="1" applyFill="1" applyBorder="1" applyAlignment="1">
      <alignment vertical="center" wrapText="1"/>
    </xf>
    <xf numFmtId="3" fontId="34" fillId="26" borderId="10" xfId="15" applyNumberFormat="1" applyFont="1" applyFill="1" applyBorder="1" applyAlignment="1">
      <alignment vertical="center" wrapText="1"/>
    </xf>
    <xf numFmtId="0" fontId="57" fillId="26" borderId="10" xfId="14" applyFont="1" applyFill="1" applyBorder="1" applyAlignment="1">
      <alignment horizontal="right" vertical="center"/>
    </xf>
    <xf numFmtId="3" fontId="34" fillId="26" borderId="0" xfId="15" applyNumberFormat="1" applyFont="1" applyFill="1" applyBorder="1" applyAlignment="1">
      <alignment vertical="center" wrapText="1"/>
    </xf>
    <xf numFmtId="3" fontId="31" fillId="26" borderId="20" xfId="15" applyNumberFormat="1" applyFont="1" applyFill="1" applyBorder="1" applyAlignment="1">
      <alignment horizontal="center" vertical="center" wrapText="1"/>
    </xf>
    <xf numFmtId="3" fontId="31" fillId="26" borderId="10" xfId="15" applyNumberFormat="1" applyFont="1" applyFill="1" applyBorder="1" applyAlignment="1">
      <alignment horizontal="center" vertical="center" wrapText="1"/>
    </xf>
    <xf numFmtId="3" fontId="34" fillId="26" borderId="35" xfId="15" applyNumberFormat="1" applyFont="1" applyFill="1" applyBorder="1" applyAlignment="1">
      <alignment horizontal="right" vertical="center" wrapText="1"/>
    </xf>
    <xf numFmtId="0" fontId="27" fillId="26" borderId="31" xfId="15" applyFont="1" applyFill="1" applyBorder="1" applyAlignment="1">
      <alignment vertical="center" wrapText="1"/>
    </xf>
    <xf numFmtId="0" fontId="27" fillId="26" borderId="0" xfId="15" applyFont="1" applyFill="1" applyAlignment="1">
      <alignment vertical="center" wrapText="1"/>
    </xf>
    <xf numFmtId="3" fontId="31" fillId="26" borderId="26" xfId="15" applyNumberFormat="1" applyFont="1" applyFill="1" applyBorder="1" applyAlignment="1">
      <alignment horizontal="right" vertical="center" wrapText="1"/>
    </xf>
    <xf numFmtId="0" fontId="34" fillId="27" borderId="17" xfId="15" applyFont="1" applyFill="1" applyBorder="1" applyAlignment="1">
      <alignment horizontal="center" vertical="center" wrapText="1"/>
    </xf>
    <xf numFmtId="169" fontId="31" fillId="0" borderId="43" xfId="15" applyNumberFormat="1" applyFont="1" applyFill="1" applyBorder="1" applyAlignment="1">
      <alignment horizontal="center" vertical="center" wrapText="1"/>
    </xf>
    <xf numFmtId="169" fontId="31" fillId="0" borderId="18" xfId="15" applyNumberFormat="1" applyFont="1" applyFill="1" applyBorder="1" applyAlignment="1">
      <alignment horizontal="center" vertical="center" wrapText="1"/>
    </xf>
    <xf numFmtId="169" fontId="31" fillId="0" borderId="10" xfId="15" applyNumberFormat="1" applyFont="1" applyFill="1" applyBorder="1" applyAlignment="1">
      <alignment horizontal="center" vertical="center" wrapText="1"/>
    </xf>
    <xf numFmtId="169" fontId="34" fillId="19" borderId="26" xfId="15" applyNumberFormat="1" applyFont="1" applyFill="1" applyBorder="1" applyAlignment="1">
      <alignment horizontal="center" vertical="center" wrapText="1"/>
    </xf>
    <xf numFmtId="169" fontId="27" fillId="0" borderId="0" xfId="15" applyNumberFormat="1" applyFont="1" applyFill="1" applyAlignment="1">
      <alignment horizontal="center" vertical="center" wrapText="1"/>
    </xf>
    <xf numFmtId="3" fontId="27" fillId="26" borderId="0" xfId="15" applyNumberFormat="1" applyFont="1" applyFill="1" applyAlignment="1">
      <alignment vertical="center" wrapText="1"/>
    </xf>
    <xf numFmtId="3" fontId="27" fillId="0" borderId="0" xfId="15" applyNumberFormat="1" applyFont="1" applyFill="1" applyAlignment="1">
      <alignment horizontal="center" vertical="center" wrapText="1"/>
    </xf>
    <xf numFmtId="1" fontId="31" fillId="26" borderId="26" xfId="15" applyNumberFormat="1" applyFont="1" applyFill="1" applyBorder="1" applyAlignment="1">
      <alignment horizontal="right" vertical="center" wrapText="1"/>
    </xf>
    <xf numFmtId="173" fontId="31" fillId="26" borderId="10" xfId="15" applyNumberFormat="1" applyFont="1" applyFill="1" applyBorder="1" applyAlignment="1">
      <alignment vertical="center" wrapText="1"/>
    </xf>
    <xf numFmtId="169" fontId="31" fillId="0" borderId="27" xfId="15" applyNumberFormat="1" applyFont="1" applyFill="1" applyBorder="1" applyAlignment="1">
      <alignment horizontal="center" vertical="center" wrapText="1"/>
    </xf>
    <xf numFmtId="4" fontId="31" fillId="26" borderId="10" xfId="15" applyNumberFormat="1" applyFont="1" applyFill="1" applyBorder="1" applyAlignment="1">
      <alignment horizontal="right" vertical="center" wrapText="1"/>
    </xf>
    <xf numFmtId="3" fontId="31" fillId="0" borderId="12" xfId="5" applyNumberFormat="1" applyFont="1" applyFill="1" applyBorder="1" applyAlignment="1">
      <alignment vertical="center" wrapText="1"/>
    </xf>
    <xf numFmtId="171" fontId="50" fillId="0" borderId="26" xfId="15" applyNumberFormat="1" applyFont="1" applyFill="1" applyBorder="1" applyAlignment="1">
      <alignment horizontal="right" vertical="center" wrapText="1"/>
    </xf>
    <xf numFmtId="174" fontId="34" fillId="4" borderId="26" xfId="2" applyNumberFormat="1" applyFont="1" applyFill="1" applyBorder="1" applyAlignment="1">
      <alignment horizontal="right" vertical="center" wrapText="1"/>
    </xf>
    <xf numFmtId="3" fontId="9" fillId="11" borderId="18" xfId="0" applyNumberFormat="1" applyFont="1" applyFill="1" applyBorder="1" applyAlignment="1">
      <alignment vertical="center" wrapText="1"/>
    </xf>
    <xf numFmtId="3" fontId="10" fillId="4" borderId="18" xfId="0" applyNumberFormat="1" applyFont="1" applyFill="1" applyBorder="1" applyAlignment="1">
      <alignment vertical="center" wrapText="1"/>
    </xf>
    <xf numFmtId="3" fontId="10" fillId="0" borderId="10" xfId="0" applyNumberFormat="1" applyFont="1" applyFill="1" applyBorder="1" applyAlignment="1">
      <alignment horizontal="center" vertical="center" wrapText="1"/>
    </xf>
    <xf numFmtId="3" fontId="63" fillId="19" borderId="10" xfId="15" applyNumberFormat="1" applyFont="1" applyFill="1" applyBorder="1" applyAlignment="1">
      <alignment horizontal="right" vertical="center" wrapText="1"/>
    </xf>
    <xf numFmtId="3" fontId="64" fillId="26" borderId="10" xfId="15" applyNumberFormat="1" applyFont="1" applyFill="1" applyBorder="1" applyAlignment="1">
      <alignment horizontal="right" vertical="center" wrapText="1"/>
    </xf>
    <xf numFmtId="173" fontId="31" fillId="26" borderId="10" xfId="15" applyNumberFormat="1" applyFont="1" applyFill="1" applyBorder="1" applyAlignment="1">
      <alignment horizontal="right" vertical="center" wrapText="1"/>
    </xf>
    <xf numFmtId="3" fontId="9" fillId="14" borderId="7" xfId="0" applyNumberFormat="1" applyFont="1" applyFill="1" applyBorder="1" applyAlignment="1">
      <alignment horizontal="center" vertical="center" wrapText="1"/>
    </xf>
    <xf numFmtId="0" fontId="9" fillId="14" borderId="6" xfId="0" applyFont="1" applyFill="1" applyBorder="1" applyAlignment="1">
      <alignment horizontal="center" vertical="top" wrapText="1"/>
    </xf>
    <xf numFmtId="0" fontId="10" fillId="25" borderId="15" xfId="15" applyFont="1" applyFill="1" applyBorder="1" applyAlignment="1">
      <alignment horizontal="justify" vertical="center" wrapText="1"/>
    </xf>
    <xf numFmtId="0" fontId="10" fillId="21" borderId="15" xfId="15" applyFont="1" applyFill="1" applyBorder="1" applyAlignment="1">
      <alignment horizontal="justify" vertical="center" wrapText="1"/>
    </xf>
    <xf numFmtId="0" fontId="10" fillId="0" borderId="10" xfId="15" applyFont="1" applyFill="1" applyBorder="1" applyAlignment="1">
      <alignment horizontal="center" vertical="center" wrapText="1"/>
    </xf>
    <xf numFmtId="3" fontId="10" fillId="0" borderId="10" xfId="15" applyNumberFormat="1" applyFont="1" applyFill="1" applyBorder="1" applyAlignment="1">
      <alignment horizontal="center" vertical="center" wrapText="1"/>
    </xf>
    <xf numFmtId="3" fontId="10" fillId="0" borderId="10" xfId="0" applyNumberFormat="1" applyFont="1" applyFill="1" applyBorder="1" applyAlignment="1">
      <alignment horizontal="right" vertical="center" wrapText="1"/>
    </xf>
    <xf numFmtId="4" fontId="10" fillId="0" borderId="10" xfId="0" applyNumberFormat="1" applyFont="1" applyFill="1" applyBorder="1" applyAlignment="1">
      <alignment horizontal="center" vertical="center" wrapText="1"/>
    </xf>
    <xf numFmtId="0" fontId="10" fillId="20" borderId="15" xfId="0" applyFont="1" applyFill="1" applyBorder="1" applyAlignment="1">
      <alignment horizontal="justify" vertical="center" wrapText="1"/>
    </xf>
    <xf numFmtId="0" fontId="65" fillId="0" borderId="10" xfId="0" applyFont="1" applyFill="1" applyBorder="1" applyAlignment="1">
      <alignment horizontal="center" vertical="center"/>
    </xf>
    <xf numFmtId="0" fontId="10" fillId="23" borderId="15" xfId="0" applyFont="1" applyFill="1" applyBorder="1" applyAlignment="1">
      <alignment horizontal="justify" vertical="center" wrapText="1"/>
    </xf>
    <xf numFmtId="0" fontId="10" fillId="24" borderId="15" xfId="0" applyFont="1" applyFill="1" applyBorder="1" applyAlignment="1">
      <alignment horizontal="justify" vertical="center" wrapText="1"/>
    </xf>
    <xf numFmtId="0" fontId="10" fillId="21" borderId="15" xfId="0" applyFont="1" applyFill="1" applyBorder="1" applyAlignment="1">
      <alignment horizontal="justify" vertical="center" wrapText="1"/>
    </xf>
    <xf numFmtId="0" fontId="54" fillId="0" borderId="10" xfId="15" applyFont="1" applyFill="1" applyBorder="1" applyAlignment="1">
      <alignment horizontal="center" vertical="center" wrapText="1"/>
    </xf>
    <xf numFmtId="0" fontId="9" fillId="0" borderId="15" xfId="15" applyFont="1" applyFill="1" applyBorder="1" applyAlignment="1">
      <alignment horizontal="justify" vertical="center" wrapText="1"/>
    </xf>
    <xf numFmtId="3" fontId="10" fillId="25" borderId="10" xfId="15" applyNumberFormat="1" applyFont="1" applyFill="1" applyBorder="1" applyAlignment="1">
      <alignment horizontal="center" vertical="center" wrapText="1"/>
    </xf>
    <xf numFmtId="0" fontId="10" fillId="20" borderId="15" xfId="15" applyFont="1" applyFill="1" applyBorder="1" applyAlignment="1">
      <alignment horizontal="justify" vertical="center" wrapText="1"/>
    </xf>
    <xf numFmtId="0" fontId="54" fillId="0" borderId="10" xfId="15" applyFont="1" applyBorder="1" applyAlignment="1">
      <alignment horizontal="center" vertical="center" wrapText="1"/>
    </xf>
    <xf numFmtId="0" fontId="9" fillId="20" borderId="15" xfId="15" applyFont="1" applyFill="1" applyBorder="1" applyAlignment="1">
      <alignment horizontal="justify" vertical="center" wrapText="1"/>
    </xf>
    <xf numFmtId="0" fontId="10" fillId="20" borderId="10" xfId="15" applyFont="1" applyFill="1" applyBorder="1" applyAlignment="1">
      <alignment horizontal="center" vertical="center" wrapText="1"/>
    </xf>
    <xf numFmtId="0" fontId="54" fillId="20" borderId="10" xfId="15" applyFont="1" applyFill="1" applyBorder="1" applyAlignment="1">
      <alignment horizontal="center" vertical="center" wrapText="1"/>
    </xf>
    <xf numFmtId="0" fontId="9" fillId="0" borderId="15" xfId="15" applyFont="1" applyFill="1" applyBorder="1" applyAlignment="1">
      <alignment vertical="center" wrapText="1"/>
    </xf>
    <xf numFmtId="0" fontId="54" fillId="25" borderId="10" xfId="0" applyFont="1" applyFill="1" applyBorder="1" applyAlignment="1">
      <alignment horizontal="center" vertical="center" wrapText="1"/>
    </xf>
    <xf numFmtId="3" fontId="54" fillId="25" borderId="10" xfId="0" applyNumberFormat="1" applyFont="1" applyFill="1" applyBorder="1" applyAlignment="1">
      <alignment horizontal="center" vertical="center" wrapText="1"/>
    </xf>
    <xf numFmtId="168" fontId="9" fillId="25" borderId="10" xfId="2" applyNumberFormat="1" applyFont="1" applyFill="1" applyBorder="1" applyAlignment="1">
      <alignment horizontal="center" vertical="center" wrapText="1"/>
    </xf>
    <xf numFmtId="3" fontId="9" fillId="25" borderId="10" xfId="15" applyNumberFormat="1" applyFont="1" applyFill="1" applyBorder="1" applyAlignment="1">
      <alignment horizontal="center" vertical="center" wrapText="1"/>
    </xf>
    <xf numFmtId="0" fontId="9" fillId="14" borderId="15" xfId="0" applyFont="1" applyFill="1" applyBorder="1" applyAlignment="1">
      <alignment horizontal="center" vertical="center" wrapText="1"/>
    </xf>
    <xf numFmtId="3" fontId="10" fillId="14" borderId="10" xfId="0" applyNumberFormat="1" applyFont="1" applyFill="1" applyBorder="1" applyAlignment="1">
      <alignment horizontal="center" vertical="center" wrapText="1"/>
    </xf>
    <xf numFmtId="3" fontId="10" fillId="14" borderId="10" xfId="15" applyNumberFormat="1" applyFont="1" applyFill="1" applyBorder="1" applyAlignment="1">
      <alignment horizontal="center" vertical="center" wrapText="1"/>
    </xf>
    <xf numFmtId="3" fontId="9" fillId="14" borderId="10" xfId="15" applyNumberFormat="1" applyFont="1" applyFill="1" applyBorder="1" applyAlignment="1">
      <alignment horizontal="center" vertical="center" wrapText="1"/>
    </xf>
    <xf numFmtId="3" fontId="9" fillId="14" borderId="10" xfId="0" applyNumberFormat="1" applyFont="1" applyFill="1" applyBorder="1" applyAlignment="1">
      <alignment horizontal="center" vertical="center" wrapText="1"/>
    </xf>
    <xf numFmtId="0" fontId="9" fillId="25" borderId="10" xfId="0" applyFont="1" applyFill="1" applyBorder="1" applyAlignment="1">
      <alignment horizontal="center" vertical="center" wrapText="1"/>
    </xf>
    <xf numFmtId="3" fontId="54" fillId="0" borderId="10" xfId="15" applyNumberFormat="1" applyFont="1" applyFill="1" applyBorder="1" applyAlignment="1">
      <alignment horizontal="center" vertical="center" wrapText="1"/>
    </xf>
    <xf numFmtId="0" fontId="9" fillId="20" borderId="15" xfId="0" applyFont="1" applyFill="1" applyBorder="1" applyAlignment="1">
      <alignment horizontal="justify" vertical="center" wrapText="1"/>
    </xf>
    <xf numFmtId="0" fontId="65" fillId="20" borderId="10" xfId="0" applyFont="1" applyFill="1" applyBorder="1" applyAlignment="1">
      <alignment horizontal="center" vertical="center"/>
    </xf>
    <xf numFmtId="169" fontId="10" fillId="0" borderId="10" xfId="0" applyNumberFormat="1" applyFont="1" applyFill="1" applyBorder="1" applyAlignment="1">
      <alignment horizontal="center" vertical="center" wrapText="1"/>
    </xf>
    <xf numFmtId="0" fontId="10" fillId="0" borderId="15"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65" fillId="20" borderId="10" xfId="0" applyFont="1" applyFill="1" applyBorder="1" applyAlignment="1">
      <alignment horizontal="center" vertical="center" wrapText="1"/>
    </xf>
    <xf numFmtId="3" fontId="9" fillId="14" borderId="15" xfId="0" applyNumberFormat="1" applyFont="1" applyFill="1" applyBorder="1" applyAlignment="1">
      <alignment horizontal="center" vertical="center" wrapText="1"/>
    </xf>
    <xf numFmtId="0" fontId="10" fillId="21" borderId="15" xfId="0" applyFont="1" applyFill="1" applyBorder="1" applyAlignment="1">
      <alignment horizontal="justify" vertical="center"/>
    </xf>
    <xf numFmtId="0" fontId="9" fillId="25" borderId="15" xfId="15" applyFont="1" applyFill="1" applyBorder="1" applyAlignment="1">
      <alignment horizontal="justify" vertical="center" wrapText="1"/>
    </xf>
    <xf numFmtId="0" fontId="54" fillId="14" borderId="10" xfId="0" applyFont="1" applyFill="1" applyBorder="1" applyAlignment="1">
      <alignment horizontal="center" vertical="center" wrapText="1"/>
    </xf>
    <xf numFmtId="0" fontId="10" fillId="21" borderId="33" xfId="15" applyFont="1" applyFill="1" applyBorder="1" applyAlignment="1">
      <alignment horizontal="justify" vertical="center" wrapText="1"/>
    </xf>
    <xf numFmtId="3" fontId="10" fillId="0" borderId="24" xfId="15" applyNumberFormat="1" applyFont="1" applyFill="1" applyBorder="1" applyAlignment="1">
      <alignment horizontal="right" vertical="center" wrapText="1"/>
    </xf>
    <xf numFmtId="0" fontId="10" fillId="20" borderId="10" xfId="0" applyFont="1" applyFill="1" applyBorder="1" applyAlignment="1">
      <alignment horizontal="justify" vertical="center" wrapText="1"/>
    </xf>
    <xf numFmtId="0" fontId="10" fillId="23" borderId="10" xfId="0" applyFont="1" applyFill="1" applyBorder="1" applyAlignment="1">
      <alignment horizontal="justify" vertical="center" wrapText="1"/>
    </xf>
    <xf numFmtId="0" fontId="10" fillId="24" borderId="10" xfId="0" applyFont="1" applyFill="1" applyBorder="1" applyAlignment="1">
      <alignment horizontal="justify" vertical="center" wrapText="1"/>
    </xf>
    <xf numFmtId="0" fontId="10" fillId="21" borderId="10" xfId="0" applyFont="1" applyFill="1" applyBorder="1" applyAlignment="1">
      <alignment horizontal="justify" vertical="center" wrapText="1"/>
    </xf>
    <xf numFmtId="0" fontId="10" fillId="21" borderId="10" xfId="15" applyFont="1" applyFill="1" applyBorder="1" applyAlignment="1">
      <alignment horizontal="justify" vertical="center" wrapText="1"/>
    </xf>
    <xf numFmtId="0" fontId="10" fillId="0" borderId="15" xfId="15" applyFont="1" applyFill="1" applyBorder="1" applyAlignment="1">
      <alignment horizontal="justify" vertical="center" wrapText="1"/>
    </xf>
    <xf numFmtId="4" fontId="10" fillId="0" borderId="10" xfId="0" applyNumberFormat="1" applyFont="1" applyFill="1" applyBorder="1" applyAlignment="1">
      <alignment horizontal="right" vertical="center" wrapText="1"/>
    </xf>
    <xf numFmtId="169" fontId="9" fillId="0" borderId="10" xfId="0" applyNumberFormat="1" applyFont="1" applyFill="1" applyBorder="1" applyAlignment="1">
      <alignment horizontal="right" vertical="center" wrapText="1"/>
    </xf>
    <xf numFmtId="9" fontId="9" fillId="0" borderId="10" xfId="0" applyNumberFormat="1" applyFont="1" applyFill="1" applyBorder="1" applyAlignment="1">
      <alignment horizontal="right" vertical="center" wrapText="1"/>
    </xf>
    <xf numFmtId="3" fontId="10" fillId="0" borderId="10" xfId="15" applyNumberFormat="1" applyFont="1" applyFill="1" applyBorder="1" applyAlignment="1">
      <alignment horizontal="right" vertical="center" wrapText="1"/>
    </xf>
    <xf numFmtId="0" fontId="9" fillId="0" borderId="10" xfId="15" applyFont="1" applyFill="1" applyBorder="1" applyAlignment="1">
      <alignment vertical="center" wrapText="1"/>
    </xf>
    <xf numFmtId="3" fontId="9" fillId="0" borderId="10" xfId="15" applyNumberFormat="1" applyFont="1" applyFill="1" applyBorder="1" applyAlignment="1">
      <alignment horizontal="center" vertical="center" wrapText="1"/>
    </xf>
    <xf numFmtId="0" fontId="10" fillId="13" borderId="44" xfId="0" applyFont="1" applyFill="1" applyBorder="1" applyAlignment="1">
      <alignment vertical="center" wrapText="1"/>
    </xf>
    <xf numFmtId="3" fontId="10" fillId="0" borderId="0" xfId="0" applyNumberFormat="1" applyFont="1"/>
    <xf numFmtId="0" fontId="10" fillId="0" borderId="0" xfId="0" applyFont="1"/>
    <xf numFmtId="0" fontId="10" fillId="13" borderId="4" xfId="0" applyFont="1" applyFill="1" applyBorder="1" applyAlignment="1">
      <alignment vertical="center" wrapText="1"/>
    </xf>
    <xf numFmtId="0" fontId="10" fillId="13" borderId="5" xfId="0" applyFont="1" applyFill="1" applyBorder="1" applyAlignment="1">
      <alignment vertical="center" wrapText="1"/>
    </xf>
    <xf numFmtId="0" fontId="10" fillId="0" borderId="15" xfId="0" applyFont="1" applyBorder="1"/>
    <xf numFmtId="0" fontId="10" fillId="8" borderId="19" xfId="0" applyFont="1" applyFill="1" applyBorder="1" applyAlignment="1">
      <alignment vertical="center" wrapText="1"/>
    </xf>
    <xf numFmtId="3" fontId="10" fillId="8" borderId="0" xfId="0" applyNumberFormat="1" applyFont="1" applyFill="1" applyAlignment="1">
      <alignment vertical="center" wrapText="1"/>
    </xf>
    <xf numFmtId="0" fontId="10" fillId="8" borderId="0" xfId="0" applyFont="1" applyFill="1" applyAlignment="1">
      <alignment vertical="center" wrapText="1"/>
    </xf>
    <xf numFmtId="0" fontId="10" fillId="0" borderId="0" xfId="0" applyFont="1" applyFill="1" applyAlignment="1">
      <alignment horizontal="center" vertical="center" wrapText="1"/>
    </xf>
    <xf numFmtId="3" fontId="9" fillId="13" borderId="17" xfId="0" applyNumberFormat="1" applyFont="1" applyFill="1" applyBorder="1" applyAlignment="1">
      <alignment horizontal="center" vertical="center" wrapText="1"/>
    </xf>
    <xf numFmtId="4" fontId="9" fillId="22" borderId="17" xfId="0" applyNumberFormat="1" applyFont="1" applyFill="1" applyBorder="1" applyAlignment="1">
      <alignment horizontal="center" vertical="center" wrapText="1"/>
    </xf>
    <xf numFmtId="4" fontId="9" fillId="13" borderId="23" xfId="0" applyNumberFormat="1" applyFont="1" applyFill="1" applyBorder="1" applyAlignment="1">
      <alignment horizontal="center" vertical="center" wrapText="1"/>
    </xf>
    <xf numFmtId="3" fontId="10" fillId="0" borderId="0" xfId="0" applyNumberFormat="1" applyFont="1" applyFill="1" applyAlignment="1">
      <alignment vertical="center" wrapText="1"/>
    </xf>
    <xf numFmtId="0" fontId="9" fillId="0" borderId="24" xfId="0" applyFont="1" applyFill="1" applyBorder="1" applyAlignment="1">
      <alignment horizontal="center" vertical="top" wrapText="1"/>
    </xf>
    <xf numFmtId="3" fontId="10" fillId="11" borderId="0" xfId="0" applyNumberFormat="1" applyFont="1" applyFill="1" applyAlignment="1">
      <alignment vertical="center" wrapText="1"/>
    </xf>
    <xf numFmtId="3" fontId="10" fillId="12" borderId="0" xfId="0" applyNumberFormat="1" applyFont="1" applyFill="1" applyAlignment="1">
      <alignment vertical="center" wrapText="1"/>
    </xf>
    <xf numFmtId="3" fontId="9" fillId="13" borderId="10" xfId="0" applyNumberFormat="1" applyFont="1" applyFill="1" applyBorder="1" applyAlignment="1">
      <alignment horizontal="center" vertical="center" wrapText="1"/>
    </xf>
    <xf numFmtId="4" fontId="9" fillId="22" borderId="10" xfId="0" applyNumberFormat="1" applyFont="1" applyFill="1" applyBorder="1" applyAlignment="1">
      <alignment horizontal="center" vertical="center" wrapText="1"/>
    </xf>
    <xf numFmtId="3" fontId="10" fillId="0" borderId="27" xfId="15" applyNumberFormat="1" applyFont="1" applyFill="1" applyBorder="1" applyAlignment="1">
      <alignment horizontal="right" vertical="center" wrapText="1"/>
    </xf>
    <xf numFmtId="3" fontId="9" fillId="0" borderId="10" xfId="0" applyNumberFormat="1" applyFont="1" applyFill="1" applyBorder="1" applyAlignment="1">
      <alignment horizontal="right" vertical="center" wrapText="1"/>
    </xf>
    <xf numFmtId="0" fontId="9" fillId="20" borderId="27" xfId="0" applyFont="1" applyFill="1" applyBorder="1" applyAlignment="1">
      <alignment horizontal="justify" vertical="center" wrapText="1"/>
    </xf>
    <xf numFmtId="3" fontId="10" fillId="0" borderId="20" xfId="15" applyNumberFormat="1" applyFont="1" applyFill="1" applyBorder="1" applyAlignment="1">
      <alignment horizontal="right" vertical="center" wrapText="1"/>
    </xf>
    <xf numFmtId="3" fontId="10" fillId="0" borderId="24" xfId="15" applyNumberFormat="1" applyFont="1" applyFill="1" applyBorder="1" applyAlignment="1">
      <alignment horizontal="center" vertical="center" wrapText="1"/>
    </xf>
    <xf numFmtId="3" fontId="10" fillId="0" borderId="26" xfId="15" applyNumberFormat="1" applyFont="1" applyFill="1" applyBorder="1" applyAlignment="1">
      <alignment horizontal="right" vertical="center" wrapText="1"/>
    </xf>
    <xf numFmtId="0" fontId="9" fillId="20" borderId="10" xfId="0" applyFont="1" applyFill="1" applyBorder="1" applyAlignment="1">
      <alignment horizontal="justify" vertical="center" wrapText="1"/>
    </xf>
    <xf numFmtId="3" fontId="66" fillId="0" borderId="10" xfId="0" applyNumberFormat="1" applyFont="1" applyFill="1" applyBorder="1" applyAlignment="1">
      <alignment horizontal="right" vertical="center" wrapText="1"/>
    </xf>
    <xf numFmtId="3" fontId="67" fillId="0" borderId="10" xfId="0" applyNumberFormat="1" applyFont="1" applyFill="1" applyBorder="1" applyAlignment="1">
      <alignment horizontal="right" vertical="center" wrapText="1"/>
    </xf>
    <xf numFmtId="0" fontId="10" fillId="0" borderId="10"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10" fillId="0" borderId="26" xfId="0" applyFont="1" applyFill="1" applyBorder="1"/>
    <xf numFmtId="0" fontId="10" fillId="20" borderId="10" xfId="15" applyFont="1" applyFill="1" applyBorder="1" applyAlignment="1">
      <alignment horizontal="justify" vertical="center" wrapText="1"/>
    </xf>
    <xf numFmtId="0" fontId="9" fillId="0" borderId="10" xfId="15" applyFont="1" applyFill="1" applyBorder="1" applyAlignment="1">
      <alignment horizontal="justify" vertical="center" wrapText="1"/>
    </xf>
    <xf numFmtId="3" fontId="9" fillId="22" borderId="10" xfId="0" applyNumberFormat="1" applyFont="1" applyFill="1" applyBorder="1" applyAlignment="1">
      <alignment horizontal="center" vertical="center" wrapText="1"/>
    </xf>
    <xf numFmtId="3" fontId="9" fillId="13" borderId="12" xfId="0" applyNumberFormat="1" applyFont="1" applyFill="1" applyBorder="1" applyAlignment="1">
      <alignment horizontal="center" vertical="center" wrapText="1"/>
    </xf>
    <xf numFmtId="0" fontId="9" fillId="20" borderId="10" xfId="15" applyFont="1" applyFill="1" applyBorder="1" applyAlignment="1">
      <alignment horizontal="justify" vertical="center" wrapText="1"/>
    </xf>
    <xf numFmtId="171" fontId="10" fillId="21" borderId="10" xfId="2" applyNumberFormat="1" applyFont="1" applyFill="1" applyBorder="1" applyAlignment="1">
      <alignment horizontal="justify" vertical="center" wrapText="1"/>
    </xf>
    <xf numFmtId="3" fontId="9" fillId="0" borderId="10" xfId="15" applyNumberFormat="1" applyFont="1" applyFill="1" applyBorder="1" applyAlignment="1">
      <alignment horizontal="right" vertical="center" wrapText="1"/>
    </xf>
    <xf numFmtId="0" fontId="9" fillId="22" borderId="10" xfId="0" applyFont="1" applyFill="1" applyBorder="1" applyAlignment="1">
      <alignment horizontal="left" vertical="center" wrapText="1"/>
    </xf>
    <xf numFmtId="3" fontId="9" fillId="0" borderId="0" xfId="0" applyNumberFormat="1" applyFont="1" applyFill="1" applyBorder="1" applyAlignment="1">
      <alignment vertical="center" wrapText="1"/>
    </xf>
    <xf numFmtId="0" fontId="10" fillId="20" borderId="17" xfId="0" applyFont="1" applyFill="1" applyBorder="1" applyAlignment="1">
      <alignment horizontal="justify" vertical="center" wrapText="1"/>
    </xf>
    <xf numFmtId="0" fontId="10" fillId="0" borderId="10" xfId="0" applyFont="1" applyFill="1" applyBorder="1" applyAlignment="1">
      <alignment vertical="center" wrapText="1"/>
    </xf>
    <xf numFmtId="9" fontId="9" fillId="0" borderId="18" xfId="23" applyFont="1" applyFill="1" applyBorder="1" applyAlignment="1">
      <alignment horizontal="right" vertical="center" wrapText="1"/>
    </xf>
    <xf numFmtId="0" fontId="10" fillId="0" borderId="0" xfId="0" applyFont="1" applyFill="1"/>
    <xf numFmtId="3" fontId="34" fillId="14" borderId="26" xfId="15" applyNumberFormat="1" applyFont="1" applyFill="1" applyBorder="1" applyAlignment="1">
      <alignment horizontal="right" vertical="center" wrapText="1"/>
    </xf>
    <xf numFmtId="3" fontId="34" fillId="14" borderId="20" xfId="15" applyNumberFormat="1" applyFont="1" applyFill="1" applyBorder="1" applyAlignment="1">
      <alignment horizontal="right" vertical="center" wrapText="1"/>
    </xf>
    <xf numFmtId="3" fontId="34" fillId="14" borderId="0" xfId="15" applyNumberFormat="1" applyFont="1" applyFill="1" applyBorder="1" applyAlignment="1">
      <alignment vertical="center" wrapText="1"/>
    </xf>
    <xf numFmtId="0" fontId="29" fillId="0" borderId="0" xfId="15" applyFont="1" applyBorder="1" applyAlignment="1">
      <alignment vertical="center" wrapText="1"/>
    </xf>
    <xf numFmtId="0" fontId="29" fillId="0" borderId="0" xfId="15" applyFont="1" applyFill="1" applyAlignment="1">
      <alignment vertical="center" wrapText="1"/>
    </xf>
    <xf numFmtId="0" fontId="29" fillId="0" borderId="0" xfId="15" applyFont="1" applyFill="1" applyAlignment="1">
      <alignment horizontal="center" vertical="center" wrapText="1"/>
    </xf>
    <xf numFmtId="3" fontId="29" fillId="0" borderId="0" xfId="15" applyNumberFormat="1" applyFont="1" applyFill="1" applyAlignment="1">
      <alignment vertical="center" wrapText="1"/>
    </xf>
    <xf numFmtId="37" fontId="29" fillId="0" borderId="0" xfId="15" applyNumberFormat="1" applyFont="1" applyFill="1" applyAlignment="1">
      <alignment vertical="center" wrapText="1"/>
    </xf>
    <xf numFmtId="3" fontId="29" fillId="0" borderId="0" xfId="15" applyNumberFormat="1" applyFont="1" applyFill="1" applyBorder="1" applyAlignment="1">
      <alignment horizontal="right" vertical="center" wrapText="1"/>
    </xf>
    <xf numFmtId="171" fontId="29" fillId="0" borderId="0" xfId="15" applyNumberFormat="1" applyFont="1" applyFill="1" applyAlignment="1">
      <alignment vertical="center" wrapText="1"/>
    </xf>
    <xf numFmtId="3" fontId="57" fillId="0" borderId="10" xfId="0" applyNumberFormat="1" applyFont="1" applyFill="1" applyBorder="1" applyAlignment="1">
      <alignment horizontal="right" vertical="center" wrapText="1"/>
    </xf>
    <xf numFmtId="3" fontId="57" fillId="0" borderId="26" xfId="0" applyNumberFormat="1" applyFont="1" applyFill="1" applyBorder="1" applyAlignment="1">
      <alignment horizontal="right" vertical="center" wrapText="1"/>
    </xf>
    <xf numFmtId="168" fontId="29" fillId="0" borderId="0" xfId="15" applyNumberFormat="1" applyFont="1" applyFill="1" applyAlignment="1">
      <alignment vertical="center" wrapText="1"/>
    </xf>
    <xf numFmtId="3" fontId="34" fillId="26" borderId="26" xfId="15" applyNumberFormat="1" applyFont="1" applyFill="1" applyBorder="1" applyAlignment="1">
      <alignment horizontal="right" vertical="center" wrapText="1"/>
    </xf>
    <xf numFmtId="0" fontId="31" fillId="26" borderId="10" xfId="15" applyFont="1" applyFill="1" applyBorder="1" applyAlignment="1">
      <alignment horizontal="right" vertical="center" wrapText="1"/>
    </xf>
    <xf numFmtId="169" fontId="10" fillId="0" borderId="43" xfId="15" applyNumberFormat="1" applyFont="1" applyFill="1" applyBorder="1" applyAlignment="1">
      <alignment horizontal="right" vertical="center" wrapText="1"/>
    </xf>
    <xf numFmtId="2" fontId="29" fillId="0" borderId="0" xfId="15" applyNumberFormat="1" applyFont="1" applyFill="1" applyAlignment="1">
      <alignment vertical="center" wrapText="1"/>
    </xf>
    <xf numFmtId="4" fontId="29" fillId="0" borderId="0" xfId="15" applyNumberFormat="1" applyFont="1" applyFill="1" applyAlignment="1">
      <alignment vertical="center" wrapText="1"/>
    </xf>
    <xf numFmtId="0" fontId="50" fillId="28" borderId="10" xfId="15" applyFont="1" applyFill="1" applyBorder="1" applyAlignment="1">
      <alignment horizontal="center" vertical="center" wrapText="1"/>
    </xf>
    <xf numFmtId="3" fontId="31" fillId="28" borderId="27" xfId="15" applyNumberFormat="1" applyFont="1" applyFill="1" applyBorder="1" applyAlignment="1">
      <alignment horizontal="right" vertical="center" wrapText="1"/>
    </xf>
    <xf numFmtId="3" fontId="31" fillId="28" borderId="27" xfId="15" applyNumberFormat="1" applyFont="1" applyFill="1" applyBorder="1" applyAlignment="1">
      <alignment horizontal="center" vertical="center" wrapText="1"/>
    </xf>
    <xf numFmtId="167" fontId="10" fillId="0" borderId="10" xfId="15" applyNumberFormat="1" applyFont="1" applyFill="1" applyBorder="1" applyAlignment="1">
      <alignment horizontal="center" vertical="center" wrapText="1"/>
    </xf>
    <xf numFmtId="4" fontId="9" fillId="14" borderId="7" xfId="0" applyNumberFormat="1" applyFont="1" applyFill="1" applyBorder="1" applyAlignment="1">
      <alignment horizontal="center" vertical="center" wrapText="1"/>
    </xf>
    <xf numFmtId="4" fontId="10" fillId="25" borderId="10" xfId="15"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168" fontId="9" fillId="0" borderId="10" xfId="0" applyNumberFormat="1" applyFont="1" applyFill="1" applyBorder="1" applyAlignment="1">
      <alignment horizontal="center" vertical="top" wrapText="1"/>
    </xf>
    <xf numFmtId="1" fontId="10" fillId="14" borderId="10" xfId="15" applyNumberFormat="1" applyFont="1" applyFill="1" applyBorder="1" applyAlignment="1">
      <alignment horizontal="center" vertical="center" wrapText="1"/>
    </xf>
    <xf numFmtId="1" fontId="10" fillId="25" borderId="10" xfId="15" applyNumberFormat="1" applyFont="1" applyFill="1" applyBorder="1" applyAlignment="1">
      <alignment horizontal="center" vertical="center" wrapText="1"/>
    </xf>
    <xf numFmtId="4" fontId="31" fillId="0" borderId="27" xfId="15" applyNumberFormat="1" applyFont="1" applyFill="1" applyBorder="1" applyAlignment="1">
      <alignment horizontal="center" vertical="center" wrapText="1"/>
    </xf>
    <xf numFmtId="4" fontId="31" fillId="28" borderId="10" xfId="15" applyNumberFormat="1" applyFont="1" applyFill="1" applyBorder="1" applyAlignment="1">
      <alignment horizontal="right" vertical="center" wrapText="1"/>
    </xf>
    <xf numFmtId="0" fontId="57" fillId="28" borderId="26" xfId="0" applyFont="1" applyFill="1" applyBorder="1" applyAlignment="1">
      <alignment horizontal="right" vertical="center"/>
    </xf>
    <xf numFmtId="9" fontId="9" fillId="0" borderId="10" xfId="23" applyFont="1" applyFill="1" applyBorder="1" applyAlignment="1">
      <alignment horizontal="right" vertical="center" wrapText="1"/>
    </xf>
    <xf numFmtId="1" fontId="31" fillId="26" borderId="10" xfId="15" applyNumberFormat="1" applyFont="1" applyFill="1" applyBorder="1" applyAlignment="1">
      <alignment horizontal="right" vertical="center" wrapText="1"/>
    </xf>
    <xf numFmtId="3" fontId="9" fillId="0" borderId="21" xfId="0" applyNumberFormat="1" applyFont="1" applyFill="1" applyBorder="1" applyAlignment="1">
      <alignment vertical="center" wrapText="1"/>
    </xf>
    <xf numFmtId="3" fontId="9" fillId="0" borderId="45" xfId="0" applyNumberFormat="1" applyFont="1" applyFill="1" applyBorder="1" applyAlignment="1">
      <alignment vertical="center" wrapText="1"/>
    </xf>
    <xf numFmtId="3" fontId="31" fillId="28" borderId="10" xfId="15" applyNumberFormat="1" applyFont="1" applyFill="1" applyBorder="1" applyAlignment="1">
      <alignment horizontal="right" vertical="center" wrapText="1"/>
    </xf>
    <xf numFmtId="3" fontId="31" fillId="0" borderId="0" xfId="15" applyNumberFormat="1" applyFont="1" applyFill="1" applyAlignment="1">
      <alignment vertical="center" wrapText="1"/>
    </xf>
    <xf numFmtId="167" fontId="9" fillId="14" borderId="10" xfId="0" applyNumberFormat="1" applyFont="1" applyFill="1" applyBorder="1" applyAlignment="1">
      <alignment horizontal="center" vertical="center" wrapText="1"/>
    </xf>
    <xf numFmtId="167" fontId="9" fillId="25" borderId="10" xfId="0" applyNumberFormat="1" applyFont="1" applyFill="1" applyBorder="1" applyAlignment="1">
      <alignment horizontal="center" vertical="center" wrapText="1"/>
    </xf>
    <xf numFmtId="173" fontId="10" fillId="0" borderId="10" xfId="0" applyNumberFormat="1" applyFont="1" applyFill="1" applyBorder="1" applyAlignment="1">
      <alignment horizontal="center" vertical="center" wrapText="1"/>
    </xf>
    <xf numFmtId="167" fontId="10" fillId="25" borderId="10" xfId="15" applyNumberFormat="1" applyFont="1" applyFill="1" applyBorder="1" applyAlignment="1">
      <alignment horizontal="center" vertical="center" wrapText="1"/>
    </xf>
    <xf numFmtId="167" fontId="10" fillId="0" borderId="10" xfId="0" applyNumberFormat="1" applyFont="1" applyFill="1" applyBorder="1" applyAlignment="1">
      <alignment horizontal="center" vertical="center" wrapText="1"/>
    </xf>
    <xf numFmtId="168" fontId="9" fillId="14" borderId="7" xfId="2" applyNumberFormat="1" applyFont="1" applyFill="1" applyBorder="1" applyAlignment="1">
      <alignment horizontal="center" vertical="center" wrapText="1"/>
    </xf>
    <xf numFmtId="166" fontId="24" fillId="0" borderId="10" xfId="2" applyFont="1" applyFill="1" applyBorder="1" applyAlignment="1">
      <alignment horizontal="center" vertical="center" wrapText="1"/>
    </xf>
    <xf numFmtId="171" fontId="9" fillId="14" borderId="10" xfId="0" applyNumberFormat="1"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13" borderId="20"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0" borderId="28" xfId="0" applyFont="1" applyFill="1" applyBorder="1" applyAlignment="1">
      <alignment horizontal="center" vertical="top"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10" fillId="0" borderId="10" xfId="0" applyFont="1" applyFill="1" applyBorder="1"/>
    <xf numFmtId="0" fontId="10" fillId="0" borderId="20" xfId="0" applyFont="1" applyFill="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0" borderId="26"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173" fontId="10" fillId="0" borderId="0" xfId="0" applyNumberFormat="1" applyFont="1" applyFill="1" applyAlignment="1">
      <alignment vertical="center" wrapText="1"/>
    </xf>
    <xf numFmtId="167" fontId="31" fillId="26" borderId="10" xfId="15" applyNumberFormat="1" applyFont="1" applyFill="1" applyBorder="1" applyAlignment="1">
      <alignment horizontal="right" vertical="center" wrapText="1"/>
    </xf>
    <xf numFmtId="167" fontId="10" fillId="14" borderId="10" xfId="15" applyNumberFormat="1" applyFont="1" applyFill="1" applyBorder="1" applyAlignment="1">
      <alignment horizontal="center" vertical="center" wrapText="1"/>
    </xf>
    <xf numFmtId="0" fontId="10" fillId="0" borderId="26" xfId="15" applyFont="1" applyFill="1" applyBorder="1" applyAlignment="1">
      <alignment horizontal="center" vertical="center" wrapText="1"/>
    </xf>
    <xf numFmtId="3" fontId="10" fillId="0" borderId="26" xfId="15" applyNumberFormat="1" applyFont="1" applyFill="1" applyBorder="1" applyAlignment="1">
      <alignment horizontal="center" vertical="center" wrapText="1"/>
    </xf>
    <xf numFmtId="0" fontId="54" fillId="20" borderId="20" xfId="15" applyFont="1" applyFill="1" applyBorder="1" applyAlignment="1">
      <alignment horizontal="center" vertical="center" wrapText="1"/>
    </xf>
    <xf numFmtId="1" fontId="10" fillId="0" borderId="10" xfId="15" applyNumberFormat="1" applyFont="1" applyFill="1" applyBorder="1" applyAlignment="1">
      <alignment horizontal="right" vertical="center" wrapText="1"/>
    </xf>
    <xf numFmtId="0" fontId="34" fillId="0" borderId="0" xfId="0" applyFont="1" applyAlignment="1">
      <alignment vertical="center" wrapText="1"/>
    </xf>
    <xf numFmtId="9" fontId="67" fillId="0" borderId="10" xfId="0" applyNumberFormat="1" applyFont="1" applyFill="1" applyBorder="1" applyAlignment="1">
      <alignment horizontal="right" vertical="center" wrapText="1"/>
    </xf>
    <xf numFmtId="167" fontId="29" fillId="0" borderId="0" xfId="15" applyNumberFormat="1" applyFont="1" applyFill="1" applyAlignment="1">
      <alignment vertical="center" wrapText="1"/>
    </xf>
    <xf numFmtId="1" fontId="10" fillId="0" borderId="0" xfId="0" applyNumberFormat="1" applyFont="1" applyFill="1" applyAlignment="1">
      <alignment vertical="center" wrapText="1"/>
    </xf>
    <xf numFmtId="0" fontId="9" fillId="0" borderId="25" xfId="0" applyFont="1" applyFill="1" applyBorder="1" applyAlignment="1">
      <alignment horizontal="center" vertical="top" wrapText="1"/>
    </xf>
    <xf numFmtId="0" fontId="7" fillId="30" borderId="0" xfId="16" applyFill="1"/>
    <xf numFmtId="0" fontId="7" fillId="0" borderId="0" xfId="16"/>
    <xf numFmtId="0" fontId="26" fillId="0" borderId="0" xfId="16" applyFont="1" applyAlignment="1" applyProtection="1">
      <alignment horizontal="center"/>
    </xf>
    <xf numFmtId="0" fontId="7" fillId="0" borderId="0" xfId="16" applyFont="1"/>
    <xf numFmtId="0" fontId="26" fillId="0" borderId="31" xfId="16" applyFont="1" applyBorder="1" applyAlignment="1" applyProtection="1"/>
    <xf numFmtId="0" fontId="7" fillId="0" borderId="0" xfId="16" applyFont="1" applyProtection="1"/>
    <xf numFmtId="0" fontId="7" fillId="0" borderId="0" xfId="16" applyFont="1" applyAlignment="1">
      <alignment vertical="center"/>
    </xf>
    <xf numFmtId="3" fontId="7" fillId="0" borderId="0" xfId="16" applyNumberFormat="1" applyFont="1"/>
    <xf numFmtId="0" fontId="21" fillId="0" borderId="0" xfId="16" applyFont="1"/>
    <xf numFmtId="0" fontId="24" fillId="0" borderId="0" xfId="16" applyFont="1"/>
    <xf numFmtId="3" fontId="7" fillId="0" borderId="0" xfId="16" applyNumberFormat="1"/>
    <xf numFmtId="0" fontId="7" fillId="0" borderId="0" xfId="16" applyAlignment="1">
      <alignment vertical="center"/>
    </xf>
    <xf numFmtId="0" fontId="24" fillId="0" borderId="0" xfId="16" applyFont="1" applyAlignment="1">
      <alignment vertical="center"/>
    </xf>
    <xf numFmtId="0" fontId="21" fillId="0" borderId="0" xfId="16" applyFont="1" applyAlignment="1">
      <alignment vertical="center"/>
    </xf>
    <xf numFmtId="3" fontId="7" fillId="0" borderId="0" xfId="16" applyNumberFormat="1" applyFont="1" applyAlignment="1">
      <alignment vertical="center"/>
    </xf>
    <xf numFmtId="3" fontId="7" fillId="0" borderId="0" xfId="16" applyNumberFormat="1" applyAlignment="1">
      <alignment vertical="center"/>
    </xf>
    <xf numFmtId="3" fontId="10" fillId="0" borderId="10" xfId="0" applyNumberFormat="1" applyFont="1" applyFill="1" applyBorder="1" applyAlignment="1">
      <alignment horizontal="center" vertical="top" wrapText="1"/>
    </xf>
    <xf numFmtId="0" fontId="10" fillId="0" borderId="10" xfId="0" applyFont="1" applyFill="1" applyBorder="1" applyAlignment="1">
      <alignment horizontal="center" vertical="top" wrapText="1"/>
    </xf>
    <xf numFmtId="169" fontId="10" fillId="0" borderId="0" xfId="0" applyNumberFormat="1" applyFont="1" applyFill="1" applyAlignment="1">
      <alignment vertical="center" wrapText="1"/>
    </xf>
    <xf numFmtId="4" fontId="31" fillId="0" borderId="10" xfId="15" applyNumberFormat="1" applyFont="1" applyFill="1" applyBorder="1" applyAlignment="1">
      <alignment horizontal="center" vertical="center" wrapText="1"/>
    </xf>
    <xf numFmtId="3" fontId="31" fillId="15" borderId="10" xfId="15" applyNumberFormat="1" applyFont="1" applyFill="1" applyBorder="1" applyAlignment="1">
      <alignment horizontal="center" vertical="center" wrapText="1"/>
    </xf>
    <xf numFmtId="167" fontId="31" fillId="15" borderId="10" xfId="15" applyNumberFormat="1" applyFont="1" applyFill="1" applyBorder="1" applyAlignment="1">
      <alignment horizontal="center" vertical="center" wrapText="1"/>
    </xf>
    <xf numFmtId="3" fontId="31" fillId="20" borderId="10" xfId="15" applyNumberFormat="1" applyFont="1" applyFill="1" applyBorder="1" applyAlignment="1">
      <alignment horizontal="center" vertical="center" wrapText="1"/>
    </xf>
    <xf numFmtId="4" fontId="31" fillId="15" borderId="10" xfId="15" applyNumberFormat="1" applyFont="1" applyFill="1" applyBorder="1" applyAlignment="1">
      <alignment horizontal="center" vertical="center" wrapText="1"/>
    </xf>
    <xf numFmtId="171" fontId="27" fillId="0" borderId="31" xfId="5" applyNumberFormat="1" applyFont="1" applyFill="1" applyBorder="1" applyAlignment="1">
      <alignment horizontal="center" vertical="center" wrapText="1"/>
    </xf>
    <xf numFmtId="171" fontId="27" fillId="0" borderId="0" xfId="5" applyNumberFormat="1" applyFont="1" applyFill="1" applyAlignment="1">
      <alignment horizontal="center" vertical="center" wrapText="1"/>
    </xf>
    <xf numFmtId="3" fontId="27" fillId="0" borderId="0" xfId="5" applyNumberFormat="1" applyFont="1" applyFill="1" applyAlignment="1">
      <alignment horizontal="center" vertical="center" wrapText="1"/>
    </xf>
    <xf numFmtId="173" fontId="9" fillId="0" borderId="10" xfId="0" applyNumberFormat="1" applyFont="1" applyFill="1" applyBorder="1" applyAlignment="1">
      <alignment horizontal="right" vertical="center" wrapText="1"/>
    </xf>
    <xf numFmtId="167" fontId="9" fillId="13" borderId="10" xfId="0" applyNumberFormat="1" applyFont="1" applyFill="1" applyBorder="1" applyAlignment="1">
      <alignment horizontal="center" vertical="center" wrapText="1"/>
    </xf>
    <xf numFmtId="167" fontId="9" fillId="22" borderId="17" xfId="0" applyNumberFormat="1" applyFont="1" applyFill="1" applyBorder="1" applyAlignment="1">
      <alignment horizontal="center" vertical="center" wrapText="1"/>
    </xf>
    <xf numFmtId="167" fontId="10" fillId="8" borderId="0" xfId="0" applyNumberFormat="1" applyFont="1" applyFill="1" applyAlignment="1">
      <alignment horizontal="center" vertical="center" wrapText="1"/>
    </xf>
    <xf numFmtId="167" fontId="31" fillId="18" borderId="10" xfId="15" applyNumberFormat="1" applyFont="1" applyFill="1" applyBorder="1" applyAlignment="1">
      <alignment horizontal="center" vertical="center" wrapText="1"/>
    </xf>
    <xf numFmtId="167" fontId="10" fillId="0" borderId="26" xfId="15" applyNumberFormat="1" applyFont="1" applyFill="1" applyBorder="1" applyAlignment="1">
      <alignment horizontal="center" vertical="center" wrapText="1"/>
    </xf>
    <xf numFmtId="3" fontId="31" fillId="0" borderId="10" xfId="16" applyNumberFormat="1" applyFont="1" applyFill="1" applyBorder="1" applyAlignment="1">
      <alignment horizontal="right" vertical="center" wrapText="1"/>
    </xf>
    <xf numFmtId="167" fontId="31" fillId="0" borderId="10" xfId="15" applyNumberFormat="1" applyFont="1" applyFill="1" applyBorder="1" applyAlignment="1">
      <alignment horizontal="center" vertical="center" wrapText="1"/>
    </xf>
    <xf numFmtId="4" fontId="64" fillId="0" borderId="10" xfId="15" applyNumberFormat="1" applyFont="1" applyFill="1" applyBorder="1" applyAlignment="1">
      <alignment horizontal="center" vertical="center" wrapText="1"/>
    </xf>
    <xf numFmtId="169" fontId="57" fillId="0" borderId="10" xfId="0" applyNumberFormat="1" applyFont="1" applyFill="1" applyBorder="1" applyAlignment="1">
      <alignment horizontal="right" vertical="center" wrapText="1"/>
    </xf>
    <xf numFmtId="167" fontId="31" fillId="15" borderId="20" xfId="15" applyNumberFormat="1" applyFont="1" applyFill="1" applyBorder="1" applyAlignment="1">
      <alignment horizontal="center" vertical="center" wrapText="1"/>
    </xf>
    <xf numFmtId="167" fontId="31" fillId="0" borderId="20" xfId="15" applyNumberFormat="1" applyFont="1" applyFill="1" applyBorder="1" applyAlignment="1">
      <alignment horizontal="center" vertical="center" wrapText="1"/>
    </xf>
    <xf numFmtId="167" fontId="31" fillId="20" borderId="10" xfId="15" applyNumberFormat="1" applyFont="1" applyFill="1" applyBorder="1" applyAlignment="1">
      <alignment horizontal="center" vertical="center" wrapText="1"/>
    </xf>
    <xf numFmtId="167" fontId="10" fillId="0" borderId="18" xfId="15" applyNumberFormat="1" applyFont="1" applyFill="1" applyBorder="1" applyAlignment="1">
      <alignment horizontal="center" vertical="center" wrapText="1"/>
    </xf>
    <xf numFmtId="3" fontId="64" fillId="0" borderId="10" xfId="15" applyNumberFormat="1" applyFont="1" applyFill="1" applyBorder="1" applyAlignment="1">
      <alignment horizontal="center" vertical="center" wrapText="1"/>
    </xf>
    <xf numFmtId="3" fontId="10" fillId="0" borderId="18" xfId="15" applyNumberFormat="1" applyFont="1" applyFill="1" applyBorder="1" applyAlignment="1">
      <alignment horizontal="center" vertical="center" wrapText="1"/>
    </xf>
    <xf numFmtId="178" fontId="57" fillId="0" borderId="10" xfId="0" applyNumberFormat="1" applyFont="1" applyFill="1" applyBorder="1" applyAlignment="1">
      <alignment horizontal="center" vertical="center" wrapText="1"/>
    </xf>
    <xf numFmtId="3" fontId="34" fillId="19" borderId="26" xfId="16" applyNumberFormat="1" applyFont="1" applyFill="1" applyBorder="1" applyAlignment="1">
      <alignment horizontal="right" vertical="center" wrapText="1"/>
    </xf>
    <xf numFmtId="3" fontId="34" fillId="19" borderId="10" xfId="16" applyNumberFormat="1" applyFont="1" applyFill="1" applyBorder="1" applyAlignment="1">
      <alignment horizontal="right" vertical="center" wrapText="1"/>
    </xf>
    <xf numFmtId="0" fontId="72" fillId="0" borderId="20" xfId="0" applyFont="1" applyFill="1" applyBorder="1" applyAlignment="1">
      <alignment horizontal="center" vertical="top" wrapText="1"/>
    </xf>
    <xf numFmtId="1" fontId="10" fillId="0" borderId="10" xfId="0" applyNumberFormat="1" applyFont="1" applyFill="1" applyBorder="1" applyAlignment="1">
      <alignment horizontal="center" vertical="center" wrapText="1"/>
    </xf>
    <xf numFmtId="3" fontId="9" fillId="0" borderId="18" xfId="15" applyNumberFormat="1" applyFont="1" applyFill="1" applyBorder="1" applyAlignment="1">
      <alignment vertical="center" wrapText="1"/>
    </xf>
    <xf numFmtId="0" fontId="37" fillId="0" borderId="10" xfId="27" applyFont="1" applyBorder="1" applyProtection="1"/>
    <xf numFmtId="0" fontId="38" fillId="0" borderId="10" xfId="27" applyFont="1" applyBorder="1" applyAlignment="1" applyProtection="1">
      <alignment horizontal="center" vertical="top"/>
    </xf>
    <xf numFmtId="1" fontId="39" fillId="6" borderId="10" xfId="27" applyNumberFormat="1" applyFont="1" applyFill="1" applyBorder="1" applyProtection="1"/>
    <xf numFmtId="0" fontId="38" fillId="6" borderId="10" xfId="27" applyFont="1" applyFill="1" applyBorder="1" applyProtection="1"/>
    <xf numFmtId="3" fontId="38" fillId="6" borderId="10" xfId="28" applyNumberFormat="1" applyFont="1" applyFill="1" applyBorder="1" applyProtection="1"/>
    <xf numFmtId="1" fontId="39" fillId="7" borderId="10" xfId="27" applyNumberFormat="1" applyFont="1" applyFill="1" applyBorder="1" applyProtection="1"/>
    <xf numFmtId="0" fontId="38" fillId="7" borderId="10" xfId="27" applyFont="1" applyFill="1" applyBorder="1" applyProtection="1"/>
    <xf numFmtId="3" fontId="38" fillId="7" borderId="10" xfId="28" applyNumberFormat="1" applyFont="1" applyFill="1" applyBorder="1" applyProtection="1"/>
    <xf numFmtId="1" fontId="39" fillId="2" borderId="10" xfId="27" applyNumberFormat="1" applyFont="1" applyFill="1" applyBorder="1" applyProtection="1"/>
    <xf numFmtId="0" fontId="38" fillId="2" borderId="10" xfId="27" applyFont="1" applyFill="1" applyBorder="1" applyProtection="1"/>
    <xf numFmtId="3" fontId="38" fillId="2" borderId="10" xfId="28" applyNumberFormat="1" applyFont="1" applyFill="1" applyBorder="1" applyProtection="1"/>
    <xf numFmtId="1" fontId="39" fillId="0" borderId="10" xfId="27" applyNumberFormat="1" applyFont="1" applyBorder="1" applyProtection="1"/>
    <xf numFmtId="0" fontId="37" fillId="0" borderId="10" xfId="27" applyFont="1" applyFill="1" applyBorder="1" applyProtection="1"/>
    <xf numFmtId="3" fontId="37" fillId="0" borderId="10" xfId="28" applyNumberFormat="1" applyFont="1" applyFill="1" applyBorder="1" applyProtection="1"/>
    <xf numFmtId="0" fontId="39" fillId="0" borderId="10" xfId="27" applyFont="1" applyFill="1" applyBorder="1" applyProtection="1"/>
    <xf numFmtId="3" fontId="39" fillId="0" borderId="10" xfId="28" applyNumberFormat="1" applyFont="1" applyFill="1" applyBorder="1" applyProtection="1"/>
    <xf numFmtId="0" fontId="38" fillId="0" borderId="10" xfId="27" applyFont="1" applyBorder="1" applyProtection="1"/>
    <xf numFmtId="3" fontId="38" fillId="0" borderId="10" xfId="28" applyNumberFormat="1" applyFont="1" applyBorder="1" applyProtection="1"/>
    <xf numFmtId="1" fontId="37" fillId="0" borderId="10" xfId="27" applyNumberFormat="1" applyFont="1" applyBorder="1" applyProtection="1"/>
    <xf numFmtId="3" fontId="39" fillId="0" borderId="10" xfId="28" applyNumberFormat="1" applyFont="1" applyBorder="1" applyProtection="1"/>
    <xf numFmtId="1" fontId="38" fillId="6" borderId="10" xfId="27" applyNumberFormat="1" applyFont="1" applyFill="1" applyBorder="1" applyProtection="1"/>
    <xf numFmtId="1" fontId="39" fillId="8" borderId="10" xfId="27" applyNumberFormat="1" applyFont="1" applyFill="1" applyBorder="1" applyProtection="1"/>
    <xf numFmtId="1" fontId="38" fillId="8" borderId="10" xfId="27" applyNumberFormat="1" applyFont="1" applyFill="1" applyBorder="1" applyProtection="1"/>
    <xf numFmtId="3" fontId="39" fillId="8" borderId="10" xfId="28" applyNumberFormat="1" applyFont="1" applyFill="1" applyBorder="1" applyProtection="1"/>
    <xf numFmtId="3" fontId="38" fillId="8" borderId="10" xfId="28" applyNumberFormat="1" applyFont="1" applyFill="1" applyBorder="1" applyProtection="1"/>
    <xf numFmtId="0" fontId="9" fillId="0" borderId="10" xfId="0" applyFont="1" applyFill="1" applyBorder="1" applyAlignment="1">
      <alignment horizontal="center" vertical="top" wrapText="1"/>
    </xf>
    <xf numFmtId="3" fontId="34" fillId="19" borderId="12" xfId="16" applyNumberFormat="1" applyFont="1" applyFill="1" applyBorder="1" applyAlignment="1">
      <alignment horizontal="right" vertical="center" wrapText="1"/>
    </xf>
    <xf numFmtId="3" fontId="34" fillId="14" borderId="12" xfId="16" applyNumberFormat="1" applyFont="1" applyFill="1" applyBorder="1" applyAlignment="1">
      <alignment horizontal="right" vertical="center" wrapText="1"/>
    </xf>
    <xf numFmtId="3" fontId="34" fillId="19" borderId="21" xfId="16" applyNumberFormat="1" applyFont="1" applyFill="1" applyBorder="1" applyAlignment="1">
      <alignment horizontal="right" vertical="center" wrapText="1"/>
    </xf>
    <xf numFmtId="171" fontId="34" fillId="14" borderId="29" xfId="16" applyNumberFormat="1" applyFont="1" applyFill="1" applyBorder="1" applyAlignment="1">
      <alignment vertical="center" wrapText="1"/>
    </xf>
    <xf numFmtId="3" fontId="34" fillId="19" borderId="12" xfId="16" applyNumberFormat="1" applyFont="1" applyFill="1" applyBorder="1" applyAlignment="1">
      <alignment vertical="center" wrapText="1"/>
    </xf>
    <xf numFmtId="3" fontId="31" fillId="0" borderId="12" xfId="16" applyNumberFormat="1" applyFont="1" applyFill="1" applyBorder="1" applyAlignment="1">
      <alignment horizontal="right" vertical="center" wrapText="1"/>
    </xf>
    <xf numFmtId="3" fontId="34" fillId="14" borderId="12" xfId="16" applyNumberFormat="1" applyFont="1" applyFill="1" applyBorder="1" applyAlignment="1">
      <alignment vertical="center" wrapText="1"/>
    </xf>
    <xf numFmtId="3" fontId="34" fillId="19" borderId="21" xfId="16" applyNumberFormat="1" applyFont="1" applyFill="1" applyBorder="1" applyAlignment="1">
      <alignment vertical="center" wrapText="1"/>
    </xf>
    <xf numFmtId="3" fontId="10" fillId="0" borderId="10" xfId="16" applyNumberFormat="1" applyFont="1" applyFill="1" applyBorder="1" applyAlignment="1">
      <alignment horizontal="center" vertical="center" wrapText="1"/>
    </xf>
    <xf numFmtId="3" fontId="9" fillId="25" borderId="10" xfId="16" applyNumberFormat="1" applyFont="1" applyFill="1" applyBorder="1" applyAlignment="1">
      <alignment horizontal="center" vertical="center" wrapText="1"/>
    </xf>
    <xf numFmtId="3" fontId="9" fillId="14" borderId="10" xfId="16" applyNumberFormat="1" applyFont="1" applyFill="1" applyBorder="1" applyAlignment="1">
      <alignment horizontal="center" vertical="center" wrapText="1"/>
    </xf>
    <xf numFmtId="4" fontId="10" fillId="0" borderId="10" xfId="16" applyNumberFormat="1" applyFont="1" applyFill="1" applyBorder="1" applyAlignment="1">
      <alignment horizontal="center" vertical="center" wrapText="1"/>
    </xf>
    <xf numFmtId="171" fontId="9" fillId="14" borderId="10" xfId="16" applyNumberFormat="1" applyFont="1" applyFill="1" applyBorder="1" applyAlignment="1">
      <alignment horizontal="center" vertical="center" wrapText="1"/>
    </xf>
    <xf numFmtId="1" fontId="10" fillId="0" borderId="10" xfId="16" applyNumberFormat="1" applyFont="1" applyFill="1" applyBorder="1" applyAlignment="1">
      <alignment horizontal="center" vertical="center" wrapText="1"/>
    </xf>
    <xf numFmtId="3" fontId="54" fillId="0" borderId="10" xfId="16" applyNumberFormat="1" applyFont="1" applyFill="1" applyBorder="1" applyAlignment="1">
      <alignment horizontal="center" vertical="center" wrapText="1"/>
    </xf>
    <xf numFmtId="0" fontId="10" fillId="25" borderId="10" xfId="16" applyFont="1" applyFill="1" applyBorder="1" applyAlignment="1">
      <alignment horizontal="center" vertical="center" wrapText="1"/>
    </xf>
    <xf numFmtId="167" fontId="10" fillId="25" borderId="10" xfId="16" applyNumberFormat="1" applyFont="1" applyFill="1" applyBorder="1" applyAlignment="1">
      <alignment horizontal="center" vertical="center" wrapText="1"/>
    </xf>
    <xf numFmtId="167" fontId="10" fillId="14" borderId="10" xfId="16" applyNumberFormat="1" applyFont="1" applyFill="1" applyBorder="1" applyAlignment="1">
      <alignment horizontal="center" vertical="center" wrapText="1"/>
    </xf>
    <xf numFmtId="3" fontId="10" fillId="14" borderId="10" xfId="16" applyNumberFormat="1" applyFont="1" applyFill="1" applyBorder="1" applyAlignment="1">
      <alignment horizontal="center" vertical="center" wrapText="1"/>
    </xf>
    <xf numFmtId="3" fontId="10" fillId="0" borderId="10" xfId="0" applyNumberFormat="1" applyFont="1" applyFill="1" applyBorder="1" applyAlignment="1">
      <alignment vertical="center" wrapText="1"/>
    </xf>
    <xf numFmtId="3" fontId="10" fillId="0" borderId="18" xfId="0" applyNumberFormat="1" applyFont="1" applyFill="1" applyBorder="1" applyAlignment="1">
      <alignment vertical="center" wrapText="1"/>
    </xf>
    <xf numFmtId="167" fontId="10" fillId="0" borderId="0" xfId="0" applyNumberFormat="1" applyFont="1" applyFill="1" applyAlignment="1">
      <alignment horizontal="center" vertical="center" wrapText="1"/>
    </xf>
    <xf numFmtId="0" fontId="10" fillId="20" borderId="0" xfId="0" applyFont="1" applyFill="1" applyAlignment="1">
      <alignment vertical="center" wrapText="1"/>
    </xf>
    <xf numFmtId="0" fontId="10" fillId="20" borderId="0" xfId="0" applyFont="1" applyFill="1" applyAlignment="1">
      <alignment horizontal="center" vertical="center" wrapText="1"/>
    </xf>
    <xf numFmtId="167" fontId="10" fillId="20" borderId="0" xfId="0" applyNumberFormat="1" applyFont="1" applyFill="1" applyAlignment="1">
      <alignment horizontal="center" vertical="center" wrapText="1"/>
    </xf>
    <xf numFmtId="4" fontId="10" fillId="20" borderId="0" xfId="0" applyNumberFormat="1" applyFont="1" applyFill="1" applyAlignment="1">
      <alignment horizontal="right" vertical="center" wrapText="1"/>
    </xf>
    <xf numFmtId="179" fontId="57" fillId="0" borderId="10" xfId="0" applyNumberFormat="1" applyFont="1" applyFill="1" applyBorder="1" applyAlignment="1">
      <alignment horizontal="center" vertical="center" wrapText="1"/>
    </xf>
    <xf numFmtId="4" fontId="10" fillId="0" borderId="10" xfId="15" applyNumberFormat="1" applyFont="1" applyFill="1" applyBorder="1" applyAlignment="1">
      <alignment horizontal="center" vertical="center" wrapText="1"/>
    </xf>
    <xf numFmtId="179" fontId="57" fillId="0" borderId="20" xfId="0" applyNumberFormat="1" applyFont="1" applyFill="1" applyBorder="1" applyAlignment="1">
      <alignment horizontal="center" vertical="center" wrapText="1"/>
    </xf>
    <xf numFmtId="4" fontId="10" fillId="0" borderId="20" xfId="15" applyNumberFormat="1" applyFont="1" applyFill="1" applyBorder="1" applyAlignment="1">
      <alignment horizontal="center" vertical="center" wrapText="1"/>
    </xf>
    <xf numFmtId="0" fontId="62" fillId="0" borderId="10" xfId="0" applyFont="1" applyFill="1" applyBorder="1" applyAlignment="1">
      <alignment vertical="center"/>
    </xf>
    <xf numFmtId="167" fontId="10" fillId="0" borderId="10" xfId="16" applyNumberFormat="1" applyFont="1" applyFill="1" applyBorder="1" applyAlignment="1">
      <alignment horizontal="center" vertical="center" wrapText="1"/>
    </xf>
    <xf numFmtId="9" fontId="9" fillId="0" borderId="10" xfId="23" applyNumberFormat="1" applyFont="1" applyFill="1" applyBorder="1" applyAlignment="1">
      <alignment horizontal="right" vertical="center" wrapText="1"/>
    </xf>
    <xf numFmtId="3" fontId="30" fillId="20" borderId="64" xfId="0" applyNumberFormat="1" applyFont="1" applyFill="1" applyBorder="1" applyAlignment="1">
      <alignment horizontal="right" vertical="center" wrapText="1"/>
    </xf>
    <xf numFmtId="0" fontId="26" fillId="31" borderId="20" xfId="0" applyFont="1" applyFill="1" applyBorder="1" applyAlignment="1">
      <alignment horizontal="center" vertical="top" wrapText="1"/>
    </xf>
    <xf numFmtId="3" fontId="10" fillId="31" borderId="10" xfId="0" applyNumberFormat="1" applyFont="1" applyFill="1" applyBorder="1" applyAlignment="1">
      <alignment horizontal="center" vertical="center" wrapText="1"/>
    </xf>
    <xf numFmtId="168" fontId="10" fillId="31" borderId="10" xfId="2" applyNumberFormat="1" applyFont="1" applyFill="1" applyBorder="1" applyAlignment="1">
      <alignment horizontal="center" vertical="center" wrapText="1"/>
    </xf>
    <xf numFmtId="168" fontId="24" fillId="31" borderId="0" xfId="2" applyNumberFormat="1" applyFont="1" applyFill="1" applyAlignment="1">
      <alignment vertical="center" wrapText="1"/>
    </xf>
    <xf numFmtId="3" fontId="10" fillId="31" borderId="10" xfId="16" applyNumberFormat="1" applyFont="1" applyFill="1" applyBorder="1" applyAlignment="1">
      <alignment horizontal="center" vertical="center" wrapText="1"/>
    </xf>
    <xf numFmtId="0" fontId="24" fillId="31" borderId="0" xfId="0" applyFont="1" applyFill="1" applyAlignment="1">
      <alignment vertical="center" wrapText="1"/>
    </xf>
    <xf numFmtId="3" fontId="53" fillId="14" borderId="17" xfId="0" applyNumberFormat="1" applyFont="1" applyFill="1" applyBorder="1" applyAlignment="1">
      <alignment horizontal="center" vertical="center" wrapText="1"/>
    </xf>
    <xf numFmtId="3" fontId="9" fillId="14" borderId="17" xfId="0" applyNumberFormat="1" applyFont="1" applyFill="1" applyBorder="1" applyAlignment="1">
      <alignment horizontal="center" vertical="center" wrapText="1"/>
    </xf>
    <xf numFmtId="9" fontId="67" fillId="0" borderId="10" xfId="23" applyFont="1" applyFill="1" applyBorder="1" applyAlignment="1">
      <alignment horizontal="right" vertical="center" wrapText="1"/>
    </xf>
    <xf numFmtId="3" fontId="73" fillId="0" borderId="0" xfId="15" applyNumberFormat="1" applyFont="1" applyFill="1" applyAlignment="1">
      <alignment vertical="center" wrapText="1"/>
    </xf>
    <xf numFmtId="0" fontId="34" fillId="14" borderId="41" xfId="15" applyFont="1" applyFill="1" applyBorder="1" applyAlignment="1">
      <alignment horizontal="center" vertical="center" wrapText="1"/>
    </xf>
    <xf numFmtId="3" fontId="30" fillId="20" borderId="3" xfId="0" applyNumberFormat="1" applyFont="1" applyFill="1" applyBorder="1" applyAlignment="1">
      <alignment horizontal="right" vertical="center" wrapText="1"/>
    </xf>
    <xf numFmtId="9" fontId="30" fillId="20" borderId="69" xfId="0" applyNumberFormat="1" applyFont="1" applyFill="1" applyBorder="1" applyAlignment="1">
      <alignment horizontal="right" vertical="center" wrapText="1"/>
    </xf>
    <xf numFmtId="9" fontId="30" fillId="20" borderId="23" xfId="23" applyNumberFormat="1" applyFont="1" applyFill="1" applyBorder="1" applyAlignment="1">
      <alignment horizontal="right" vertical="center" wrapText="1"/>
    </xf>
    <xf numFmtId="0" fontId="31" fillId="14" borderId="26" xfId="15" applyFont="1" applyFill="1" applyBorder="1" applyAlignment="1">
      <alignment horizontal="center" vertical="center" wrapText="1"/>
    </xf>
    <xf numFmtId="0" fontId="31" fillId="19" borderId="10" xfId="15" applyFont="1" applyFill="1" applyBorder="1" applyAlignment="1">
      <alignment horizontal="center" vertical="center" wrapText="1"/>
    </xf>
    <xf numFmtId="171" fontId="34" fillId="19" borderId="10" xfId="5" applyNumberFormat="1" applyFont="1" applyFill="1" applyBorder="1" applyAlignment="1">
      <alignment horizontal="center" vertical="center" wrapText="1"/>
    </xf>
    <xf numFmtId="0" fontId="31" fillId="14" borderId="10" xfId="15" applyFont="1" applyFill="1" applyBorder="1" applyAlignment="1">
      <alignment horizontal="center" vertical="center" wrapText="1"/>
    </xf>
    <xf numFmtId="0" fontId="31" fillId="19" borderId="0" xfId="15" applyFont="1" applyFill="1" applyBorder="1" applyAlignment="1">
      <alignment horizontal="center" vertical="center" wrapText="1"/>
    </xf>
    <xf numFmtId="175" fontId="31" fillId="0" borderId="10" xfId="15" applyNumberFormat="1" applyFont="1" applyFill="1" applyBorder="1" applyAlignment="1">
      <alignment horizontal="center" vertical="center" wrapText="1"/>
    </xf>
    <xf numFmtId="3" fontId="21" fillId="20" borderId="0" xfId="0" applyNumberFormat="1" applyFont="1" applyFill="1" applyAlignment="1">
      <alignment horizontal="right" vertical="center" wrapText="1"/>
    </xf>
    <xf numFmtId="4" fontId="54" fillId="0" borderId="10" xfId="15" applyNumberFormat="1" applyFont="1" applyFill="1" applyBorder="1" applyAlignment="1">
      <alignment horizontal="center" vertical="center" wrapText="1"/>
    </xf>
    <xf numFmtId="180" fontId="9" fillId="0" borderId="10" xfId="23" applyNumberFormat="1" applyFont="1" applyFill="1" applyBorder="1" applyAlignment="1">
      <alignment horizontal="right" vertical="center" wrapText="1"/>
    </xf>
    <xf numFmtId="171" fontId="7" fillId="0" borderId="0" xfId="5" applyNumberFormat="1" applyFont="1" applyFill="1" applyAlignment="1">
      <alignment vertical="center" wrapText="1"/>
    </xf>
    <xf numFmtId="171" fontId="31" fillId="0" borderId="70" xfId="5" applyNumberFormat="1" applyFont="1" applyFill="1" applyBorder="1" applyAlignment="1">
      <alignment vertical="center" wrapText="1"/>
    </xf>
    <xf numFmtId="3" fontId="10" fillId="0" borderId="20" xfId="15" applyNumberFormat="1"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10" fillId="0" borderId="10" xfId="0" applyFont="1" applyFill="1" applyBorder="1"/>
    <xf numFmtId="0" fontId="10" fillId="0" borderId="20" xfId="0" applyFont="1" applyFill="1" applyBorder="1"/>
    <xf numFmtId="0" fontId="9" fillId="0" borderId="26"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31" fillId="21" borderId="15" xfId="16" applyFont="1" applyFill="1" applyBorder="1" applyAlignment="1">
      <alignment horizontal="justify" vertical="center" wrapText="1"/>
    </xf>
    <xf numFmtId="0" fontId="31" fillId="0" borderId="18" xfId="16" applyFont="1" applyFill="1" applyBorder="1" applyAlignment="1">
      <alignment vertical="center" wrapText="1"/>
    </xf>
    <xf numFmtId="0" fontId="9" fillId="0" borderId="15" xfId="16" applyFont="1" applyFill="1" applyBorder="1" applyAlignment="1">
      <alignment horizontal="justify" vertical="center" wrapText="1"/>
    </xf>
    <xf numFmtId="3" fontId="9" fillId="22" borderId="17" xfId="0" applyNumberFormat="1" applyFont="1" applyFill="1" applyBorder="1" applyAlignment="1">
      <alignment horizontal="center" vertical="center" wrapText="1"/>
    </xf>
    <xf numFmtId="3" fontId="10" fillId="20" borderId="0" xfId="0" applyNumberFormat="1" applyFont="1" applyFill="1" applyAlignment="1">
      <alignment horizontal="center" vertical="center" wrapText="1"/>
    </xf>
    <xf numFmtId="3" fontId="10" fillId="8" borderId="0" xfId="0" applyNumberFormat="1" applyFont="1" applyFill="1" applyAlignment="1">
      <alignment horizontal="center" vertical="center" wrapText="1"/>
    </xf>
    <xf numFmtId="0" fontId="31" fillId="0" borderId="15" xfId="16" applyFont="1" applyFill="1" applyBorder="1" applyAlignment="1">
      <alignment horizontal="justify" vertical="center" wrapText="1"/>
    </xf>
    <xf numFmtId="0" fontId="31" fillId="0" borderId="10" xfId="16" applyFont="1" applyFill="1" applyBorder="1" applyAlignment="1">
      <alignment horizontal="center" vertical="center" wrapText="1"/>
    </xf>
    <xf numFmtId="3" fontId="10" fillId="18" borderId="10" xfId="15" applyNumberFormat="1" applyFont="1" applyFill="1" applyBorder="1" applyAlignment="1">
      <alignment horizontal="center" vertical="center" wrapText="1"/>
    </xf>
    <xf numFmtId="0" fontId="54" fillId="0" borderId="10" xfId="16" applyFont="1" applyFill="1" applyBorder="1" applyAlignment="1">
      <alignment horizontal="center" vertical="center" wrapText="1"/>
    </xf>
    <xf numFmtId="41" fontId="10" fillId="0" borderId="0" xfId="29" applyFont="1"/>
    <xf numFmtId="41" fontId="10" fillId="0" borderId="0" xfId="29" applyFont="1" applyFill="1" applyAlignment="1">
      <alignment vertical="center" wrapText="1"/>
    </xf>
    <xf numFmtId="41" fontId="9" fillId="0" borderId="0" xfId="29" applyFont="1" applyFill="1" applyAlignment="1">
      <alignment vertical="center" wrapText="1"/>
    </xf>
    <xf numFmtId="41" fontId="10" fillId="8" borderId="0" xfId="29" applyFont="1" applyFill="1" applyAlignment="1">
      <alignment vertical="center" wrapText="1"/>
    </xf>
    <xf numFmtId="0" fontId="9" fillId="0" borderId="71" xfId="0" applyFont="1" applyFill="1" applyBorder="1" applyAlignment="1">
      <alignment horizontal="center" vertical="top" wrapText="1"/>
    </xf>
    <xf numFmtId="3" fontId="30" fillId="20" borderId="55" xfId="0" applyNumberFormat="1" applyFont="1" applyFill="1" applyBorder="1" applyAlignment="1">
      <alignment horizontal="right" vertical="center" wrapText="1"/>
    </xf>
    <xf numFmtId="9" fontId="30" fillId="20" borderId="72" xfId="23" applyFont="1" applyFill="1" applyBorder="1" applyAlignment="1">
      <alignment horizontal="right" vertical="center" wrapText="1"/>
    </xf>
    <xf numFmtId="3" fontId="31" fillId="32" borderId="10" xfId="15" applyNumberFormat="1" applyFont="1" applyFill="1" applyBorder="1" applyAlignment="1">
      <alignment horizontal="center" vertical="center" wrapText="1"/>
    </xf>
    <xf numFmtId="167" fontId="31" fillId="32" borderId="10" xfId="15" applyNumberFormat="1" applyFont="1" applyFill="1" applyBorder="1" applyAlignment="1">
      <alignment horizontal="center" vertical="center" wrapText="1"/>
    </xf>
    <xf numFmtId="9" fontId="30" fillId="20" borderId="72" xfId="23" applyNumberFormat="1" applyFont="1" applyFill="1" applyBorder="1" applyAlignment="1">
      <alignment horizontal="right" vertical="center" wrapText="1"/>
    </xf>
    <xf numFmtId="167" fontId="9" fillId="25" borderId="10" xfId="16" applyNumberFormat="1" applyFont="1" applyFill="1" applyBorder="1" applyAlignment="1">
      <alignment horizontal="center" vertical="center" wrapText="1"/>
    </xf>
    <xf numFmtId="3" fontId="24" fillId="0" borderId="0" xfId="16" applyNumberFormat="1" applyFont="1" applyAlignment="1">
      <alignment vertical="center"/>
    </xf>
    <xf numFmtId="3" fontId="21" fillId="0" borderId="0" xfId="16" applyNumberFormat="1" applyFont="1" applyAlignment="1">
      <alignment vertical="center"/>
    </xf>
    <xf numFmtId="3" fontId="10" fillId="20" borderId="0" xfId="0" applyNumberFormat="1" applyFont="1" applyFill="1" applyAlignment="1">
      <alignment horizontal="right" vertical="center" wrapText="1"/>
    </xf>
    <xf numFmtId="3" fontId="10" fillId="0" borderId="0" xfId="0" applyNumberFormat="1" applyFont="1" applyFill="1"/>
    <xf numFmtId="3" fontId="66" fillId="0" borderId="0" xfId="0" applyNumberFormat="1" applyFont="1" applyFill="1" applyAlignment="1">
      <alignment vertical="center" wrapText="1"/>
    </xf>
    <xf numFmtId="9" fontId="10" fillId="0" borderId="0" xfId="23" applyFont="1" applyFill="1" applyAlignment="1">
      <alignment vertical="center" wrapText="1"/>
    </xf>
    <xf numFmtId="180" fontId="10" fillId="0" borderId="0" xfId="23" applyNumberFormat="1" applyFont="1" applyFill="1" applyAlignment="1">
      <alignment vertical="center" wrapText="1"/>
    </xf>
    <xf numFmtId="3" fontId="34" fillId="28" borderId="27" xfId="15" applyNumberFormat="1" applyFont="1" applyFill="1" applyBorder="1" applyAlignment="1">
      <alignment horizontal="center" vertical="center" wrapText="1"/>
    </xf>
    <xf numFmtId="9" fontId="10" fillId="0" borderId="0" xfId="23" applyNumberFormat="1" applyFont="1" applyFill="1" applyAlignment="1">
      <alignment vertical="center" wrapText="1"/>
    </xf>
    <xf numFmtId="167" fontId="9" fillId="14" borderId="7" xfId="0" applyNumberFormat="1" applyFont="1" applyFill="1" applyBorder="1" applyAlignment="1">
      <alignment horizontal="center" vertical="center" wrapText="1"/>
    </xf>
    <xf numFmtId="0" fontId="51" fillId="9" borderId="0" xfId="15" applyFont="1" applyFill="1" applyBorder="1" applyAlignment="1">
      <alignment horizontal="center" vertical="center" wrapText="1"/>
    </xf>
    <xf numFmtId="0" fontId="34" fillId="13" borderId="0" xfId="15" applyFont="1" applyFill="1" applyBorder="1" applyAlignment="1">
      <alignment horizontal="center" vertical="center" wrapText="1"/>
    </xf>
    <xf numFmtId="171" fontId="34" fillId="13" borderId="0" xfId="5" applyNumberFormat="1" applyFont="1" applyFill="1" applyBorder="1" applyAlignment="1">
      <alignment horizontal="center" vertical="center" wrapText="1"/>
    </xf>
    <xf numFmtId="3" fontId="34" fillId="19" borderId="0" xfId="16" applyNumberFormat="1" applyFont="1" applyFill="1" applyBorder="1" applyAlignment="1">
      <alignment horizontal="right" vertical="center" wrapText="1"/>
    </xf>
    <xf numFmtId="171" fontId="31" fillId="0" borderId="18" xfId="5" applyNumberFormat="1" applyFont="1" applyFill="1" applyBorder="1" applyAlignment="1">
      <alignment vertical="center" wrapText="1"/>
    </xf>
    <xf numFmtId="171" fontId="34" fillId="19" borderId="0" xfId="5" applyNumberFormat="1" applyFont="1" applyFill="1" applyBorder="1" applyAlignment="1">
      <alignment horizontal="right" vertical="center" wrapText="1"/>
    </xf>
    <xf numFmtId="3" fontId="34" fillId="14" borderId="0" xfId="16" applyNumberFormat="1" applyFont="1" applyFill="1" applyBorder="1" applyAlignment="1">
      <alignment horizontal="right" vertical="center" wrapText="1"/>
    </xf>
    <xf numFmtId="171" fontId="34" fillId="14" borderId="0" xfId="16" applyNumberFormat="1" applyFont="1" applyFill="1" applyBorder="1" applyAlignment="1">
      <alignment vertical="center" wrapText="1"/>
    </xf>
    <xf numFmtId="3" fontId="34" fillId="19" borderId="0" xfId="16" applyNumberFormat="1" applyFont="1" applyFill="1" applyBorder="1" applyAlignment="1">
      <alignment vertical="center" wrapText="1"/>
    </xf>
    <xf numFmtId="3" fontId="31" fillId="0" borderId="0" xfId="16" applyNumberFormat="1" applyFont="1" applyFill="1" applyBorder="1" applyAlignment="1">
      <alignment horizontal="right" vertical="center" wrapText="1"/>
    </xf>
    <xf numFmtId="3" fontId="34" fillId="14" borderId="0" xfId="16" applyNumberFormat="1" applyFont="1" applyFill="1" applyBorder="1" applyAlignment="1">
      <alignment vertical="center" wrapText="1"/>
    </xf>
    <xf numFmtId="3" fontId="31" fillId="0" borderId="0" xfId="5" applyNumberFormat="1" applyFont="1" applyFill="1" applyBorder="1" applyAlignment="1">
      <alignment vertical="center" wrapText="1"/>
    </xf>
    <xf numFmtId="171" fontId="57" fillId="0" borderId="0" xfId="0" applyNumberFormat="1" applyFont="1" applyFill="1" applyBorder="1" applyAlignment="1">
      <alignment horizontal="right" vertical="center" wrapText="1"/>
    </xf>
    <xf numFmtId="171" fontId="31" fillId="0" borderId="0" xfId="0" applyNumberFormat="1" applyFont="1" applyFill="1" applyBorder="1" applyAlignment="1">
      <alignment horizontal="right" vertical="center" wrapText="1"/>
    </xf>
    <xf numFmtId="3" fontId="34" fillId="14" borderId="0" xfId="15" applyNumberFormat="1" applyFont="1" applyFill="1" applyBorder="1" applyAlignment="1">
      <alignment horizontal="right" vertical="center" wrapText="1"/>
    </xf>
    <xf numFmtId="171" fontId="27" fillId="0" borderId="0" xfId="5" applyNumberFormat="1" applyFont="1" applyFill="1" applyBorder="1" applyAlignment="1">
      <alignment vertical="center" wrapText="1"/>
    </xf>
    <xf numFmtId="171" fontId="76" fillId="0" borderId="0" xfId="5" applyNumberFormat="1" applyFont="1" applyFill="1" applyBorder="1" applyAlignment="1">
      <alignment vertical="center" wrapText="1"/>
    </xf>
    <xf numFmtId="4" fontId="24" fillId="0" borderId="0" xfId="16" applyNumberFormat="1" applyFont="1" applyAlignment="1">
      <alignment vertical="center"/>
    </xf>
    <xf numFmtId="167" fontId="31" fillId="0" borderId="27" xfId="15" applyNumberFormat="1" applyFont="1" applyFill="1" applyBorder="1" applyAlignment="1">
      <alignment horizontal="center" vertical="center" wrapText="1"/>
    </xf>
    <xf numFmtId="167" fontId="10" fillId="26" borderId="10" xfId="0" applyNumberFormat="1" applyFont="1" applyFill="1" applyBorder="1" applyAlignment="1">
      <alignment horizontal="center" vertical="center" wrapText="1"/>
    </xf>
    <xf numFmtId="173" fontId="57" fillId="0" borderId="10" xfId="0" applyNumberFormat="1" applyFont="1" applyFill="1" applyBorder="1" applyAlignment="1">
      <alignment horizontal="center" vertical="center" wrapText="1"/>
    </xf>
    <xf numFmtId="178" fontId="10" fillId="0" borderId="10" xfId="0" applyNumberFormat="1" applyFont="1" applyFill="1" applyBorder="1" applyAlignment="1">
      <alignment horizontal="center" vertical="center" wrapText="1"/>
    </xf>
    <xf numFmtId="169" fontId="57" fillId="33" borderId="10" xfId="0" applyNumberFormat="1" applyFont="1" applyFill="1" applyBorder="1" applyAlignment="1">
      <alignment horizontal="center" vertical="center" wrapText="1"/>
    </xf>
    <xf numFmtId="171" fontId="57" fillId="0" borderId="0" xfId="5" applyNumberFormat="1" applyFont="1" applyBorder="1" applyAlignment="1">
      <alignment horizontal="center" vertical="center" wrapText="1"/>
    </xf>
    <xf numFmtId="3" fontId="34" fillId="19" borderId="26" xfId="16" applyNumberFormat="1" applyFont="1" applyFill="1" applyBorder="1" applyAlignment="1">
      <alignment horizontal="center" vertical="center" wrapText="1"/>
    </xf>
    <xf numFmtId="171" fontId="60" fillId="19" borderId="26" xfId="5" applyNumberFormat="1" applyFont="1" applyFill="1" applyBorder="1" applyAlignment="1">
      <alignment horizontal="center" vertical="center" wrapText="1"/>
    </xf>
    <xf numFmtId="3" fontId="60" fillId="19" borderId="20" xfId="15" applyNumberFormat="1" applyFont="1" applyFill="1" applyBorder="1" applyAlignment="1">
      <alignment horizontal="center" vertical="center" wrapText="1"/>
    </xf>
    <xf numFmtId="171" fontId="60" fillId="19" borderId="28" xfId="5" applyNumberFormat="1" applyFont="1" applyFill="1" applyBorder="1" applyAlignment="1">
      <alignment horizontal="center" vertical="center" wrapText="1"/>
    </xf>
    <xf numFmtId="171" fontId="60" fillId="19" borderId="10" xfId="5" applyNumberFormat="1" applyFont="1" applyFill="1" applyBorder="1" applyAlignment="1">
      <alignment horizontal="center" vertical="center" wrapText="1"/>
    </xf>
    <xf numFmtId="171" fontId="61" fillId="0" borderId="31" xfId="5" applyNumberFormat="1" applyFont="1" applyFill="1" applyBorder="1" applyAlignment="1">
      <alignment horizontal="center" vertical="center" wrapText="1"/>
    </xf>
    <xf numFmtId="171" fontId="61" fillId="0" borderId="0" xfId="5" applyNumberFormat="1" applyFont="1" applyFill="1" applyAlignment="1">
      <alignment horizontal="center" vertical="center" wrapText="1"/>
    </xf>
    <xf numFmtId="171" fontId="31" fillId="20" borderId="12" xfId="5" applyNumberFormat="1" applyFont="1" applyFill="1" applyBorder="1" applyAlignment="1">
      <alignment vertical="center" wrapText="1"/>
    </xf>
    <xf numFmtId="171" fontId="73" fillId="18" borderId="0" xfId="15" applyNumberFormat="1" applyFont="1" applyFill="1" applyAlignment="1">
      <alignment vertical="center" wrapText="1"/>
    </xf>
    <xf numFmtId="3" fontId="10" fillId="15" borderId="10" xfId="16" applyNumberFormat="1" applyFont="1" applyFill="1" applyBorder="1" applyAlignment="1">
      <alignment horizontal="center" vertical="center" wrapText="1"/>
    </xf>
    <xf numFmtId="41" fontId="7" fillId="0" borderId="0" xfId="29" applyFont="1" applyFill="1" applyAlignment="1">
      <alignment vertical="center" wrapText="1"/>
    </xf>
    <xf numFmtId="41" fontId="31" fillId="0" borderId="0" xfId="29" applyFont="1" applyFill="1" applyAlignment="1">
      <alignment vertical="center" wrapText="1"/>
    </xf>
    <xf numFmtId="171" fontId="9" fillId="14" borderId="7" xfId="2" applyNumberFormat="1" applyFont="1" applyFill="1" applyBorder="1" applyAlignment="1">
      <alignment horizontal="center" vertical="center" wrapText="1"/>
    </xf>
    <xf numFmtId="10" fontId="67" fillId="0" borderId="10" xfId="23" applyNumberFormat="1" applyFont="1" applyFill="1" applyBorder="1" applyAlignment="1">
      <alignment horizontal="right" vertical="center" wrapText="1"/>
    </xf>
    <xf numFmtId="168" fontId="24" fillId="0" borderId="0" xfId="2" applyNumberFormat="1" applyFont="1" applyFill="1" applyAlignment="1">
      <alignment vertical="center" wrapText="1"/>
    </xf>
    <xf numFmtId="41" fontId="24" fillId="0" borderId="0" xfId="0" applyNumberFormat="1" applyFont="1" applyFill="1" applyAlignment="1">
      <alignment vertical="center" wrapText="1"/>
    </xf>
    <xf numFmtId="41" fontId="27" fillId="0" borderId="0" xfId="29" applyFont="1" applyFill="1" applyAlignment="1">
      <alignment vertical="center" wrapText="1"/>
    </xf>
    <xf numFmtId="3" fontId="31" fillId="29" borderId="26" xfId="16" applyNumberFormat="1" applyFont="1" applyFill="1" applyBorder="1" applyAlignment="1">
      <alignment horizontal="right" vertical="center" wrapText="1"/>
    </xf>
    <xf numFmtId="3" fontId="31" fillId="29" borderId="10" xfId="16" applyNumberFormat="1" applyFont="1" applyFill="1" applyBorder="1" applyAlignment="1">
      <alignment horizontal="right" vertical="center" wrapText="1"/>
    </xf>
    <xf numFmtId="3" fontId="76" fillId="29" borderId="10" xfId="16" applyNumberFormat="1" applyFont="1" applyFill="1" applyBorder="1" applyAlignment="1">
      <alignment horizontal="right" vertical="center" wrapText="1"/>
    </xf>
    <xf numFmtId="3" fontId="31" fillId="29" borderId="27" xfId="16" applyNumberFormat="1" applyFont="1" applyFill="1" applyBorder="1" applyAlignment="1">
      <alignment horizontal="right" vertical="center" wrapText="1"/>
    </xf>
    <xf numFmtId="3" fontId="31" fillId="32" borderId="10" xfId="16" applyNumberFormat="1" applyFont="1" applyFill="1" applyBorder="1" applyAlignment="1">
      <alignment horizontal="right" vertical="center" wrapText="1"/>
    </xf>
    <xf numFmtId="3" fontId="10" fillId="32" borderId="10" xfId="0" applyNumberFormat="1" applyFont="1" applyFill="1" applyBorder="1" applyAlignment="1">
      <alignment horizontal="center" vertical="center" wrapText="1"/>
    </xf>
    <xf numFmtId="0" fontId="24" fillId="32" borderId="0" xfId="0" applyFont="1" applyFill="1" applyAlignment="1">
      <alignment vertical="center" wrapText="1"/>
    </xf>
    <xf numFmtId="0" fontId="31" fillId="29" borderId="0" xfId="16" applyFont="1" applyFill="1" applyAlignment="1">
      <alignment vertical="center" wrapText="1"/>
    </xf>
    <xf numFmtId="3" fontId="31" fillId="29" borderId="20" xfId="16" applyNumberFormat="1" applyFont="1" applyFill="1" applyBorder="1" applyAlignment="1">
      <alignment horizontal="right" vertical="center" wrapText="1"/>
    </xf>
    <xf numFmtId="169" fontId="31" fillId="29" borderId="10" xfId="16" applyNumberFormat="1" applyFont="1" applyFill="1" applyBorder="1" applyAlignment="1">
      <alignment horizontal="right" vertical="center" wrapText="1"/>
    </xf>
    <xf numFmtId="0" fontId="7" fillId="0" borderId="0" xfId="16" applyFont="1" applyFill="1" applyAlignment="1">
      <alignment vertical="center" wrapText="1"/>
    </xf>
    <xf numFmtId="3" fontId="31" fillId="0" borderId="24" xfId="16" applyNumberFormat="1" applyFont="1" applyFill="1" applyBorder="1" applyAlignment="1">
      <alignment horizontal="right" vertical="center" wrapText="1"/>
    </xf>
    <xf numFmtId="3" fontId="31" fillId="0" borderId="27" xfId="16" applyNumberFormat="1" applyFont="1" applyFill="1" applyBorder="1" applyAlignment="1">
      <alignment horizontal="right" vertical="center" wrapText="1"/>
    </xf>
    <xf numFmtId="3" fontId="31" fillId="0" borderId="10" xfId="16" applyNumberFormat="1" applyFont="1" applyFill="1" applyBorder="1" applyAlignment="1">
      <alignment horizontal="center" vertical="center" wrapText="1"/>
    </xf>
    <xf numFmtId="3" fontId="31" fillId="0" borderId="27" xfId="16" applyNumberFormat="1" applyFont="1" applyFill="1" applyBorder="1" applyAlignment="1">
      <alignment horizontal="center" vertical="center" wrapText="1"/>
    </xf>
    <xf numFmtId="3" fontId="31" fillId="0" borderId="10" xfId="16" applyNumberFormat="1" applyFont="1" applyFill="1" applyBorder="1" applyAlignment="1">
      <alignment vertical="center" wrapText="1"/>
    </xf>
    <xf numFmtId="3" fontId="31" fillId="0" borderId="26" xfId="16" applyNumberFormat="1" applyFont="1" applyFill="1" applyBorder="1" applyAlignment="1">
      <alignment vertical="center" wrapText="1"/>
    </xf>
    <xf numFmtId="3" fontId="64" fillId="0" borderId="10" xfId="16" applyNumberFormat="1" applyFont="1" applyFill="1" applyBorder="1" applyAlignment="1">
      <alignment horizontal="right" vertical="center" wrapText="1"/>
    </xf>
    <xf numFmtId="3" fontId="31" fillId="0" borderId="20" xfId="16" applyNumberFormat="1" applyFont="1" applyFill="1" applyBorder="1" applyAlignment="1">
      <alignment horizontal="right" vertical="center" wrapText="1"/>
    </xf>
    <xf numFmtId="3" fontId="31" fillId="0" borderId="27" xfId="16" applyNumberFormat="1" applyFont="1" applyFill="1" applyBorder="1" applyAlignment="1">
      <alignment vertical="center" wrapText="1"/>
    </xf>
    <xf numFmtId="3" fontId="31" fillId="29" borderId="10" xfId="16" applyNumberFormat="1" applyFont="1" applyFill="1" applyBorder="1" applyAlignment="1">
      <alignment vertical="center" wrapText="1"/>
    </xf>
    <xf numFmtId="3" fontId="31" fillId="0" borderId="26" xfId="16" applyNumberFormat="1" applyFont="1" applyFill="1" applyBorder="1" applyAlignment="1">
      <alignment horizontal="right" vertical="center" wrapText="1"/>
    </xf>
    <xf numFmtId="41" fontId="27" fillId="0" borderId="0" xfId="15" applyNumberFormat="1" applyFont="1" applyFill="1" applyAlignment="1">
      <alignment vertical="center" wrapText="1"/>
    </xf>
    <xf numFmtId="3" fontId="76" fillId="0" borderId="10" xfId="15" applyNumberFormat="1" applyFont="1" applyFill="1" applyBorder="1" applyAlignment="1">
      <alignment horizontal="right" vertical="center" wrapText="1"/>
    </xf>
    <xf numFmtId="0" fontId="26" fillId="30" borderId="0" xfId="16" applyFont="1" applyFill="1" applyBorder="1" applyAlignment="1">
      <alignment horizontal="center" vertical="center"/>
    </xf>
    <xf numFmtId="41" fontId="30" fillId="18" borderId="0" xfId="29" applyFont="1" applyFill="1" applyAlignment="1">
      <alignment vertical="center" wrapText="1"/>
    </xf>
    <xf numFmtId="0" fontId="34" fillId="5" borderId="39" xfId="15" applyFont="1" applyFill="1" applyBorder="1" applyAlignment="1">
      <alignment horizontal="center" vertical="center" wrapText="1"/>
    </xf>
    <xf numFmtId="0" fontId="34" fillId="14" borderId="41" xfId="15" applyFont="1" applyFill="1" applyBorder="1" applyAlignment="1">
      <alignment horizontal="center" vertical="center" wrapText="1"/>
    </xf>
    <xf numFmtId="0" fontId="34" fillId="5" borderId="35" xfId="15" applyFont="1" applyFill="1" applyBorder="1" applyAlignment="1">
      <alignment horizontal="center" vertical="center" wrapText="1"/>
    </xf>
    <xf numFmtId="0" fontId="51" fillId="9" borderId="51" xfId="15" applyFont="1" applyFill="1" applyBorder="1" applyAlignment="1">
      <alignment horizontal="center" vertical="center" wrapText="1"/>
    </xf>
    <xf numFmtId="0" fontId="51" fillId="9" borderId="52" xfId="15" applyFont="1" applyFill="1" applyBorder="1" applyAlignment="1">
      <alignment horizontal="center" vertical="center" wrapText="1"/>
    </xf>
    <xf numFmtId="0" fontId="51" fillId="9" borderId="53" xfId="15" applyFont="1" applyFill="1" applyBorder="1" applyAlignment="1">
      <alignment horizontal="center" vertical="center" wrapText="1"/>
    </xf>
    <xf numFmtId="0" fontId="34" fillId="0" borderId="30" xfId="15" applyFont="1" applyFill="1" applyBorder="1" applyAlignment="1">
      <alignment horizontal="center" vertical="center" wrapText="1"/>
    </xf>
    <xf numFmtId="0" fontId="34" fillId="0" borderId="31" xfId="15" applyFont="1" applyFill="1" applyBorder="1" applyAlignment="1">
      <alignment horizontal="center" vertical="center" wrapText="1"/>
    </xf>
    <xf numFmtId="0" fontId="34" fillId="13" borderId="46" xfId="15" applyFont="1" applyFill="1" applyBorder="1" applyAlignment="1">
      <alignment horizontal="center" vertical="center" wrapText="1"/>
    </xf>
    <xf numFmtId="0" fontId="34" fillId="13" borderId="54" xfId="15" applyFont="1" applyFill="1" applyBorder="1" applyAlignment="1">
      <alignment horizontal="center" vertical="center" wrapText="1"/>
    </xf>
    <xf numFmtId="0" fontId="34" fillId="13" borderId="47" xfId="15" applyFont="1" applyFill="1" applyBorder="1" applyAlignment="1">
      <alignment horizontal="center" vertical="center" wrapText="1"/>
    </xf>
    <xf numFmtId="0" fontId="34" fillId="13" borderId="48" xfId="15" applyFont="1" applyFill="1" applyBorder="1" applyAlignment="1">
      <alignment horizontal="center" vertical="center" wrapText="1"/>
    </xf>
    <xf numFmtId="0" fontId="34" fillId="13" borderId="49" xfId="15" applyFont="1" applyFill="1" applyBorder="1" applyAlignment="1">
      <alignment horizontal="center" vertical="center" wrapText="1"/>
    </xf>
    <xf numFmtId="0" fontId="34" fillId="13" borderId="50" xfId="15" applyFont="1" applyFill="1" applyBorder="1" applyAlignment="1">
      <alignment horizontal="center" vertical="center" wrapText="1"/>
    </xf>
    <xf numFmtId="3" fontId="10" fillId="0" borderId="20" xfId="0" applyNumberFormat="1" applyFont="1" applyFill="1" applyBorder="1" applyAlignment="1">
      <alignment horizontal="center" vertical="center" wrapText="1"/>
    </xf>
    <xf numFmtId="3" fontId="10" fillId="0" borderId="26"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57" xfId="0" applyFont="1" applyFill="1" applyBorder="1" applyAlignment="1">
      <alignment horizontal="left" vertical="center" wrapText="1"/>
    </xf>
    <xf numFmtId="0" fontId="0" fillId="0" borderId="54" xfId="0" applyBorder="1"/>
    <xf numFmtId="0" fontId="0" fillId="0" borderId="48" xfId="0" applyBorder="1"/>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9" fillId="14" borderId="17" xfId="0" applyFont="1" applyFill="1" applyBorder="1" applyAlignment="1">
      <alignment horizontal="center" vertical="center" wrapText="1"/>
    </xf>
    <xf numFmtId="3" fontId="10" fillId="0" borderId="28" xfId="0" applyNumberFormat="1" applyFont="1" applyFill="1" applyBorder="1" applyAlignment="1">
      <alignment horizontal="center" vertical="center" wrapText="1"/>
    </xf>
    <xf numFmtId="3" fontId="66" fillId="0" borderId="20" xfId="0" applyNumberFormat="1" applyFont="1" applyFill="1" applyBorder="1" applyAlignment="1">
      <alignment horizontal="center" vertical="center" wrapText="1"/>
    </xf>
    <xf numFmtId="3" fontId="66" fillId="0" borderId="26" xfId="0" applyNumberFormat="1" applyFont="1" applyFill="1" applyBorder="1" applyAlignment="1">
      <alignment horizontal="center" vertical="center" wrapText="1"/>
    </xf>
    <xf numFmtId="0" fontId="9" fillId="0" borderId="18"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27" borderId="59" xfId="0" applyFont="1" applyFill="1" applyBorder="1" applyAlignment="1">
      <alignment horizontal="left" vertical="justify" wrapText="1"/>
    </xf>
    <xf numFmtId="0" fontId="9" fillId="27" borderId="60" xfId="0" applyFont="1" applyFill="1" applyBorder="1" applyAlignment="1">
      <alignment horizontal="left" vertical="justify" wrapText="1"/>
    </xf>
    <xf numFmtId="0" fontId="9" fillId="27" borderId="61" xfId="0" applyFont="1" applyFill="1" applyBorder="1" applyAlignment="1">
      <alignment horizontal="left" vertical="justify" wrapText="1"/>
    </xf>
    <xf numFmtId="0" fontId="9" fillId="22" borderId="10"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27" borderId="51" xfId="0" applyFont="1" applyFill="1" applyBorder="1" applyAlignment="1">
      <alignment horizontal="left" vertical="center" wrapText="1"/>
    </xf>
    <xf numFmtId="0" fontId="9" fillId="27" borderId="52" xfId="0" applyFont="1" applyFill="1" applyBorder="1" applyAlignment="1">
      <alignment horizontal="left" vertical="center" wrapText="1"/>
    </xf>
    <xf numFmtId="0" fontId="9" fillId="27" borderId="68" xfId="0" applyFont="1" applyFill="1" applyBorder="1" applyAlignment="1">
      <alignment horizontal="left" vertical="center" wrapText="1"/>
    </xf>
    <xf numFmtId="0" fontId="9" fillId="27" borderId="57" xfId="0" applyFont="1" applyFill="1" applyBorder="1" applyAlignment="1">
      <alignment horizontal="left" vertical="justify" wrapText="1"/>
    </xf>
    <xf numFmtId="0" fontId="9" fillId="27" borderId="54" xfId="0" applyFont="1" applyFill="1" applyBorder="1" applyAlignment="1">
      <alignment horizontal="left" vertical="justify" wrapText="1"/>
    </xf>
    <xf numFmtId="0" fontId="9" fillId="27" borderId="47" xfId="0" applyFont="1" applyFill="1" applyBorder="1" applyAlignment="1">
      <alignment horizontal="left" vertical="justify" wrapText="1"/>
    </xf>
    <xf numFmtId="0" fontId="9" fillId="27" borderId="66" xfId="0" applyFont="1" applyFill="1" applyBorder="1" applyAlignment="1">
      <alignment horizontal="left" vertical="justify" wrapText="1"/>
    </xf>
    <xf numFmtId="0" fontId="9" fillId="27" borderId="67" xfId="0" applyFont="1" applyFill="1" applyBorder="1" applyAlignment="1">
      <alignment horizontal="left" vertical="justify" wrapText="1"/>
    </xf>
    <xf numFmtId="3" fontId="9" fillId="0" borderId="18" xfId="0" applyNumberFormat="1" applyFont="1" applyFill="1" applyBorder="1" applyAlignment="1">
      <alignment horizontal="left" vertical="center" wrapText="1"/>
    </xf>
    <xf numFmtId="3" fontId="9" fillId="0" borderId="25" xfId="0" applyNumberFormat="1" applyFont="1" applyFill="1" applyBorder="1" applyAlignment="1">
      <alignment horizontal="left" vertical="center" wrapText="1"/>
    </xf>
    <xf numFmtId="3" fontId="9" fillId="0" borderId="27" xfId="0" applyNumberFormat="1" applyFont="1" applyFill="1" applyBorder="1" applyAlignment="1">
      <alignment horizontal="left"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65" xfId="0" applyNumberFormat="1" applyFont="1" applyFill="1" applyBorder="1" applyAlignment="1">
      <alignment horizontal="center" vertical="center" wrapText="1"/>
    </xf>
    <xf numFmtId="3" fontId="9" fillId="0" borderId="22" xfId="0" applyNumberFormat="1" applyFont="1" applyFill="1" applyBorder="1" applyAlignment="1">
      <alignment horizontal="center" vertical="center" wrapText="1"/>
    </xf>
    <xf numFmtId="3" fontId="9" fillId="0" borderId="12" xfId="0" applyNumberFormat="1" applyFont="1" applyFill="1" applyBorder="1" applyAlignment="1">
      <alignment horizontal="right" vertical="center" wrapText="1"/>
    </xf>
    <xf numFmtId="0" fontId="9" fillId="13" borderId="20"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center" vertical="top" wrapText="1"/>
    </xf>
    <xf numFmtId="0" fontId="10" fillId="0" borderId="10" xfId="0" applyFont="1" applyFill="1" applyBorder="1"/>
    <xf numFmtId="3" fontId="9" fillId="0" borderId="26" xfId="0" applyNumberFormat="1" applyFont="1" applyFill="1" applyBorder="1" applyAlignment="1">
      <alignment horizontal="left" vertical="center" wrapText="1"/>
    </xf>
    <xf numFmtId="3" fontId="9" fillId="0" borderId="10" xfId="0" applyNumberFormat="1"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13" borderId="15" xfId="0" applyFont="1" applyFill="1" applyBorder="1" applyAlignment="1">
      <alignment horizontal="center" vertical="center" wrapText="1"/>
    </xf>
    <xf numFmtId="0" fontId="10" fillId="0" borderId="12" xfId="0" applyFont="1" applyBorder="1"/>
    <xf numFmtId="0" fontId="9" fillId="13" borderId="34"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0" borderId="38" xfId="0" applyFont="1" applyFill="1" applyBorder="1" applyAlignment="1">
      <alignment horizontal="center" vertical="top" wrapText="1"/>
    </xf>
    <xf numFmtId="0" fontId="9" fillId="0" borderId="26" xfId="0" applyFont="1" applyFill="1" applyBorder="1" applyAlignment="1">
      <alignment horizontal="center" vertical="top" wrapText="1"/>
    </xf>
    <xf numFmtId="0" fontId="10" fillId="8" borderId="2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13" borderId="17" xfId="0" applyFont="1" applyFill="1" applyBorder="1" applyAlignment="1">
      <alignment horizontal="center" vertical="center" wrapText="1"/>
    </xf>
    <xf numFmtId="4" fontId="9" fillId="13" borderId="7" xfId="0" applyNumberFormat="1" applyFont="1" applyFill="1" applyBorder="1" applyAlignment="1">
      <alignment horizontal="center" vertical="center" wrapText="1"/>
    </xf>
    <xf numFmtId="4" fontId="9" fillId="13" borderId="14" xfId="0" applyNumberFormat="1"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10" fillId="0" borderId="20" xfId="0" applyFont="1" applyFill="1" applyBorder="1"/>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9" xfId="0" applyFont="1" applyFill="1" applyBorder="1" applyAlignment="1">
      <alignment horizontal="center" vertical="top" wrapText="1"/>
    </xf>
    <xf numFmtId="0" fontId="9" fillId="13" borderId="19"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9" fillId="0" borderId="62"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27" borderId="9" xfId="0" applyFont="1" applyFill="1" applyBorder="1" applyAlignment="1">
      <alignment horizontal="left" vertical="justify" wrapText="1"/>
    </xf>
    <xf numFmtId="0" fontId="9" fillId="27" borderId="0" xfId="0" applyFont="1" applyFill="1" applyBorder="1" applyAlignment="1">
      <alignment horizontal="left" vertical="justify" wrapText="1"/>
    </xf>
    <xf numFmtId="0" fontId="9" fillId="27" borderId="51" xfId="0" applyFont="1" applyFill="1" applyBorder="1" applyAlignment="1">
      <alignment horizontal="left" vertical="justify" wrapText="1"/>
    </xf>
    <xf numFmtId="0" fontId="9" fillId="27" borderId="52" xfId="0" applyFont="1" applyFill="1" applyBorder="1" applyAlignment="1">
      <alignment horizontal="left" vertical="justify" wrapText="1"/>
    </xf>
    <xf numFmtId="0" fontId="9" fillId="27" borderId="53" xfId="0" applyFont="1" applyFill="1" applyBorder="1" applyAlignment="1">
      <alignment horizontal="left" vertical="justify" wrapText="1"/>
    </xf>
    <xf numFmtId="0" fontId="26" fillId="0" borderId="0" xfId="16" applyFont="1" applyBorder="1" applyAlignment="1" applyProtection="1">
      <alignment horizontal="center"/>
    </xf>
    <xf numFmtId="0" fontId="26" fillId="0" borderId="31" xfId="16" applyFont="1" applyBorder="1" applyAlignment="1" applyProtection="1">
      <alignment horizontal="center"/>
    </xf>
    <xf numFmtId="0" fontId="26" fillId="30" borderId="0" xfId="16" applyFont="1" applyFill="1" applyBorder="1" applyAlignment="1">
      <alignment horizontal="center" vertical="center"/>
    </xf>
    <xf numFmtId="0" fontId="26" fillId="0" borderId="8" xfId="16" applyFont="1" applyBorder="1" applyAlignment="1" applyProtection="1">
      <alignment horizontal="center" vertical="center"/>
    </xf>
    <xf numFmtId="0" fontId="26" fillId="0" borderId="55" xfId="16" applyFont="1" applyBorder="1" applyAlignment="1" applyProtection="1">
      <alignment horizontal="center" vertical="center"/>
    </xf>
    <xf numFmtId="0" fontId="26" fillId="0" borderId="56" xfId="16" applyFont="1" applyBorder="1" applyAlignment="1" applyProtection="1">
      <alignment horizontal="center" vertical="center"/>
    </xf>
    <xf numFmtId="0" fontId="26" fillId="0" borderId="9" xfId="16" applyFont="1" applyBorder="1" applyAlignment="1" applyProtection="1">
      <alignment horizontal="center" vertical="center"/>
    </xf>
    <xf numFmtId="0" fontId="26" fillId="0" borderId="0" xfId="16" applyFont="1" applyBorder="1" applyAlignment="1" applyProtection="1">
      <alignment horizontal="center" vertical="center"/>
    </xf>
    <xf numFmtId="0" fontId="26" fillId="0" borderId="13" xfId="16" applyFont="1" applyBorder="1" applyAlignment="1" applyProtection="1">
      <alignment horizontal="center" vertical="center"/>
    </xf>
    <xf numFmtId="0" fontId="30" fillId="13" borderId="15" xfId="0" applyFont="1" applyFill="1" applyBorder="1" applyAlignment="1">
      <alignment horizontal="left" vertical="center" wrapText="1"/>
    </xf>
    <xf numFmtId="0" fontId="30" fillId="13" borderId="10" xfId="0" applyFont="1" applyFill="1" applyBorder="1" applyAlignment="1">
      <alignment horizontal="left" vertical="center" wrapText="1"/>
    </xf>
    <xf numFmtId="0" fontId="30" fillId="13" borderId="12" xfId="0" applyFont="1" applyFill="1" applyBorder="1" applyAlignment="1">
      <alignment horizontal="left" vertical="center" wrapText="1"/>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13" xfId="0" applyFont="1" applyFill="1" applyBorder="1" applyAlignment="1">
      <alignment horizontal="center" vertical="center" wrapText="1"/>
    </xf>
    <xf numFmtId="166" fontId="30" fillId="13" borderId="15" xfId="3" applyNumberFormat="1" applyFont="1" applyFill="1" applyBorder="1" applyAlignment="1">
      <alignment horizontal="left" vertical="center" wrapText="1"/>
    </xf>
    <xf numFmtId="166" fontId="30" fillId="13" borderId="10" xfId="3" applyNumberFormat="1" applyFont="1" applyFill="1" applyBorder="1" applyAlignment="1">
      <alignment horizontal="left" vertical="center" wrapText="1"/>
    </xf>
    <xf numFmtId="166" fontId="30" fillId="13" borderId="12" xfId="3" applyNumberFormat="1" applyFont="1" applyFill="1" applyBorder="1" applyAlignment="1">
      <alignment horizontal="left" vertical="center" wrapText="1"/>
    </xf>
    <xf numFmtId="0" fontId="19" fillId="0" borderId="6"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7" xfId="0" applyFont="1" applyBorder="1" applyAlignment="1" applyProtection="1">
      <alignment horizontal="center" vertical="center"/>
    </xf>
    <xf numFmtId="0" fontId="19" fillId="0" borderId="14" xfId="0" applyFont="1" applyBorder="1" applyAlignment="1" applyProtection="1">
      <alignment horizontal="center" vertical="center"/>
    </xf>
    <xf numFmtId="0" fontId="15" fillId="2" borderId="8" xfId="0" applyFont="1" applyFill="1" applyBorder="1" applyAlignment="1">
      <alignment horizontal="center" wrapText="1"/>
    </xf>
    <xf numFmtId="0" fontId="15" fillId="2" borderId="63" xfId="0" applyFont="1" applyFill="1" applyBorder="1" applyAlignment="1">
      <alignment horizontal="center" wrapText="1"/>
    </xf>
    <xf numFmtId="0" fontId="15" fillId="2" borderId="30" xfId="0" applyFont="1" applyFill="1" applyBorder="1" applyAlignment="1">
      <alignment horizontal="center" wrapText="1"/>
    </xf>
    <xf numFmtId="0" fontId="15" fillId="2" borderId="2" xfId="0" applyFont="1" applyFill="1" applyBorder="1" applyAlignment="1">
      <alignment horizontal="center" wrapText="1"/>
    </xf>
    <xf numFmtId="0" fontId="15" fillId="0" borderId="31" xfId="0" applyFont="1" applyBorder="1" applyAlignment="1">
      <alignment horizontal="center"/>
    </xf>
    <xf numFmtId="0" fontId="68"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3" fontId="38" fillId="6" borderId="10" xfId="35" applyNumberFormat="1" applyFont="1" applyFill="1" applyBorder="1" applyProtection="1"/>
    <xf numFmtId="1" fontId="39" fillId="6" borderId="10" xfId="36" applyNumberFormat="1" applyFont="1" applyFill="1" applyBorder="1" applyProtection="1"/>
    <xf numFmtId="3" fontId="38" fillId="8" borderId="10" xfId="35" applyNumberFormat="1" applyFont="1" applyFill="1" applyBorder="1" applyProtection="1"/>
    <xf numFmtId="1" fontId="38" fillId="8" borderId="10" xfId="36" applyNumberFormat="1" applyFont="1" applyFill="1" applyBorder="1" applyProtection="1"/>
    <xf numFmtId="1" fontId="39" fillId="8" borderId="10" xfId="36" applyNumberFormat="1" applyFont="1" applyFill="1" applyBorder="1" applyProtection="1"/>
    <xf numFmtId="3" fontId="24" fillId="0" borderId="0" xfId="16" applyNumberFormat="1" applyFont="1"/>
    <xf numFmtId="3" fontId="39" fillId="8" borderId="10" xfId="35" applyNumberFormat="1" applyFont="1" applyFill="1" applyBorder="1" applyProtection="1"/>
    <xf numFmtId="1" fontId="38" fillId="6" borderId="10" xfId="36" applyNumberFormat="1" applyFont="1" applyFill="1" applyBorder="1" applyProtection="1"/>
    <xf numFmtId="3" fontId="38" fillId="7" borderId="10" xfId="35" applyNumberFormat="1" applyFont="1" applyFill="1" applyBorder="1" applyProtection="1"/>
    <xf numFmtId="0" fontId="38" fillId="7" borderId="10" xfId="36" applyFont="1" applyFill="1" applyBorder="1" applyProtection="1"/>
    <xf numFmtId="1" fontId="39" fillId="7" borderId="10" xfId="36" applyNumberFormat="1" applyFont="1" applyFill="1" applyBorder="1" applyProtection="1"/>
    <xf numFmtId="3" fontId="38" fillId="0" borderId="10" xfId="35" applyNumberFormat="1" applyFont="1" applyBorder="1" applyProtection="1"/>
    <xf numFmtId="0" fontId="38" fillId="0" borderId="10" xfId="36" applyFont="1" applyBorder="1" applyProtection="1"/>
    <xf numFmtId="1" fontId="39" fillId="0" borderId="10" xfId="36" applyNumberFormat="1" applyFont="1" applyBorder="1" applyProtection="1"/>
    <xf numFmtId="3" fontId="37" fillId="0" borderId="10" xfId="35" applyNumberFormat="1" applyFont="1" applyFill="1" applyBorder="1" applyProtection="1"/>
    <xf numFmtId="0" fontId="37" fillId="0" borderId="10" xfId="36" applyFont="1" applyFill="1" applyBorder="1" applyProtection="1"/>
    <xf numFmtId="1" fontId="37" fillId="0" borderId="10" xfId="36" applyNumberFormat="1" applyFont="1" applyBorder="1" applyProtection="1"/>
    <xf numFmtId="3" fontId="39" fillId="0" borderId="10" xfId="35" applyNumberFormat="1" applyFont="1" applyBorder="1" applyProtection="1"/>
    <xf numFmtId="3" fontId="39" fillId="0" borderId="10" xfId="35" applyNumberFormat="1" applyFont="1" applyFill="1" applyBorder="1" applyProtection="1"/>
    <xf numFmtId="0" fontId="39" fillId="0" borderId="10" xfId="36" applyFont="1" applyFill="1" applyBorder="1" applyProtection="1"/>
    <xf numFmtId="3" fontId="38" fillId="2" borderId="10" xfId="35" applyNumberFormat="1" applyFont="1" applyFill="1" applyBorder="1" applyProtection="1"/>
    <xf numFmtId="0" fontId="38" fillId="2" borderId="10" xfId="36" applyFont="1" applyFill="1" applyBorder="1" applyProtection="1"/>
    <xf numFmtId="1" fontId="39" fillId="2" borderId="10" xfId="36" applyNumberFormat="1" applyFont="1" applyFill="1" applyBorder="1" applyProtection="1"/>
    <xf numFmtId="0" fontId="38" fillId="6" borderId="10" xfId="36" applyFont="1" applyFill="1" applyBorder="1" applyProtection="1"/>
    <xf numFmtId="0" fontId="38" fillId="0" borderId="10" xfId="36" applyFont="1" applyBorder="1" applyAlignment="1" applyProtection="1">
      <alignment horizontal="center" vertical="top"/>
    </xf>
    <xf numFmtId="0" fontId="37" fillId="0" borderId="10" xfId="36" applyFont="1" applyBorder="1" applyProtection="1"/>
    <xf numFmtId="3" fontId="75" fillId="0" borderId="0" xfId="36" applyNumberFormat="1" applyFont="1" applyFill="1" applyBorder="1" applyAlignment="1" applyProtection="1">
      <alignment horizontal="right" vertical="top" wrapText="1" shrinkToFit="1"/>
    </xf>
    <xf numFmtId="3" fontId="70" fillId="0" borderId="39" xfId="36" applyNumberFormat="1" applyFont="1" applyFill="1" applyBorder="1" applyAlignment="1" applyProtection="1">
      <alignment vertical="center"/>
    </xf>
    <xf numFmtId="3" fontId="70" fillId="0" borderId="51" xfId="36" applyNumberFormat="1" applyFont="1" applyFill="1" applyBorder="1" applyAlignment="1" applyProtection="1">
      <alignment vertical="center"/>
    </xf>
    <xf numFmtId="3" fontId="44" fillId="0" borderId="45" xfId="36" applyNumberFormat="1" applyFont="1" applyBorder="1" applyAlignment="1" applyProtection="1">
      <alignment vertical="center"/>
    </xf>
    <xf numFmtId="3" fontId="44" fillId="0" borderId="28" xfId="36" applyNumberFormat="1" applyFont="1" applyBorder="1" applyAlignment="1" applyProtection="1">
      <alignment vertical="center"/>
    </xf>
    <xf numFmtId="3" fontId="44" fillId="0" borderId="38" xfId="36" applyNumberFormat="1" applyFont="1" applyBorder="1" applyAlignment="1" applyProtection="1">
      <alignment vertical="center"/>
    </xf>
    <xf numFmtId="3" fontId="44" fillId="0" borderId="9" xfId="36" applyNumberFormat="1" applyFont="1" applyBorder="1" applyAlignment="1" applyProtection="1">
      <alignment vertical="center"/>
    </xf>
    <xf numFmtId="3" fontId="37" fillId="0" borderId="12" xfId="36" applyNumberFormat="1" applyFont="1" applyFill="1" applyBorder="1" applyAlignment="1" applyProtection="1">
      <alignment vertical="center" wrapText="1"/>
      <protection locked="0"/>
    </xf>
    <xf numFmtId="3" fontId="37" fillId="0" borderId="10" xfId="36" applyNumberFormat="1" applyFont="1" applyFill="1" applyBorder="1" applyAlignment="1" applyProtection="1">
      <alignment vertical="center" wrapText="1"/>
      <protection locked="0"/>
    </xf>
    <xf numFmtId="3" fontId="37" fillId="0" borderId="15" xfId="36" applyNumberFormat="1" applyFont="1" applyFill="1" applyBorder="1" applyAlignment="1" applyProtection="1">
      <alignment vertical="center" wrapText="1"/>
      <protection locked="0"/>
    </xf>
    <xf numFmtId="0" fontId="37" fillId="0" borderId="36" xfId="36" applyFont="1" applyFill="1" applyBorder="1" applyAlignment="1" applyProtection="1">
      <alignment vertical="center" wrapText="1"/>
      <protection locked="0"/>
    </xf>
    <xf numFmtId="3" fontId="71" fillId="0" borderId="12" xfId="36" applyNumberFormat="1" applyFont="1" applyFill="1" applyBorder="1" applyAlignment="1" applyProtection="1">
      <alignment vertical="center" wrapText="1"/>
      <protection locked="0"/>
    </xf>
    <xf numFmtId="3" fontId="71" fillId="0" borderId="10" xfId="36" applyNumberFormat="1" applyFont="1" applyFill="1" applyBorder="1" applyAlignment="1" applyProtection="1">
      <alignment vertical="center" wrapText="1"/>
      <protection locked="0"/>
    </xf>
    <xf numFmtId="3" fontId="71" fillId="0" borderId="15" xfId="36" applyNumberFormat="1" applyFont="1" applyFill="1" applyBorder="1" applyAlignment="1" applyProtection="1">
      <alignment vertical="center" wrapText="1"/>
      <protection locked="0"/>
    </xf>
    <xf numFmtId="3" fontId="37" fillId="0" borderId="45" xfId="36" applyNumberFormat="1" applyFont="1" applyBorder="1" applyAlignment="1" applyProtection="1">
      <alignment vertical="center"/>
    </xf>
    <xf numFmtId="3" fontId="37" fillId="0" borderId="28" xfId="36" applyNumberFormat="1" applyFont="1" applyBorder="1" applyAlignment="1" applyProtection="1">
      <alignment vertical="center"/>
    </xf>
    <xf numFmtId="3" fontId="37" fillId="0" borderId="38" xfId="36" applyNumberFormat="1" applyFont="1" applyBorder="1" applyAlignment="1" applyProtection="1">
      <alignment vertical="center"/>
    </xf>
    <xf numFmtId="3" fontId="37" fillId="0" borderId="9" xfId="36" applyNumberFormat="1" applyFont="1" applyBorder="1" applyAlignment="1" applyProtection="1">
      <alignment vertical="center"/>
    </xf>
    <xf numFmtId="3" fontId="70" fillId="0" borderId="41" xfId="36" applyNumberFormat="1" applyFont="1" applyFill="1" applyBorder="1" applyAlignment="1" applyProtection="1">
      <alignment vertical="center"/>
    </xf>
    <xf numFmtId="3" fontId="70" fillId="0" borderId="42" xfId="36" applyNumberFormat="1" applyFont="1" applyFill="1" applyBorder="1" applyAlignment="1" applyProtection="1">
      <alignment vertical="center"/>
    </xf>
    <xf numFmtId="3" fontId="38" fillId="0" borderId="23" xfId="36" applyNumberFormat="1" applyFont="1" applyFill="1" applyBorder="1" applyAlignment="1" applyProtection="1">
      <alignment vertical="center"/>
    </xf>
    <xf numFmtId="3" fontId="38" fillId="0" borderId="17" xfId="36" applyNumberFormat="1" applyFont="1" applyFill="1" applyBorder="1" applyAlignment="1" applyProtection="1">
      <alignment vertical="center"/>
    </xf>
    <xf numFmtId="3" fontId="38" fillId="0" borderId="16" xfId="36" applyNumberFormat="1" applyFont="1" applyFill="1" applyBorder="1" applyAlignment="1" applyProtection="1">
      <alignment vertical="center"/>
    </xf>
    <xf numFmtId="3" fontId="38" fillId="0" borderId="59" xfId="36" applyNumberFormat="1" applyFont="1" applyFill="1" applyBorder="1" applyAlignment="1" applyProtection="1">
      <alignment vertical="center"/>
    </xf>
    <xf numFmtId="3" fontId="37" fillId="0" borderId="12" xfId="36" applyNumberFormat="1" applyFont="1" applyFill="1" applyBorder="1" applyAlignment="1" applyProtection="1">
      <alignment vertical="center"/>
    </xf>
    <xf numFmtId="3" fontId="37" fillId="0" borderId="10" xfId="36" applyNumberFormat="1" applyFont="1" applyFill="1" applyBorder="1" applyAlignment="1" applyProtection="1">
      <alignment vertical="center"/>
    </xf>
    <xf numFmtId="3" fontId="37" fillId="0" borderId="15" xfId="36" applyNumberFormat="1" applyFont="1" applyFill="1" applyBorder="1" applyAlignment="1" applyProtection="1">
      <alignment vertical="center"/>
    </xf>
    <xf numFmtId="3" fontId="37" fillId="0" borderId="58" xfId="36" applyNumberFormat="1" applyFont="1" applyFill="1" applyBorder="1" applyAlignment="1" applyProtection="1">
      <alignment vertical="center"/>
    </xf>
    <xf numFmtId="3" fontId="38" fillId="0" borderId="12" xfId="36" applyNumberFormat="1" applyFont="1" applyFill="1" applyBorder="1" applyAlignment="1" applyProtection="1">
      <alignment vertical="center"/>
    </xf>
    <xf numFmtId="3" fontId="38" fillId="0" borderId="10" xfId="36" applyNumberFormat="1" applyFont="1" applyFill="1" applyBorder="1" applyAlignment="1" applyProtection="1">
      <alignment vertical="center"/>
    </xf>
    <xf numFmtId="3" fontId="38" fillId="0" borderId="15" xfId="36" applyNumberFormat="1" applyFont="1" applyFill="1" applyBorder="1" applyAlignment="1" applyProtection="1">
      <alignment vertical="center"/>
    </xf>
    <xf numFmtId="3" fontId="38" fillId="0" borderId="58" xfId="36" applyNumberFormat="1" applyFont="1" applyFill="1" applyBorder="1" applyAlignment="1" applyProtection="1">
      <alignment vertical="center"/>
    </xf>
    <xf numFmtId="3" fontId="70" fillId="0" borderId="12" xfId="36" applyNumberFormat="1" applyFont="1" applyFill="1" applyBorder="1" applyAlignment="1" applyProtection="1">
      <alignment vertical="center"/>
    </xf>
    <xf numFmtId="3" fontId="70" fillId="0" borderId="10" xfId="36" applyNumberFormat="1" applyFont="1" applyFill="1" applyBorder="1" applyAlignment="1" applyProtection="1">
      <alignment vertical="center"/>
    </xf>
    <xf numFmtId="3" fontId="70" fillId="0" borderId="15" xfId="36" applyNumberFormat="1" applyFont="1" applyFill="1" applyBorder="1" applyAlignment="1" applyProtection="1">
      <alignment vertical="center"/>
    </xf>
    <xf numFmtId="3" fontId="70" fillId="0" borderId="58" xfId="36" applyNumberFormat="1" applyFont="1" applyFill="1" applyBorder="1" applyAlignment="1" applyProtection="1">
      <alignment vertical="center"/>
    </xf>
    <xf numFmtId="3" fontId="70" fillId="0" borderId="14" xfId="36" applyNumberFormat="1" applyFont="1" applyFill="1" applyBorder="1" applyAlignment="1" applyProtection="1">
      <alignment vertical="center"/>
    </xf>
    <xf numFmtId="3" fontId="70" fillId="0" borderId="7" xfId="36" applyNumberFormat="1" applyFont="1" applyFill="1" applyBorder="1" applyAlignment="1" applyProtection="1">
      <alignment vertical="center"/>
    </xf>
    <xf numFmtId="3" fontId="70" fillId="0" borderId="6" xfId="36" applyNumberFormat="1" applyFont="1" applyFill="1" applyBorder="1" applyAlignment="1" applyProtection="1">
      <alignment vertical="center"/>
    </xf>
    <xf numFmtId="3" fontId="70" fillId="0" borderId="57" xfId="36" applyNumberFormat="1" applyFont="1" applyFill="1" applyBorder="1" applyAlignment="1" applyProtection="1">
      <alignment vertical="center"/>
    </xf>
    <xf numFmtId="3" fontId="37" fillId="0" borderId="17" xfId="36" applyNumberFormat="1" applyFont="1" applyFill="1" applyBorder="1" applyAlignment="1" applyProtection="1">
      <alignment vertical="center"/>
    </xf>
    <xf numFmtId="3" fontId="37" fillId="0" borderId="16" xfId="36" applyNumberFormat="1" applyFont="1" applyFill="1" applyBorder="1" applyAlignment="1" applyProtection="1">
      <alignment vertical="center"/>
    </xf>
    <xf numFmtId="3" fontId="37" fillId="0" borderId="23" xfId="36" applyNumberFormat="1" applyFont="1" applyFill="1" applyBorder="1" applyAlignment="1" applyProtection="1">
      <alignment vertical="center"/>
    </xf>
    <xf numFmtId="3" fontId="37" fillId="0" borderId="59" xfId="36" applyNumberFormat="1" applyFont="1" applyFill="1" applyBorder="1" applyAlignment="1" applyProtection="1">
      <alignment vertical="center"/>
    </xf>
    <xf numFmtId="0" fontId="69" fillId="0" borderId="21" xfId="36" applyFont="1" applyBorder="1" applyAlignment="1" applyProtection="1">
      <alignment horizontal="center" vertical="center" wrapText="1"/>
    </xf>
    <xf numFmtId="0" fontId="69" fillId="0" borderId="20" xfId="36" applyFont="1" applyBorder="1" applyAlignment="1" applyProtection="1">
      <alignment horizontal="center" vertical="center" wrapText="1"/>
    </xf>
    <xf numFmtId="0" fontId="69" fillId="0" borderId="19" xfId="36" applyFont="1" applyBorder="1" applyAlignment="1" applyProtection="1">
      <alignment horizontal="center" vertical="center" wrapText="1"/>
    </xf>
    <xf numFmtId="0" fontId="19" fillId="0" borderId="9" xfId="36" applyFont="1" applyBorder="1" applyAlignment="1" applyProtection="1">
      <alignment horizontal="center" vertical="center" wrapText="1"/>
    </xf>
    <xf numFmtId="0" fontId="19" fillId="0" borderId="14" xfId="36" applyFont="1" applyBorder="1" applyAlignment="1" applyProtection="1">
      <alignment horizontal="center" vertical="center" wrapText="1"/>
    </xf>
    <xf numFmtId="0" fontId="19" fillId="0" borderId="7" xfId="36" applyFont="1" applyBorder="1" applyAlignment="1" applyProtection="1">
      <alignment horizontal="center" vertical="center" wrapText="1"/>
    </xf>
    <xf numFmtId="0" fontId="19" fillId="0" borderId="6" xfId="36" applyFont="1" applyBorder="1" applyAlignment="1" applyProtection="1">
      <alignment horizontal="center" vertical="center" wrapText="1"/>
    </xf>
    <xf numFmtId="0" fontId="1" fillId="0" borderId="32" xfId="36" applyBorder="1" applyAlignment="1" applyProtection="1">
      <alignment horizontal="center" vertical="center"/>
    </xf>
    <xf numFmtId="0" fontId="1" fillId="0" borderId="31" xfId="36" applyBorder="1" applyAlignment="1" applyProtection="1">
      <alignment horizontal="center" vertical="center"/>
    </xf>
    <xf numFmtId="0" fontId="1" fillId="0" borderId="0" xfId="36" applyBorder="1" applyAlignment="1" applyProtection="1">
      <alignment horizontal="center" vertical="center"/>
    </xf>
    <xf numFmtId="0" fontId="26" fillId="0" borderId="30" xfId="36" applyFont="1" applyBorder="1" applyAlignment="1" applyProtection="1">
      <alignment vertical="center"/>
    </xf>
    <xf numFmtId="41" fontId="24" fillId="0" borderId="0" xfId="29" applyFont="1" applyFill="1" applyAlignment="1">
      <alignment vertical="center" wrapText="1"/>
    </xf>
    <xf numFmtId="3" fontId="77" fillId="0" borderId="0" xfId="0" applyNumberFormat="1" applyFont="1" applyFill="1" applyAlignment="1">
      <alignment vertical="center" wrapText="1"/>
    </xf>
  </cellXfs>
  <cellStyles count="37">
    <cellStyle name="Euro" xfId="1"/>
    <cellStyle name="Millares" xfId="2" builtinId="3"/>
    <cellStyle name="Millares [0]" xfId="29" builtinId="6"/>
    <cellStyle name="Millares 10" xfId="33"/>
    <cellStyle name="Millares 11" xfId="35"/>
    <cellStyle name="Millares 2" xfId="3"/>
    <cellStyle name="Millares 2 2" xfId="4"/>
    <cellStyle name="Millares 3" xfId="5"/>
    <cellStyle name="Millares 3 2" xfId="6"/>
    <cellStyle name="Millares 4" xfId="7"/>
    <cellStyle name="Millares 5" xfId="8"/>
    <cellStyle name="Millares 6" xfId="9"/>
    <cellStyle name="Millares 7" xfId="26"/>
    <cellStyle name="Millares 8" xfId="28"/>
    <cellStyle name="Millares 9" xfId="31"/>
    <cellStyle name="Moneda [0] 2" xfId="10"/>
    <cellStyle name="Moneda 2" xfId="11"/>
    <cellStyle name="Moneda 2 2" xfId="12"/>
    <cellStyle name="Moneda 3" xfId="13"/>
    <cellStyle name="Normal" xfId="0" builtinId="0"/>
    <cellStyle name="Normal 10" xfId="34"/>
    <cellStyle name="Normal 11" xfId="36"/>
    <cellStyle name="Normal 2" xfId="14"/>
    <cellStyle name="Normal 2 2" xfId="15"/>
    <cellStyle name="Normal 2 2 2" xfId="16"/>
    <cellStyle name="Normal 2 3" xfId="17"/>
    <cellStyle name="Normal 3" xfId="18"/>
    <cellStyle name="Normal 3 2" xfId="19"/>
    <cellStyle name="Normal 3 3" xfId="20"/>
    <cellStyle name="Normal 4" xfId="21"/>
    <cellStyle name="Normal 5" xfId="22"/>
    <cellStyle name="Normal 6" xfId="25"/>
    <cellStyle name="Normal 7" xfId="27"/>
    <cellStyle name="Normal 8" xfId="30"/>
    <cellStyle name="Normal 9" xfId="32"/>
    <cellStyle name="Porcentaje" xfId="23" builtinId="5"/>
    <cellStyle name="Porcentaje 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6773"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2984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1892" name="Imagen 2" descr="C:\Users\acortes.CAM\Desktop\CAM 20 AÑOS FINA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EDISNEY\POAI%202019\Ok2-Final-%20OPL-%20POAI%20CONSOLIDADO%202019%20-21-01-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DDUSSAN\INFORME%20DE%20GESTI&#211;N%202019\MATRIZ%20MINISTERIO%20MARZO\MATRIZ%20%2031%20MARZO%20%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barrera\Documents\presupeusto2018\EJECUCIONES\DIRECTOR\ANASIS%20DIRECTIVO%20CAMJUNIO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1.1  (10)"/>
      <sheetName val="PROYECTO 1.1  (8)"/>
      <sheetName val="PROYECTO 1.2 (6)"/>
      <sheetName val="PROYECTO 1.3 (2)"/>
      <sheetName val="PROYECTO 2.1  (2)"/>
      <sheetName val="PROYECTO 2.2 (2)"/>
      <sheetName val="PROYECTO 3.1 (5)"/>
      <sheetName val="con valor real"/>
      <sheetName val="PROYECTO 5.2 (6)"/>
      <sheetName val="PROYECTO 3.2"/>
      <sheetName val="PROYECTO 4.1 (6)"/>
      <sheetName val="PROYECTO 5.1"/>
      <sheetName val="PROYECTO 5.2 (7)"/>
      <sheetName val="PROYECTO 6.1 (3)"/>
      <sheetName val="PROYECTO 6.2 (4)"/>
      <sheetName val="FUENTES Y USOS"/>
      <sheetName val="Hoja2"/>
      <sheetName val="Hoja1"/>
    </sheetNames>
    <sheetDataSet>
      <sheetData sheetId="0" refreshError="1"/>
      <sheetData sheetId="1" refreshError="1"/>
      <sheetData sheetId="2" refreshError="1">
        <row r="21">
          <cell r="E21">
            <v>127162361.52</v>
          </cell>
        </row>
        <row r="22">
          <cell r="E22">
            <v>13000000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GENERAL CONSOLIDADA"/>
      <sheetName val="Anexo 1 Matriz SINA Inf Gestión"/>
      <sheetName val="Anexo 2 Matriz Inf. Ejecución"/>
      <sheetName val="ANEXO 5.1 INGRESOS "/>
      <sheetName val="5.2 GASTOS"/>
      <sheetName val="Anexo 3 Matriz Ind Min Jun"/>
      <sheetName val="Anexos 5-1 Ingresos "/>
      <sheetName val="Anexo 5-2 Gastos"/>
      <sheetName val="Anexo 2 Protocolo Inf Gestión"/>
      <sheetName val="Anexo 4 ProtocoloMatrizINdica"/>
      <sheetName val="Hoja1"/>
      <sheetName val="Hoja2"/>
    </sheetNames>
    <sheetDataSet>
      <sheetData sheetId="0" refreshError="1">
        <row r="7">
          <cell r="T7">
            <v>14</v>
          </cell>
        </row>
        <row r="8">
          <cell r="T8">
            <v>1</v>
          </cell>
        </row>
        <row r="9">
          <cell r="T9">
            <v>100</v>
          </cell>
        </row>
        <row r="10">
          <cell r="T10">
            <v>2</v>
          </cell>
        </row>
        <row r="11">
          <cell r="T11">
            <v>100</v>
          </cell>
        </row>
        <row r="12">
          <cell r="T12">
            <v>3</v>
          </cell>
        </row>
        <row r="13">
          <cell r="T13">
            <v>0</v>
          </cell>
        </row>
        <row r="14">
          <cell r="T14">
            <v>0</v>
          </cell>
        </row>
        <row r="15">
          <cell r="T15">
            <v>1</v>
          </cell>
        </row>
        <row r="16">
          <cell r="T16">
            <v>37</v>
          </cell>
        </row>
        <row r="17">
          <cell r="T17">
            <v>5</v>
          </cell>
        </row>
        <row r="18">
          <cell r="T18">
            <v>0</v>
          </cell>
        </row>
        <row r="20">
          <cell r="T20">
            <v>100</v>
          </cell>
        </row>
        <row r="21">
          <cell r="T21">
            <v>5</v>
          </cell>
        </row>
        <row r="22">
          <cell r="T22">
            <v>25</v>
          </cell>
        </row>
        <row r="23">
          <cell r="T23">
            <v>100</v>
          </cell>
        </row>
        <row r="24">
          <cell r="T24">
            <v>20</v>
          </cell>
        </row>
        <row r="25">
          <cell r="T25">
            <v>141</v>
          </cell>
        </row>
        <row r="26">
          <cell r="T26">
            <v>500</v>
          </cell>
        </row>
        <row r="27">
          <cell r="T27">
            <v>1963</v>
          </cell>
        </row>
        <row r="28">
          <cell r="T28">
            <v>200</v>
          </cell>
        </row>
        <row r="29">
          <cell r="T29">
            <v>30</v>
          </cell>
        </row>
        <row r="31">
          <cell r="P31">
            <v>1</v>
          </cell>
        </row>
        <row r="32">
          <cell r="P32">
            <v>1</v>
          </cell>
        </row>
        <row r="57">
          <cell r="T57">
            <v>25</v>
          </cell>
        </row>
        <row r="58">
          <cell r="T58">
            <v>27</v>
          </cell>
        </row>
        <row r="59">
          <cell r="T59">
            <v>3</v>
          </cell>
        </row>
        <row r="60">
          <cell r="T60">
            <v>1</v>
          </cell>
        </row>
        <row r="61">
          <cell r="T61">
            <v>2</v>
          </cell>
        </row>
        <row r="62">
          <cell r="T62">
            <v>2</v>
          </cell>
        </row>
        <row r="65">
          <cell r="T65">
            <v>20</v>
          </cell>
        </row>
        <row r="66">
          <cell r="T66">
            <v>2</v>
          </cell>
        </row>
        <row r="68">
          <cell r="T68">
            <v>1</v>
          </cell>
        </row>
        <row r="71">
          <cell r="T71">
            <v>100</v>
          </cell>
        </row>
        <row r="72">
          <cell r="T72">
            <v>100</v>
          </cell>
        </row>
        <row r="73">
          <cell r="T73">
            <v>100</v>
          </cell>
        </row>
        <row r="74">
          <cell r="T74">
            <v>100</v>
          </cell>
        </row>
        <row r="75">
          <cell r="T75">
            <v>60</v>
          </cell>
        </row>
        <row r="76">
          <cell r="T76">
            <v>35</v>
          </cell>
        </row>
        <row r="77">
          <cell r="T77">
            <v>100</v>
          </cell>
        </row>
        <row r="78">
          <cell r="T78">
            <v>1</v>
          </cell>
        </row>
        <row r="79">
          <cell r="T79">
            <v>1</v>
          </cell>
        </row>
        <row r="80">
          <cell r="T80">
            <v>1</v>
          </cell>
        </row>
        <row r="81">
          <cell r="T81">
            <v>1</v>
          </cell>
        </row>
        <row r="82">
          <cell r="T82">
            <v>100</v>
          </cell>
        </row>
        <row r="83">
          <cell r="T83">
            <v>37</v>
          </cell>
        </row>
        <row r="84">
          <cell r="T84">
            <v>1</v>
          </cell>
        </row>
        <row r="85">
          <cell r="T85">
            <v>90</v>
          </cell>
        </row>
        <row r="89">
          <cell r="T89">
            <v>100</v>
          </cell>
        </row>
        <row r="90">
          <cell r="T90">
            <v>100</v>
          </cell>
        </row>
        <row r="91">
          <cell r="T91">
            <v>0</v>
          </cell>
        </row>
        <row r="92">
          <cell r="T92">
            <v>5</v>
          </cell>
        </row>
        <row r="93">
          <cell r="T93">
            <v>0</v>
          </cell>
        </row>
        <row r="96">
          <cell r="T96">
            <v>1</v>
          </cell>
        </row>
        <row r="97">
          <cell r="T97">
            <v>1</v>
          </cell>
        </row>
        <row r="98">
          <cell r="T98">
            <v>100</v>
          </cell>
        </row>
        <row r="99">
          <cell r="T99">
            <v>38</v>
          </cell>
        </row>
        <row r="102">
          <cell r="T102">
            <v>1</v>
          </cell>
        </row>
        <row r="103">
          <cell r="T103">
            <v>100</v>
          </cell>
        </row>
        <row r="104">
          <cell r="T104">
            <v>1</v>
          </cell>
        </row>
        <row r="105">
          <cell r="P105">
            <v>0</v>
          </cell>
          <cell r="W105">
            <v>0</v>
          </cell>
        </row>
        <row r="106">
          <cell r="P106">
            <v>1</v>
          </cell>
        </row>
        <row r="107">
          <cell r="T107">
            <v>0</v>
          </cell>
          <cell r="W107">
            <v>0</v>
          </cell>
        </row>
        <row r="108">
          <cell r="P108">
            <v>1</v>
          </cell>
          <cell r="W108">
            <v>0</v>
          </cell>
        </row>
        <row r="109">
          <cell r="P109">
            <v>0</v>
          </cell>
          <cell r="W109">
            <v>0</v>
          </cell>
        </row>
        <row r="112">
          <cell r="T112">
            <v>100</v>
          </cell>
        </row>
        <row r="113">
          <cell r="T113">
            <v>1</v>
          </cell>
        </row>
        <row r="114">
          <cell r="T114">
            <v>0</v>
          </cell>
        </row>
        <row r="115">
          <cell r="T115">
            <v>1</v>
          </cell>
        </row>
        <row r="116">
          <cell r="T1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s 2015"/>
      <sheetName val="Reserv 2017"/>
      <sheetName val="GASTOS 2018"/>
      <sheetName val="INGRESOS A "/>
    </sheetNames>
    <sheetDataSet>
      <sheetData sheetId="0"/>
      <sheetData sheetId="1"/>
      <sheetData sheetId="2"/>
      <sheetData sheetId="3">
        <row r="9">
          <cell r="D9">
            <v>9133016496</v>
          </cell>
        </row>
        <row r="13">
          <cell r="F13">
            <v>1324022079</v>
          </cell>
        </row>
        <row r="14">
          <cell r="D14">
            <v>1070506847</v>
          </cell>
        </row>
        <row r="15">
          <cell r="D15">
            <v>151754308</v>
          </cell>
        </row>
        <row r="16">
          <cell r="D16">
            <v>253747000</v>
          </cell>
        </row>
        <row r="17">
          <cell r="D17">
            <v>907653683</v>
          </cell>
        </row>
        <row r="18">
          <cell r="D18">
            <v>7195334584</v>
          </cell>
        </row>
        <row r="19">
          <cell r="D19">
            <v>56702815</v>
          </cell>
        </row>
        <row r="30">
          <cell r="E30">
            <v>5210149325</v>
          </cell>
        </row>
        <row r="31">
          <cell r="E31">
            <v>4828952214</v>
          </cell>
        </row>
        <row r="32">
          <cell r="D32">
            <v>720000000</v>
          </cell>
        </row>
        <row r="33">
          <cell r="D33">
            <v>4042566415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row>
        <row r="37">
          <cell r="F37">
            <v>31033711871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13"/>
  <sheetViews>
    <sheetView zoomScale="60" zoomScaleNormal="60" workbookViewId="0">
      <pane xSplit="1" ySplit="4" topLeftCell="B116" activePane="bottomRight" state="frozen"/>
      <selection activeCell="G53" sqref="G53"/>
      <selection pane="topRight" activeCell="G53" sqref="G53"/>
      <selection pane="bottomLeft" activeCell="G53" sqref="G53"/>
      <selection pane="bottomRight" activeCell="A124" sqref="A124"/>
    </sheetView>
  </sheetViews>
  <sheetFormatPr baseColWidth="10" defaultRowHeight="15"/>
  <cols>
    <col min="1" max="1" width="62.7109375" style="62" customWidth="1"/>
    <col min="2" max="2" width="13.85546875" style="62" customWidth="1"/>
    <col min="3" max="3" width="22.28515625" style="62" customWidth="1"/>
    <col min="4" max="4" width="17.42578125" style="62" customWidth="1"/>
    <col min="5" max="5" width="28" style="67" customWidth="1"/>
    <col min="6" max="6" width="30.5703125" style="63" customWidth="1"/>
    <col min="7" max="7" width="25.28515625" style="68" customWidth="1"/>
    <col min="8" max="8" width="22.85546875" style="62" customWidth="1"/>
    <col min="9" max="9" width="34" style="62" customWidth="1"/>
    <col min="10" max="10" width="20.28515625" style="358" customWidth="1"/>
    <col min="11" max="11" width="34.5703125" style="63" customWidth="1"/>
    <col min="12" max="12" width="14.140625" style="62" customWidth="1"/>
    <col min="13" max="13" width="38.7109375" style="62" customWidth="1"/>
    <col min="14" max="14" width="18.5703125" style="62" bestFit="1" customWidth="1"/>
    <col min="15" max="15" width="20.85546875" style="62" bestFit="1" customWidth="1"/>
    <col min="16" max="16" width="18.85546875" style="62" customWidth="1"/>
    <col min="17" max="17" width="32.7109375" style="65" customWidth="1"/>
    <col min="18" max="18" width="20" style="581" customWidth="1"/>
    <col min="19" max="19" width="29.140625" style="66" customWidth="1"/>
    <col min="20" max="20" width="13.5703125" style="62" customWidth="1"/>
    <col min="21" max="21" width="32" style="65" customWidth="1"/>
    <col min="22" max="22" width="16.28515625" style="771" customWidth="1"/>
    <col min="23" max="23" width="23.85546875" style="66" customWidth="1"/>
    <col min="24" max="24" width="23.85546875" style="66" hidden="1" customWidth="1"/>
    <col min="25" max="25" width="17.5703125" style="486" bestFit="1" customWidth="1"/>
    <col min="26" max="26" width="31.28515625" style="486" customWidth="1"/>
    <col min="27" max="27" width="20.42578125" style="486" customWidth="1"/>
    <col min="28" max="28" width="14.85546875" style="62" bestFit="1" customWidth="1"/>
    <col min="29" max="30" width="11.42578125" style="62"/>
    <col min="31" max="31" width="16.42578125" style="62" customWidth="1"/>
    <col min="32" max="16384" width="11.42578125" style="62"/>
  </cols>
  <sheetData>
    <row r="1" spans="1:31" s="236" customFormat="1" ht="54" customHeight="1" thickBot="1">
      <c r="A1" s="811" t="s">
        <v>513</v>
      </c>
      <c r="B1" s="812"/>
      <c r="C1" s="812"/>
      <c r="D1" s="812"/>
      <c r="E1" s="812"/>
      <c r="F1" s="812"/>
      <c r="G1" s="812"/>
      <c r="H1" s="812"/>
      <c r="I1" s="812"/>
      <c r="J1" s="812"/>
      <c r="K1" s="812"/>
      <c r="L1" s="812"/>
      <c r="M1" s="812"/>
      <c r="N1" s="812"/>
      <c r="O1" s="812"/>
      <c r="P1" s="812"/>
      <c r="Q1" s="812"/>
      <c r="R1" s="812"/>
      <c r="S1" s="812"/>
      <c r="T1" s="812"/>
      <c r="U1" s="812"/>
      <c r="V1" s="812"/>
      <c r="W1" s="813"/>
      <c r="X1" s="741"/>
      <c r="Y1" s="485"/>
      <c r="Z1" s="485"/>
      <c r="AA1" s="485"/>
    </row>
    <row r="2" spans="1:31" s="61" customFormat="1" ht="11.25" customHeight="1" thickBot="1">
      <c r="A2" s="814"/>
      <c r="B2" s="815"/>
      <c r="C2" s="815"/>
      <c r="D2" s="815"/>
      <c r="E2" s="815"/>
      <c r="F2" s="815"/>
      <c r="G2" s="815"/>
      <c r="H2" s="815"/>
      <c r="I2" s="815"/>
      <c r="J2" s="815"/>
      <c r="K2" s="815"/>
      <c r="L2" s="815"/>
      <c r="M2" s="815"/>
      <c r="N2" s="815"/>
      <c r="O2" s="815"/>
      <c r="P2" s="815"/>
      <c r="Q2" s="815"/>
      <c r="R2" s="815"/>
      <c r="S2" s="815"/>
      <c r="T2" s="815"/>
      <c r="U2" s="815"/>
      <c r="V2" s="764"/>
      <c r="W2" s="170"/>
      <c r="X2" s="170"/>
      <c r="Y2" s="485"/>
      <c r="Z2" s="485"/>
      <c r="AA2" s="485"/>
    </row>
    <row r="3" spans="1:31" ht="50.25" customHeight="1">
      <c r="A3" s="820" t="s">
        <v>393</v>
      </c>
      <c r="B3" s="270" t="s">
        <v>182</v>
      </c>
      <c r="C3" s="816" t="s">
        <v>483</v>
      </c>
      <c r="D3" s="817"/>
      <c r="E3" s="818"/>
      <c r="F3" s="816" t="s">
        <v>350</v>
      </c>
      <c r="G3" s="818"/>
      <c r="H3" s="816" t="s">
        <v>351</v>
      </c>
      <c r="I3" s="818"/>
      <c r="J3" s="816" t="s">
        <v>352</v>
      </c>
      <c r="K3" s="818"/>
      <c r="L3" s="816" t="s">
        <v>353</v>
      </c>
      <c r="M3" s="818"/>
      <c r="N3" s="816" t="s">
        <v>354</v>
      </c>
      <c r="O3" s="818"/>
      <c r="P3" s="816" t="s">
        <v>355</v>
      </c>
      <c r="Q3" s="818"/>
      <c r="R3" s="816" t="s">
        <v>356</v>
      </c>
      <c r="S3" s="818"/>
      <c r="T3" s="816" t="s">
        <v>357</v>
      </c>
      <c r="U3" s="818"/>
      <c r="V3" s="816" t="s">
        <v>358</v>
      </c>
      <c r="W3" s="819"/>
      <c r="X3" s="742"/>
    </row>
    <row r="4" spans="1:31" s="63" customFormat="1" ht="54.75" customHeight="1" thickBot="1">
      <c r="A4" s="821"/>
      <c r="B4" s="271"/>
      <c r="C4" s="171" t="s">
        <v>95</v>
      </c>
      <c r="D4" s="248" t="s">
        <v>183</v>
      </c>
      <c r="E4" s="249" t="s">
        <v>184</v>
      </c>
      <c r="F4" s="248" t="s">
        <v>185</v>
      </c>
      <c r="G4" s="249" t="s">
        <v>184</v>
      </c>
      <c r="H4" s="171" t="s">
        <v>183</v>
      </c>
      <c r="I4" s="171" t="s">
        <v>184</v>
      </c>
      <c r="J4" s="360" t="s">
        <v>185</v>
      </c>
      <c r="K4" s="171" t="s">
        <v>184</v>
      </c>
      <c r="L4" s="171"/>
      <c r="M4" s="171" t="s">
        <v>184</v>
      </c>
      <c r="N4" s="171" t="s">
        <v>185</v>
      </c>
      <c r="O4" s="171" t="s">
        <v>184</v>
      </c>
      <c r="P4" s="171" t="s">
        <v>185</v>
      </c>
      <c r="Q4" s="217" t="s">
        <v>184</v>
      </c>
      <c r="R4" s="171" t="s">
        <v>185</v>
      </c>
      <c r="S4" s="171" t="s">
        <v>184</v>
      </c>
      <c r="T4" s="171" t="s">
        <v>185</v>
      </c>
      <c r="U4" s="217" t="s">
        <v>184</v>
      </c>
      <c r="V4" s="222" t="s">
        <v>185</v>
      </c>
      <c r="W4" s="219" t="s">
        <v>184</v>
      </c>
      <c r="X4" s="743"/>
      <c r="Y4" s="487"/>
      <c r="Z4" s="487"/>
      <c r="AA4" s="487"/>
    </row>
    <row r="5" spans="1:31" ht="53.25" customHeight="1" thickBot="1">
      <c r="A5" s="305" t="s">
        <v>348</v>
      </c>
      <c r="B5" s="316"/>
      <c r="C5" s="316"/>
      <c r="D5" s="316"/>
      <c r="E5" s="317">
        <f>+E6+E19+E30</f>
        <v>50080413184.8088</v>
      </c>
      <c r="F5" s="675"/>
      <c r="G5" s="318">
        <f>+G6+G19+G30</f>
        <v>49471615785.313004</v>
      </c>
      <c r="H5" s="316"/>
      <c r="I5" s="318">
        <f>+I6+I19+I30</f>
        <v>14485104118</v>
      </c>
      <c r="J5" s="340"/>
      <c r="K5" s="319">
        <f>+K6+K19+K30</f>
        <v>14440329809</v>
      </c>
      <c r="L5" s="318"/>
      <c r="M5" s="318">
        <f>+M6+M19+M30</f>
        <v>13370504259</v>
      </c>
      <c r="N5" s="318">
        <f t="shared" ref="N5:W5" si="0">+N6+N19+N30</f>
        <v>0</v>
      </c>
      <c r="O5" s="318">
        <f t="shared" si="0"/>
        <v>12888876940</v>
      </c>
      <c r="P5" s="318">
        <f t="shared" si="0"/>
        <v>0</v>
      </c>
      <c r="Q5" s="318">
        <f>+Q6+Q19+Q30</f>
        <v>11913254867.184801</v>
      </c>
      <c r="R5" s="319"/>
      <c r="S5" s="318">
        <f t="shared" si="0"/>
        <v>11913254867.197001</v>
      </c>
      <c r="T5" s="318">
        <f t="shared" si="0"/>
        <v>0</v>
      </c>
      <c r="U5" s="318">
        <f t="shared" si="0"/>
        <v>10311549938.624001</v>
      </c>
      <c r="V5" s="319"/>
      <c r="W5" s="318">
        <f t="shared" si="0"/>
        <v>10229154169.116001</v>
      </c>
      <c r="X5" s="484"/>
      <c r="Y5" s="494"/>
    </row>
    <row r="6" spans="1:31" ht="81.75" customHeight="1">
      <c r="A6" s="296" t="s">
        <v>506</v>
      </c>
      <c r="B6" s="179"/>
      <c r="C6" s="312"/>
      <c r="D6" s="313"/>
      <c r="E6" s="314">
        <f>SUM(E7:E18)</f>
        <v>12386526354</v>
      </c>
      <c r="F6" s="315"/>
      <c r="G6" s="374">
        <f>SUM(G7:G18)</f>
        <v>12357775630.595999</v>
      </c>
      <c r="H6" s="314"/>
      <c r="I6" s="314">
        <f>SUM(I7:I18)</f>
        <v>4770303616</v>
      </c>
      <c r="J6" s="359"/>
      <c r="K6" s="364">
        <f>SUM(K8:K18)</f>
        <v>4770303616</v>
      </c>
      <c r="L6" s="315"/>
      <c r="M6" s="482">
        <f>SUM(M7:M18)</f>
        <v>2186699473</v>
      </c>
      <c r="N6" s="495"/>
      <c r="O6" s="314">
        <f>SUM(O7:O18)</f>
        <v>2186699573</v>
      </c>
      <c r="P6" s="314"/>
      <c r="Q6" s="314">
        <f>SUM(Q7:Q18)</f>
        <v>3702189782</v>
      </c>
      <c r="R6" s="315"/>
      <c r="S6" s="314">
        <f>SUM(S7:S18)</f>
        <v>3702189782</v>
      </c>
      <c r="T6" s="314"/>
      <c r="U6" s="600">
        <f t="shared" ref="U6" si="1">SUM(U7:U18)</f>
        <v>1727333482</v>
      </c>
      <c r="V6" s="765"/>
      <c r="W6" s="600">
        <f>SUM(W7:W18)</f>
        <v>1698582659.596</v>
      </c>
      <c r="X6" s="744"/>
      <c r="Y6" s="488"/>
      <c r="AE6" s="64"/>
    </row>
    <row r="7" spans="1:31" ht="81.75" customHeight="1">
      <c r="A7" s="237" t="s">
        <v>364</v>
      </c>
      <c r="B7" s="210" t="s">
        <v>188</v>
      </c>
      <c r="C7" s="178" t="s">
        <v>402</v>
      </c>
      <c r="D7" s="242">
        <f>AVERAGE(H7,L7,P7,T7)</f>
        <v>25</v>
      </c>
      <c r="E7" s="289">
        <v>0</v>
      </c>
      <c r="F7" s="304">
        <f>AVERAGE(J7,N7,R7,V7)</f>
        <v>25</v>
      </c>
      <c r="G7" s="62"/>
      <c r="H7" s="256">
        <v>60</v>
      </c>
      <c r="I7" s="792"/>
      <c r="J7" s="341">
        <v>60</v>
      </c>
      <c r="L7" s="261">
        <v>26</v>
      </c>
      <c r="M7" s="782">
        <v>0</v>
      </c>
      <c r="N7" s="512">
        <v>26</v>
      </c>
      <c r="O7" s="72">
        <v>0</v>
      </c>
      <c r="P7" s="259">
        <v>0</v>
      </c>
      <c r="Q7" s="797">
        <v>0</v>
      </c>
      <c r="R7" s="209">
        <v>0</v>
      </c>
      <c r="S7" s="72">
        <v>0</v>
      </c>
      <c r="T7" s="269">
        <v>14</v>
      </c>
      <c r="U7" s="72">
        <v>0</v>
      </c>
      <c r="V7" s="225">
        <v>14</v>
      </c>
      <c r="W7" s="220">
        <v>0</v>
      </c>
      <c r="X7" s="255"/>
      <c r="Y7" s="488"/>
      <c r="AE7" s="64"/>
    </row>
    <row r="8" spans="1:31" ht="81.75" customHeight="1">
      <c r="A8" s="320" t="s">
        <v>368</v>
      </c>
      <c r="B8" s="177" t="s">
        <v>188</v>
      </c>
      <c r="C8" s="73" t="s">
        <v>127</v>
      </c>
      <c r="D8" s="242">
        <f>AVERAGE(H8,L8,P8,T8)</f>
        <v>2.25</v>
      </c>
      <c r="E8" s="72">
        <f>+I8+M8+Q8+U8</f>
        <v>834632289</v>
      </c>
      <c r="F8" s="304">
        <f>AVERAGE(J8,N8,R8,V8)</f>
        <v>2.25</v>
      </c>
      <c r="G8" s="72">
        <f>+K8+O8+S8+W8</f>
        <v>834632289</v>
      </c>
      <c r="H8" s="256">
        <v>3</v>
      </c>
      <c r="I8" s="793">
        <v>585239009</v>
      </c>
      <c r="J8" s="342">
        <v>3</v>
      </c>
      <c r="K8" s="361">
        <v>585239009</v>
      </c>
      <c r="L8" s="263">
        <v>5</v>
      </c>
      <c r="M8" s="783">
        <v>99993280</v>
      </c>
      <c r="N8" s="517">
        <v>5</v>
      </c>
      <c r="O8" s="72">
        <v>99993280</v>
      </c>
      <c r="P8" s="259">
        <v>0</v>
      </c>
      <c r="Q8" s="797">
        <v>149400000</v>
      </c>
      <c r="R8" s="209">
        <v>0</v>
      </c>
      <c r="S8" s="72">
        <v>149400000</v>
      </c>
      <c r="T8" s="269">
        <v>1</v>
      </c>
      <c r="U8" s="72">
        <v>0</v>
      </c>
      <c r="V8" s="225">
        <v>1</v>
      </c>
      <c r="W8" s="220">
        <v>0</v>
      </c>
      <c r="X8" s="255"/>
      <c r="Y8" s="488"/>
      <c r="AA8" s="498"/>
      <c r="AE8" s="64"/>
    </row>
    <row r="9" spans="1:31" ht="81.75" customHeight="1">
      <c r="A9" s="321" t="s">
        <v>361</v>
      </c>
      <c r="B9" s="177" t="s">
        <v>188</v>
      </c>
      <c r="C9" s="176" t="s">
        <v>402</v>
      </c>
      <c r="D9" s="242">
        <f t="shared" ref="D9" si="2">AVERAGE(H9,L9,P9,T9)</f>
        <v>65</v>
      </c>
      <c r="E9" s="72">
        <f>+I9+M9+Q9+U9</f>
        <v>0</v>
      </c>
      <c r="F9" s="209">
        <f>AVERAGE(J9,N9,R9,V9)</f>
        <v>65</v>
      </c>
      <c r="G9" s="72">
        <f t="shared" ref="G9:G15" si="3">+K9+O9+S9+W9</f>
        <v>0</v>
      </c>
      <c r="H9" s="259">
        <v>30</v>
      </c>
      <c r="I9" s="794">
        <v>0</v>
      </c>
      <c r="J9" s="342">
        <v>30</v>
      </c>
      <c r="K9" s="306">
        <v>0</v>
      </c>
      <c r="L9" s="259">
        <v>50</v>
      </c>
      <c r="M9" s="783">
        <v>0</v>
      </c>
      <c r="N9" s="517">
        <v>50</v>
      </c>
      <c r="O9" s="72">
        <v>0</v>
      </c>
      <c r="P9" s="259">
        <v>80</v>
      </c>
      <c r="Q9" s="797">
        <v>0</v>
      </c>
      <c r="R9" s="209">
        <v>80</v>
      </c>
      <c r="S9" s="72">
        <v>0</v>
      </c>
      <c r="T9" s="269">
        <v>100</v>
      </c>
      <c r="U9" s="72">
        <v>0</v>
      </c>
      <c r="V9" s="225">
        <v>100</v>
      </c>
      <c r="W9" s="220">
        <v>0</v>
      </c>
      <c r="X9" s="255"/>
      <c r="Y9" s="486">
        <f>+P9*0.6</f>
        <v>48</v>
      </c>
      <c r="AE9" s="64"/>
    </row>
    <row r="10" spans="1:31" ht="81.75" customHeight="1">
      <c r="A10" s="322" t="s">
        <v>361</v>
      </c>
      <c r="B10" s="177" t="s">
        <v>186</v>
      </c>
      <c r="C10" s="73" t="s">
        <v>132</v>
      </c>
      <c r="D10" s="242">
        <f>+H10+L10+P10+T10</f>
        <v>10</v>
      </c>
      <c r="E10" s="72">
        <f>+I10+M10+Q10+U10</f>
        <v>1547556715</v>
      </c>
      <c r="F10" s="209">
        <f>+J10+N10+R10+V10</f>
        <v>10</v>
      </c>
      <c r="G10" s="72">
        <f t="shared" si="3"/>
        <v>1547556715</v>
      </c>
      <c r="H10" s="259">
        <v>3</v>
      </c>
      <c r="I10" s="794">
        <v>497990024</v>
      </c>
      <c r="J10" s="342">
        <v>3</v>
      </c>
      <c r="K10" s="362">
        <v>497990024</v>
      </c>
      <c r="L10" s="259">
        <v>2</v>
      </c>
      <c r="M10" s="783">
        <v>649793920</v>
      </c>
      <c r="N10" s="517">
        <v>2</v>
      </c>
      <c r="O10" s="72">
        <v>649793920</v>
      </c>
      <c r="P10" s="259">
        <v>3</v>
      </c>
      <c r="Q10" s="797">
        <v>399772771</v>
      </c>
      <c r="R10" s="590">
        <v>3</v>
      </c>
      <c r="S10" s="72">
        <v>399772771</v>
      </c>
      <c r="T10" s="269">
        <v>2</v>
      </c>
      <c r="U10" s="72">
        <v>0</v>
      </c>
      <c r="V10" s="225">
        <v>2</v>
      </c>
      <c r="W10" s="220">
        <v>0</v>
      </c>
      <c r="X10" s="255"/>
      <c r="Y10" s="486">
        <f>+R10/P10*100</f>
        <v>100</v>
      </c>
      <c r="AE10" s="64"/>
    </row>
    <row r="11" spans="1:31" ht="87" customHeight="1">
      <c r="A11" s="323" t="s">
        <v>366</v>
      </c>
      <c r="B11" s="173" t="s">
        <v>188</v>
      </c>
      <c r="C11" s="174" t="s">
        <v>1</v>
      </c>
      <c r="D11" s="242">
        <v>100</v>
      </c>
      <c r="E11" s="805">
        <f>+I11+M11+Q11+U11+100</f>
        <v>0</v>
      </c>
      <c r="F11" s="727">
        <f>AVERAGE(J11,N11,R11,V11)+R11+J11+8+1</f>
        <v>92.75</v>
      </c>
      <c r="G11" s="72">
        <f t="shared" si="3"/>
        <v>0</v>
      </c>
      <c r="H11" s="260">
        <v>17</v>
      </c>
      <c r="I11" s="794">
        <v>0</v>
      </c>
      <c r="J11" s="342">
        <v>17</v>
      </c>
      <c r="K11" s="365"/>
      <c r="L11" s="263">
        <v>34</v>
      </c>
      <c r="M11" s="784">
        <v>-100</v>
      </c>
      <c r="N11" s="517">
        <v>0</v>
      </c>
      <c r="O11" s="72">
        <v>0</v>
      </c>
      <c r="P11" s="263">
        <v>30</v>
      </c>
      <c r="Q11" s="797">
        <v>0</v>
      </c>
      <c r="R11" s="209">
        <v>30</v>
      </c>
      <c r="S11" s="72">
        <v>0</v>
      </c>
      <c r="T11" s="263">
        <v>100</v>
      </c>
      <c r="U11" s="72">
        <v>0</v>
      </c>
      <c r="V11" s="763">
        <v>100</v>
      </c>
      <c r="W11" s="220">
        <v>0</v>
      </c>
      <c r="X11" s="255"/>
      <c r="AE11" s="64"/>
    </row>
    <row r="12" spans="1:31" ht="93.75" customHeight="1">
      <c r="A12" s="320" t="s">
        <v>365</v>
      </c>
      <c r="B12" s="173" t="s">
        <v>188</v>
      </c>
      <c r="C12" s="174" t="s">
        <v>132</v>
      </c>
      <c r="D12" s="242">
        <v>3</v>
      </c>
      <c r="E12" s="72">
        <f>+I12+M12+Q12+U12-100</f>
        <v>4101907065</v>
      </c>
      <c r="F12" s="728">
        <f>AVERAGE(J12,N12,R12,V12)+J12+R12+J12-0.2</f>
        <v>2.8</v>
      </c>
      <c r="G12" s="72">
        <f t="shared" si="3"/>
        <v>4101182466.1079998</v>
      </c>
      <c r="H12" s="260">
        <v>0.5</v>
      </c>
      <c r="I12" s="794">
        <v>1517228834</v>
      </c>
      <c r="J12" s="369">
        <v>0.5</v>
      </c>
      <c r="K12" s="362">
        <v>1517228834</v>
      </c>
      <c r="L12" s="263">
        <v>1</v>
      </c>
      <c r="M12" s="783">
        <v>354924827</v>
      </c>
      <c r="N12" s="511">
        <v>0</v>
      </c>
      <c r="O12" s="72">
        <v>354924827</v>
      </c>
      <c r="P12" s="587">
        <v>0.9</v>
      </c>
      <c r="Q12" s="797">
        <v>1998753504</v>
      </c>
      <c r="R12" s="590">
        <v>0.9</v>
      </c>
      <c r="S12" s="72">
        <v>1998753504</v>
      </c>
      <c r="T12" s="263">
        <v>3</v>
      </c>
      <c r="U12" s="72">
        <v>231000000</v>
      </c>
      <c r="V12" s="763">
        <v>3</v>
      </c>
      <c r="W12" s="220">
        <v>230275301.10799998</v>
      </c>
      <c r="X12" s="255"/>
      <c r="Z12" s="486">
        <f>3*0.95</f>
        <v>2.8499999999999996</v>
      </c>
      <c r="AE12" s="64"/>
    </row>
    <row r="13" spans="1:31" ht="81.75" customHeight="1">
      <c r="A13" s="244" t="s">
        <v>367</v>
      </c>
      <c r="B13" s="173" t="s">
        <v>188</v>
      </c>
      <c r="C13" s="260" t="s">
        <v>1</v>
      </c>
      <c r="D13" s="242">
        <v>100</v>
      </c>
      <c r="E13" s="72">
        <f t="shared" ref="E13:E18" si="4">+I13+M13+Q13+U13</f>
        <v>0</v>
      </c>
      <c r="F13" s="242">
        <f>+J13+N13+R13+V13</f>
        <v>100</v>
      </c>
      <c r="G13" s="72">
        <f t="shared" si="3"/>
        <v>0</v>
      </c>
      <c r="H13" s="260">
        <v>60</v>
      </c>
      <c r="I13" s="794">
        <v>0</v>
      </c>
      <c r="J13" s="342">
        <v>60</v>
      </c>
      <c r="K13" s="362">
        <v>0</v>
      </c>
      <c r="L13" s="263">
        <v>40</v>
      </c>
      <c r="M13" s="783">
        <v>0</v>
      </c>
      <c r="N13" s="339">
        <v>40</v>
      </c>
      <c r="O13" s="72">
        <v>0</v>
      </c>
      <c r="P13" s="263">
        <v>0</v>
      </c>
      <c r="Q13" s="797">
        <v>0</v>
      </c>
      <c r="R13" s="209">
        <v>0</v>
      </c>
      <c r="S13" s="72">
        <v>0</v>
      </c>
      <c r="T13" s="263">
        <v>0</v>
      </c>
      <c r="U13" s="72">
        <v>0</v>
      </c>
      <c r="V13" s="71">
        <v>0</v>
      </c>
      <c r="W13" s="220">
        <v>0</v>
      </c>
      <c r="X13" s="255"/>
      <c r="AE13" s="64"/>
    </row>
    <row r="14" spans="1:31" ht="81.75" customHeight="1">
      <c r="A14" s="299" t="s">
        <v>369</v>
      </c>
      <c r="B14" s="177" t="s">
        <v>186</v>
      </c>
      <c r="C14" s="258" t="s">
        <v>378</v>
      </c>
      <c r="D14" s="242">
        <f>+H14+L14+P14+T14</f>
        <v>6</v>
      </c>
      <c r="E14" s="72">
        <f t="shared" si="4"/>
        <v>166990717</v>
      </c>
      <c r="F14" s="242">
        <f>+J14+N14+R14+V14</f>
        <v>6</v>
      </c>
      <c r="G14" s="72">
        <f t="shared" si="3"/>
        <v>166990717</v>
      </c>
      <c r="H14" s="260">
        <v>0</v>
      </c>
      <c r="I14" s="794">
        <v>147411261</v>
      </c>
      <c r="J14" s="343">
        <v>0</v>
      </c>
      <c r="K14" s="370">
        <v>147411261</v>
      </c>
      <c r="L14" s="500">
        <v>6</v>
      </c>
      <c r="M14" s="785">
        <v>19579456</v>
      </c>
      <c r="N14" s="501">
        <v>6</v>
      </c>
      <c r="O14" s="242">
        <v>19579456</v>
      </c>
      <c r="P14" s="260">
        <v>0</v>
      </c>
      <c r="Q14" s="801">
        <v>0</v>
      </c>
      <c r="R14" s="242">
        <v>0</v>
      </c>
      <c r="S14" s="242">
        <v>0</v>
      </c>
      <c r="T14" s="260">
        <v>0</v>
      </c>
      <c r="U14" s="175">
        <v>0</v>
      </c>
      <c r="V14" s="242">
        <v>0</v>
      </c>
      <c r="W14" s="220">
        <v>0</v>
      </c>
      <c r="X14" s="255"/>
      <c r="AE14" s="64"/>
    </row>
    <row r="15" spans="1:31" ht="81.75" customHeight="1">
      <c r="A15" s="282" t="s">
        <v>363</v>
      </c>
      <c r="B15" s="177" t="s">
        <v>188</v>
      </c>
      <c r="C15" s="209" t="s">
        <v>377</v>
      </c>
      <c r="D15" s="242">
        <f>AVERAGE(H15,L15,P15,T15)</f>
        <v>1</v>
      </c>
      <c r="E15" s="72">
        <f t="shared" si="4"/>
        <v>782754904</v>
      </c>
      <c r="F15" s="209">
        <f>AVERAGE(J15,N15,R15,V15)</f>
        <v>1</v>
      </c>
      <c r="G15" s="72">
        <f t="shared" si="3"/>
        <v>782742904</v>
      </c>
      <c r="H15" s="273">
        <v>1</v>
      </c>
      <c r="I15" s="589">
        <v>102678852</v>
      </c>
      <c r="J15" s="344">
        <v>1</v>
      </c>
      <c r="K15" s="363">
        <v>102678852</v>
      </c>
      <c r="L15" s="263">
        <v>1</v>
      </c>
      <c r="M15" s="783">
        <v>259998852</v>
      </c>
      <c r="N15" s="339">
        <v>1</v>
      </c>
      <c r="O15" s="72">
        <v>259998852</v>
      </c>
      <c r="P15" s="263">
        <v>1</v>
      </c>
      <c r="Q15" s="797">
        <v>169977200</v>
      </c>
      <c r="R15" s="575">
        <v>1</v>
      </c>
      <c r="S15" s="72">
        <v>169977200</v>
      </c>
      <c r="T15" s="263">
        <v>1</v>
      </c>
      <c r="U15" s="592">
        <v>250100000</v>
      </c>
      <c r="V15" s="242">
        <v>1</v>
      </c>
      <c r="W15" s="689">
        <v>250088000</v>
      </c>
      <c r="X15" s="255"/>
      <c r="AE15" s="64"/>
    </row>
    <row r="16" spans="1:31" ht="81.75" customHeight="1">
      <c r="A16" s="282" t="s">
        <v>370</v>
      </c>
      <c r="B16" s="177" t="s">
        <v>188</v>
      </c>
      <c r="C16" s="209" t="s">
        <v>492</v>
      </c>
      <c r="D16" s="242">
        <f>AVERAGE(H16,L16,P16,T16)</f>
        <v>37</v>
      </c>
      <c r="E16" s="72">
        <f>+I16+M16+Q16+U16+1</f>
        <v>3442998455</v>
      </c>
      <c r="F16" s="209">
        <f>AVERAGE(J16,N16,R16,V16)</f>
        <v>37</v>
      </c>
      <c r="G16" s="72">
        <f>+K16+O16+S16+W16</f>
        <v>3415001729.744</v>
      </c>
      <c r="H16" s="273">
        <v>37</v>
      </c>
      <c r="I16" s="589">
        <v>871587445</v>
      </c>
      <c r="J16" s="344">
        <v>37</v>
      </c>
      <c r="K16" s="363">
        <v>871587445</v>
      </c>
      <c r="L16" s="263">
        <v>37</v>
      </c>
      <c r="M16" s="783">
        <v>802409238</v>
      </c>
      <c r="N16" s="339">
        <v>37</v>
      </c>
      <c r="O16" s="72">
        <v>802409238</v>
      </c>
      <c r="P16" s="263">
        <v>37</v>
      </c>
      <c r="Q16" s="802">
        <v>734450533</v>
      </c>
      <c r="R16" s="209">
        <v>37</v>
      </c>
      <c r="S16" s="72">
        <v>734450533</v>
      </c>
      <c r="T16" s="263">
        <v>37</v>
      </c>
      <c r="U16" s="592">
        <v>1034551238</v>
      </c>
      <c r="V16" s="242">
        <v>37</v>
      </c>
      <c r="W16" s="689">
        <v>1006554513.744</v>
      </c>
      <c r="X16" s="255"/>
      <c r="Y16" s="488"/>
      <c r="AE16" s="64"/>
    </row>
    <row r="17" spans="1:27" ht="116.25" customHeight="1">
      <c r="A17" s="299" t="s">
        <v>371</v>
      </c>
      <c r="B17" s="177" t="s">
        <v>186</v>
      </c>
      <c r="C17" s="174" t="s">
        <v>372</v>
      </c>
      <c r="D17" s="242">
        <f>+P17+T17</f>
        <v>13</v>
      </c>
      <c r="E17" s="72">
        <f>+I17+M17+Q17+U17</f>
        <v>566249899</v>
      </c>
      <c r="F17" s="242">
        <f>+R17+V17</f>
        <v>13</v>
      </c>
      <c r="G17" s="72">
        <f>+K17+O17+S17+W17</f>
        <v>566232499.74399996</v>
      </c>
      <c r="H17" s="260">
        <v>5</v>
      </c>
      <c r="I17" s="589">
        <v>146899881</v>
      </c>
      <c r="J17" s="342">
        <v>5</v>
      </c>
      <c r="K17" s="363">
        <v>146899881</v>
      </c>
      <c r="L17" s="263">
        <v>0</v>
      </c>
      <c r="M17" s="784"/>
      <c r="N17" s="339">
        <v>0</v>
      </c>
      <c r="O17" s="72">
        <v>0</v>
      </c>
      <c r="P17" s="263">
        <v>8</v>
      </c>
      <c r="Q17" s="802">
        <v>207667774</v>
      </c>
      <c r="R17" s="209">
        <v>8</v>
      </c>
      <c r="S17" s="72">
        <v>207667774</v>
      </c>
      <c r="T17" s="263">
        <v>5</v>
      </c>
      <c r="U17" s="72">
        <v>211682244</v>
      </c>
      <c r="V17" s="71">
        <v>5</v>
      </c>
      <c r="W17" s="220">
        <v>211664844.74400002</v>
      </c>
      <c r="X17" s="255"/>
      <c r="Y17" s="488"/>
      <c r="AA17" s="489"/>
    </row>
    <row r="18" spans="1:27" ht="116.25" customHeight="1">
      <c r="A18" s="299" t="s">
        <v>373</v>
      </c>
      <c r="B18" s="173" t="s">
        <v>186</v>
      </c>
      <c r="C18" s="238" t="s">
        <v>192</v>
      </c>
      <c r="D18" s="242">
        <f>++H18+L18+P18+T18</f>
        <v>2</v>
      </c>
      <c r="E18" s="72">
        <f t="shared" si="4"/>
        <v>943436310</v>
      </c>
      <c r="F18" s="242">
        <f>+J18+N18+R18+V18</f>
        <v>2</v>
      </c>
      <c r="G18" s="72">
        <f>+K18+O18+S18+W18</f>
        <v>943436310</v>
      </c>
      <c r="H18" s="260">
        <v>0</v>
      </c>
      <c r="I18" s="589">
        <v>901268310</v>
      </c>
      <c r="J18" s="342">
        <v>0</v>
      </c>
      <c r="K18" s="363">
        <v>901268310</v>
      </c>
      <c r="L18" s="263">
        <v>1</v>
      </c>
      <c r="M18" s="783">
        <v>0</v>
      </c>
      <c r="N18" s="339">
        <v>1</v>
      </c>
      <c r="O18" s="72">
        <v>0</v>
      </c>
      <c r="P18" s="263">
        <v>1</v>
      </c>
      <c r="Q18" s="797">
        <v>42168000</v>
      </c>
      <c r="R18" s="590">
        <v>1</v>
      </c>
      <c r="S18" s="72">
        <v>42168000</v>
      </c>
      <c r="T18" s="263">
        <v>0</v>
      </c>
      <c r="U18" s="72">
        <v>0</v>
      </c>
      <c r="V18" s="71">
        <v>0</v>
      </c>
      <c r="W18" s="220">
        <v>0</v>
      </c>
      <c r="X18" s="255"/>
      <c r="Y18" s="488"/>
      <c r="AA18" s="489"/>
    </row>
    <row r="19" spans="1:27" ht="68.25" customHeight="1">
      <c r="A19" s="296" t="s">
        <v>505</v>
      </c>
      <c r="B19" s="179"/>
      <c r="C19" s="180"/>
      <c r="D19" s="181"/>
      <c r="E19" s="182">
        <f>SUM(E20:E29)</f>
        <v>31436715759.320999</v>
      </c>
      <c r="F19" s="183"/>
      <c r="G19" s="182">
        <f>SUM(G20:G29)</f>
        <v>30856715387.717003</v>
      </c>
      <c r="H19" s="261"/>
      <c r="I19" s="378">
        <f>SUM(I20:I29)-1</f>
        <v>7837567295</v>
      </c>
      <c r="J19" s="345"/>
      <c r="K19" s="307">
        <f>SUM(K20:K29)</f>
        <v>7792792986</v>
      </c>
      <c r="L19" s="263"/>
      <c r="M19" s="193">
        <f>SUM(M20:M29)</f>
        <v>9329672677</v>
      </c>
      <c r="N19" s="183"/>
      <c r="O19" s="182">
        <f>SUM(O20:O29)</f>
        <v>8848045258</v>
      </c>
      <c r="P19" s="272"/>
      <c r="Q19" s="182">
        <f>SUM(Q20:Q29)</f>
        <v>6819058251.1970005</v>
      </c>
      <c r="R19" s="307"/>
      <c r="S19" s="182">
        <f>SUM(S20:S29)</f>
        <v>6819058251.1970005</v>
      </c>
      <c r="T19" s="182"/>
      <c r="U19" s="601">
        <f>SUM(U20:U29)</f>
        <v>7450417535.1240005</v>
      </c>
      <c r="V19" s="766"/>
      <c r="W19" s="631">
        <f>SUM(W20:W29)</f>
        <v>7396818892.5200005</v>
      </c>
      <c r="X19" s="744"/>
      <c r="Y19" s="488"/>
      <c r="Z19" s="674">
        <f>+AA19-U19</f>
        <v>-0.57200050354003906</v>
      </c>
      <c r="AA19" s="488">
        <v>7450417534.552</v>
      </c>
    </row>
    <row r="20" spans="1:27" ht="116.25" customHeight="1">
      <c r="A20" s="323" t="s">
        <v>484</v>
      </c>
      <c r="B20" s="274" t="s">
        <v>188</v>
      </c>
      <c r="C20" s="176" t="s">
        <v>179</v>
      </c>
      <c r="D20" s="242">
        <f>AVERAGE(H20,L20,P20,T20)</f>
        <v>100</v>
      </c>
      <c r="E20" s="72">
        <f>+I20+M20+Q20+U20</f>
        <v>0</v>
      </c>
      <c r="F20" s="242">
        <f>AVERAGE(H20,L20,P20,T20)</f>
        <v>100</v>
      </c>
      <c r="G20" s="72">
        <f t="shared" ref="G20:G29" si="5">+K20+O20+S20+W20</f>
        <v>0</v>
      </c>
      <c r="H20" s="260">
        <v>100</v>
      </c>
      <c r="I20" s="795"/>
      <c r="J20" s="339">
        <v>100</v>
      </c>
      <c r="K20" s="209"/>
      <c r="L20" s="263">
        <v>100</v>
      </c>
      <c r="M20" s="783">
        <v>0</v>
      </c>
      <c r="N20" s="339">
        <v>100</v>
      </c>
      <c r="O20" s="72"/>
      <c r="P20" s="263">
        <v>100</v>
      </c>
      <c r="Q20" s="589"/>
      <c r="R20" s="209">
        <v>100</v>
      </c>
      <c r="S20" s="72">
        <v>0</v>
      </c>
      <c r="T20" s="263">
        <v>100</v>
      </c>
      <c r="U20" s="589"/>
      <c r="V20" s="71">
        <v>100</v>
      </c>
      <c r="W20" s="220"/>
      <c r="X20" s="255"/>
      <c r="Y20" s="488">
        <f>0.8*100</f>
        <v>80</v>
      </c>
      <c r="Z20" s="488"/>
      <c r="AA20" s="488"/>
    </row>
    <row r="21" spans="1:27" ht="116.25" customHeight="1">
      <c r="A21" s="320" t="s">
        <v>485</v>
      </c>
      <c r="B21" s="173" t="s">
        <v>188</v>
      </c>
      <c r="C21" s="238" t="s">
        <v>486</v>
      </c>
      <c r="D21" s="242">
        <v>5</v>
      </c>
      <c r="E21" s="72">
        <f>+I21+M21+Q21+U21</f>
        <v>15044153969.360001</v>
      </c>
      <c r="F21" s="242">
        <v>5</v>
      </c>
      <c r="G21" s="72">
        <f t="shared" si="5"/>
        <v>14960665796.544001</v>
      </c>
      <c r="H21" s="260">
        <v>3</v>
      </c>
      <c r="I21" s="795">
        <v>2714204176</v>
      </c>
      <c r="J21" s="339">
        <v>3</v>
      </c>
      <c r="K21" s="209">
        <v>2714204176</v>
      </c>
      <c r="L21" s="263">
        <v>3</v>
      </c>
      <c r="M21" s="783">
        <v>3986763644</v>
      </c>
      <c r="N21" s="339">
        <v>3</v>
      </c>
      <c r="O21" s="72">
        <v>3941311330</v>
      </c>
      <c r="P21" s="263">
        <v>3</v>
      </c>
      <c r="Q21" s="589">
        <v>3759539284.3600001</v>
      </c>
      <c r="R21" s="209">
        <v>3</v>
      </c>
      <c r="S21" s="72">
        <v>3759539284.3600001</v>
      </c>
      <c r="T21" s="263">
        <v>5</v>
      </c>
      <c r="U21" s="786">
        <v>4583646865</v>
      </c>
      <c r="V21" s="71">
        <v>5</v>
      </c>
      <c r="W21" s="772">
        <v>4545611006.184</v>
      </c>
      <c r="X21" s="745"/>
      <c r="Y21" s="661">
        <v>4</v>
      </c>
      <c r="AA21" s="489"/>
    </row>
    <row r="22" spans="1:27" ht="68.25" customHeight="1">
      <c r="A22" s="323" t="s">
        <v>374</v>
      </c>
      <c r="B22" s="173" t="s">
        <v>186</v>
      </c>
      <c r="C22" s="176" t="s">
        <v>402</v>
      </c>
      <c r="D22" s="242">
        <f>++H22+L22+P22+T22</f>
        <v>100</v>
      </c>
      <c r="E22" s="72">
        <f t="shared" ref="E22:E29" si="6">+I22+M22+Q22+U22</f>
        <v>0</v>
      </c>
      <c r="F22" s="242">
        <f>+J22+N22+R22+V22</f>
        <v>100</v>
      </c>
      <c r="G22" s="72">
        <f t="shared" si="5"/>
        <v>0</v>
      </c>
      <c r="H22" s="262">
        <v>0</v>
      </c>
      <c r="I22" s="795">
        <v>0</v>
      </c>
      <c r="J22" s="339">
        <v>0</v>
      </c>
      <c r="K22" s="209">
        <v>0</v>
      </c>
      <c r="L22" s="263">
        <v>50</v>
      </c>
      <c r="M22" s="783">
        <v>0</v>
      </c>
      <c r="N22" s="339">
        <v>50</v>
      </c>
      <c r="O22" s="72">
        <v>0</v>
      </c>
      <c r="P22" s="263">
        <v>25</v>
      </c>
      <c r="Q22" s="589">
        <v>0</v>
      </c>
      <c r="R22" s="209">
        <v>25</v>
      </c>
      <c r="S22" s="72">
        <v>0</v>
      </c>
      <c r="T22" s="263">
        <v>25</v>
      </c>
      <c r="U22" s="589"/>
      <c r="V22" s="225">
        <v>25</v>
      </c>
      <c r="W22" s="220">
        <v>0</v>
      </c>
      <c r="X22" s="255"/>
    </row>
    <row r="23" spans="1:27" ht="68.25" customHeight="1">
      <c r="A23" s="239" t="s">
        <v>349</v>
      </c>
      <c r="B23" s="173" t="s">
        <v>186</v>
      </c>
      <c r="C23" s="184" t="s">
        <v>453</v>
      </c>
      <c r="D23" s="275">
        <f>+H23+L23+P23+T23</f>
        <v>400</v>
      </c>
      <c r="E23" s="72">
        <f>+I23+M23+Q23+U23</f>
        <v>759170561</v>
      </c>
      <c r="F23" s="242">
        <f>+J23+N23+R23+V23</f>
        <v>461.7</v>
      </c>
      <c r="G23" s="72">
        <f t="shared" si="5"/>
        <v>734846432.704</v>
      </c>
      <c r="H23" s="262">
        <v>0</v>
      </c>
      <c r="I23" s="795">
        <v>198668508</v>
      </c>
      <c r="J23" s="339">
        <v>0</v>
      </c>
      <c r="K23" s="209">
        <v>198668508</v>
      </c>
      <c r="L23" s="263">
        <v>200</v>
      </c>
      <c r="M23" s="783">
        <v>227193657</v>
      </c>
      <c r="N23" s="339">
        <v>200</v>
      </c>
      <c r="O23" s="72">
        <v>202879535</v>
      </c>
      <c r="P23" s="263">
        <v>100</v>
      </c>
      <c r="Q23" s="589">
        <v>130131060</v>
      </c>
      <c r="R23" s="209">
        <v>100</v>
      </c>
      <c r="S23" s="72">
        <v>130131060</v>
      </c>
      <c r="T23" s="263">
        <v>100</v>
      </c>
      <c r="U23" s="589">
        <v>203177336</v>
      </c>
      <c r="V23" s="599">
        <v>161.69999999999999</v>
      </c>
      <c r="W23" s="220">
        <v>203167329.704</v>
      </c>
      <c r="X23" s="255"/>
    </row>
    <row r="24" spans="1:27" ht="68.25" customHeight="1">
      <c r="A24" s="300" t="s">
        <v>525</v>
      </c>
      <c r="B24" s="218" t="s">
        <v>186</v>
      </c>
      <c r="C24" s="185" t="s">
        <v>453</v>
      </c>
      <c r="D24" s="275">
        <f>+H24+L24+P24+T24</f>
        <v>100</v>
      </c>
      <c r="E24" s="72">
        <f t="shared" si="6"/>
        <v>1248578830</v>
      </c>
      <c r="F24" s="242">
        <f>+J24+N24+R24+V24</f>
        <v>117</v>
      </c>
      <c r="G24" s="72">
        <f t="shared" si="5"/>
        <v>1217457964.3640001</v>
      </c>
      <c r="H24" s="262">
        <v>0</v>
      </c>
      <c r="I24" s="795">
        <v>402061124</v>
      </c>
      <c r="J24" s="339">
        <v>0</v>
      </c>
      <c r="K24" s="209">
        <v>402061124</v>
      </c>
      <c r="L24" s="263">
        <v>50</v>
      </c>
      <c r="M24" s="783">
        <v>223072583</v>
      </c>
      <c r="N24" s="339">
        <v>37</v>
      </c>
      <c r="O24" s="72">
        <v>191952110</v>
      </c>
      <c r="P24" s="263">
        <v>30</v>
      </c>
      <c r="Q24" s="589">
        <v>462254846</v>
      </c>
      <c r="R24" s="209">
        <v>60</v>
      </c>
      <c r="S24" s="72">
        <v>462254846</v>
      </c>
      <c r="T24" s="263">
        <v>20</v>
      </c>
      <c r="U24" s="589">
        <v>161190277</v>
      </c>
      <c r="V24" s="71">
        <v>20</v>
      </c>
      <c r="W24" s="220">
        <v>161189884.36399999</v>
      </c>
      <c r="X24" s="255"/>
      <c r="Y24" s="773">
        <f>+U24-W24</f>
        <v>392.63600000739098</v>
      </c>
    </row>
    <row r="25" spans="1:27" ht="68.25" customHeight="1">
      <c r="A25" s="300" t="s">
        <v>359</v>
      </c>
      <c r="B25" s="218" t="s">
        <v>186</v>
      </c>
      <c r="C25" s="241" t="s">
        <v>453</v>
      </c>
      <c r="D25" s="275">
        <f>+H25+L25+P25+T25</f>
        <v>489</v>
      </c>
      <c r="E25" s="72">
        <f t="shared" si="6"/>
        <v>486929498.00899994</v>
      </c>
      <c r="F25" s="209">
        <f t="shared" ref="F25:F29" si="7">+J25+N25+R25+V25</f>
        <v>489</v>
      </c>
      <c r="G25" s="72">
        <f t="shared" si="5"/>
        <v>486795199.17299998</v>
      </c>
      <c r="H25" s="262">
        <v>46</v>
      </c>
      <c r="I25" s="795">
        <v>154146824</v>
      </c>
      <c r="J25" s="339">
        <v>46</v>
      </c>
      <c r="K25" s="209">
        <v>154146824</v>
      </c>
      <c r="L25" s="263">
        <v>100</v>
      </c>
      <c r="M25" s="783">
        <v>98088332</v>
      </c>
      <c r="N25" s="339">
        <v>100</v>
      </c>
      <c r="O25" s="72">
        <v>97955990</v>
      </c>
      <c r="P25" s="263">
        <v>202</v>
      </c>
      <c r="Q25" s="589">
        <v>94531980.488999993</v>
      </c>
      <c r="R25" s="209">
        <v>202</v>
      </c>
      <c r="S25" s="72">
        <v>94531980.488999993</v>
      </c>
      <c r="T25" s="263">
        <v>141</v>
      </c>
      <c r="U25" s="589">
        <f>+'[1]PROYECTO 1.2 (6)'!$E$21+'[1]PROYECTO 1.2 (6)'!$E$22</f>
        <v>140162361.51999998</v>
      </c>
      <c r="V25" s="71">
        <v>141</v>
      </c>
      <c r="W25" s="220">
        <v>140160404.68400002</v>
      </c>
      <c r="X25" s="255"/>
    </row>
    <row r="26" spans="1:27" ht="68.25" customHeight="1">
      <c r="A26" s="300" t="s">
        <v>508</v>
      </c>
      <c r="B26" s="218" t="s">
        <v>186</v>
      </c>
      <c r="C26" s="241" t="s">
        <v>453</v>
      </c>
      <c r="D26" s="275">
        <f>+H26+L26+P26+T26</f>
        <v>4963</v>
      </c>
      <c r="E26" s="72">
        <f t="shared" si="6"/>
        <v>7197815867.3479996</v>
      </c>
      <c r="F26" s="209">
        <f>+J26+N26+R26+V26</f>
        <v>14307</v>
      </c>
      <c r="G26" s="72">
        <f t="shared" si="5"/>
        <v>6768168316.3479996</v>
      </c>
      <c r="H26" s="262">
        <v>2500</v>
      </c>
      <c r="I26" s="795">
        <v>2886116492</v>
      </c>
      <c r="J26" s="339">
        <v>9463</v>
      </c>
      <c r="K26" s="209">
        <v>2841461229</v>
      </c>
      <c r="L26" s="263">
        <v>1463</v>
      </c>
      <c r="M26" s="783">
        <v>2950403596</v>
      </c>
      <c r="N26" s="339">
        <v>3844</v>
      </c>
      <c r="O26" s="72">
        <v>2570172581</v>
      </c>
      <c r="P26" s="263">
        <v>500</v>
      </c>
      <c r="Q26" s="589">
        <v>367627868.34799999</v>
      </c>
      <c r="R26" s="209">
        <v>500</v>
      </c>
      <c r="S26" s="72">
        <v>367627868.34799999</v>
      </c>
      <c r="T26" s="263">
        <v>500</v>
      </c>
      <c r="U26" s="589">
        <v>993667911</v>
      </c>
      <c r="V26" s="71">
        <v>500</v>
      </c>
      <c r="W26" s="220">
        <v>988906638</v>
      </c>
      <c r="X26" s="255"/>
    </row>
    <row r="27" spans="1:27" ht="68.25" customHeight="1">
      <c r="A27" s="300" t="s">
        <v>362</v>
      </c>
      <c r="B27" s="218" t="s">
        <v>186</v>
      </c>
      <c r="C27" s="240" t="s">
        <v>453</v>
      </c>
      <c r="D27" s="275">
        <v>14536</v>
      </c>
      <c r="E27" s="72">
        <f t="shared" si="6"/>
        <v>5319436527</v>
      </c>
      <c r="F27" s="209">
        <f t="shared" si="7"/>
        <v>14536</v>
      </c>
      <c r="G27" s="72">
        <f t="shared" si="5"/>
        <v>5308519012.7679996</v>
      </c>
      <c r="H27" s="262">
        <v>863</v>
      </c>
      <c r="I27" s="795">
        <v>1418114172</v>
      </c>
      <c r="J27" s="339">
        <v>863</v>
      </c>
      <c r="K27" s="209">
        <v>1417995125</v>
      </c>
      <c r="L27" s="263">
        <v>3450</v>
      </c>
      <c r="M27" s="783">
        <v>1504390865</v>
      </c>
      <c r="N27" s="339">
        <v>3450</v>
      </c>
      <c r="O27" s="72">
        <v>1504381552</v>
      </c>
      <c r="P27" s="263">
        <v>8260</v>
      </c>
      <c r="Q27" s="589">
        <v>1545191453</v>
      </c>
      <c r="R27" s="209">
        <v>8260</v>
      </c>
      <c r="S27" s="72">
        <v>1545191453</v>
      </c>
      <c r="T27" s="263">
        <v>1963</v>
      </c>
      <c r="U27" s="589">
        <v>851740037</v>
      </c>
      <c r="V27" s="71">
        <v>1963</v>
      </c>
      <c r="W27" s="220">
        <v>840950882.76800001</v>
      </c>
      <c r="X27" s="255"/>
      <c r="Y27" s="491"/>
    </row>
    <row r="28" spans="1:27" ht="54" customHeight="1">
      <c r="A28" s="324" t="s">
        <v>360</v>
      </c>
      <c r="B28" s="218" t="s">
        <v>186</v>
      </c>
      <c r="C28" s="240" t="s">
        <v>453</v>
      </c>
      <c r="D28" s="275">
        <f>+H28+L28+P28+T28</f>
        <v>1100</v>
      </c>
      <c r="E28" s="72">
        <f t="shared" si="6"/>
        <v>1380630506.6040001</v>
      </c>
      <c r="F28" s="209">
        <f>+J28+N28+R28+V28</f>
        <v>1941.08</v>
      </c>
      <c r="G28" s="72">
        <f t="shared" si="5"/>
        <v>1380262665.816</v>
      </c>
      <c r="H28" s="262">
        <v>250</v>
      </c>
      <c r="I28" s="795">
        <v>64256000</v>
      </c>
      <c r="J28" s="379">
        <v>250</v>
      </c>
      <c r="K28" s="209">
        <v>64256000</v>
      </c>
      <c r="L28" s="263">
        <v>300</v>
      </c>
      <c r="M28" s="783">
        <v>339760000</v>
      </c>
      <c r="N28" s="339">
        <v>300</v>
      </c>
      <c r="O28" s="72">
        <v>339392160</v>
      </c>
      <c r="P28" s="263">
        <v>350</v>
      </c>
      <c r="Q28" s="589">
        <v>459781759</v>
      </c>
      <c r="R28" s="591">
        <v>577.08000000000004</v>
      </c>
      <c r="S28" s="72">
        <v>459781759</v>
      </c>
      <c r="T28" s="263">
        <v>200</v>
      </c>
      <c r="U28" s="589">
        <v>516832747.60399997</v>
      </c>
      <c r="V28" s="657">
        <v>814</v>
      </c>
      <c r="W28" s="220">
        <v>516832746.81599998</v>
      </c>
      <c r="X28" s="255"/>
      <c r="Y28" s="488"/>
    </row>
    <row r="29" spans="1:27" ht="46.5" customHeight="1">
      <c r="A29" s="299" t="s">
        <v>479</v>
      </c>
      <c r="B29" s="211" t="s">
        <v>188</v>
      </c>
      <c r="C29" s="176" t="s">
        <v>402</v>
      </c>
      <c r="D29" s="242">
        <f>+H29+L29+P29+T29</f>
        <v>100</v>
      </c>
      <c r="E29" s="72">
        <f t="shared" si="6"/>
        <v>0</v>
      </c>
      <c r="F29" s="209">
        <f t="shared" si="7"/>
        <v>100</v>
      </c>
      <c r="G29" s="72">
        <f t="shared" si="5"/>
        <v>0</v>
      </c>
      <c r="H29" s="262">
        <v>10</v>
      </c>
      <c r="I29" s="796">
        <v>0</v>
      </c>
      <c r="J29" s="339">
        <v>10</v>
      </c>
      <c r="K29" s="306">
        <v>0</v>
      </c>
      <c r="L29" s="263">
        <v>30</v>
      </c>
      <c r="M29" s="783">
        <v>0</v>
      </c>
      <c r="N29" s="339">
        <v>30</v>
      </c>
      <c r="O29" s="72">
        <v>0</v>
      </c>
      <c r="P29" s="263">
        <v>30</v>
      </c>
      <c r="Q29" s="589">
        <v>0</v>
      </c>
      <c r="R29" s="209">
        <v>30</v>
      </c>
      <c r="S29" s="72">
        <v>0</v>
      </c>
      <c r="T29" s="263">
        <v>30</v>
      </c>
      <c r="U29" s="589">
        <v>0</v>
      </c>
      <c r="V29" s="71">
        <v>30</v>
      </c>
      <c r="W29" s="220">
        <v>0</v>
      </c>
      <c r="X29" s="255"/>
    </row>
    <row r="30" spans="1:27" ht="36">
      <c r="A30" s="301" t="s">
        <v>531</v>
      </c>
      <c r="B30" s="187"/>
      <c r="C30" s="188"/>
      <c r="D30" s="183"/>
      <c r="E30" s="182">
        <f>SUM(E31:E32)</f>
        <v>6257171071.4877996</v>
      </c>
      <c r="F30" s="183"/>
      <c r="G30" s="182">
        <f>SUM(G31:G32)</f>
        <v>6257124767</v>
      </c>
      <c r="H30" s="263"/>
      <c r="I30" s="182">
        <f>SUM(I31:I32)</f>
        <v>1877233207</v>
      </c>
      <c r="J30" s="345"/>
      <c r="K30" s="307">
        <f>SUM(K31:K32)</f>
        <v>1877233207</v>
      </c>
      <c r="L30" s="263"/>
      <c r="M30" s="193">
        <f>SUM(M31:M32)</f>
        <v>1854132109</v>
      </c>
      <c r="N30" s="183"/>
      <c r="O30" s="182">
        <f>SUM(O31:O32)</f>
        <v>1854132109</v>
      </c>
      <c r="P30" s="272"/>
      <c r="Q30" s="182">
        <f>SUM(Q31:Q32)</f>
        <v>1392006833.9877999</v>
      </c>
      <c r="R30" s="307"/>
      <c r="S30" s="182">
        <f>SUM(S31:S32)</f>
        <v>1392006834</v>
      </c>
      <c r="T30" s="182"/>
      <c r="U30" s="182">
        <f t="shared" ref="U30" si="8">SUM(U31:U32)</f>
        <v>1133798921.5</v>
      </c>
      <c r="V30" s="766"/>
      <c r="W30" s="221">
        <f>SUM(W31:W32)</f>
        <v>1133752617</v>
      </c>
      <c r="X30" s="746"/>
      <c r="Y30" s="488"/>
      <c r="AA30" s="488"/>
    </row>
    <row r="31" spans="1:27" ht="54" customHeight="1">
      <c r="A31" s="299" t="s">
        <v>375</v>
      </c>
      <c r="B31" s="177" t="s">
        <v>188</v>
      </c>
      <c r="C31" s="174" t="s">
        <v>376</v>
      </c>
      <c r="D31" s="242">
        <f>AVERAGE(H31,L31,P31,T31)</f>
        <v>1</v>
      </c>
      <c r="E31" s="72">
        <f>+I31+M31+Q31+U31</f>
        <v>5565382158.0878</v>
      </c>
      <c r="F31" s="510">
        <f>AVERAGE(J31,N31,R31,V31)</f>
        <v>1</v>
      </c>
      <c r="G31" s="72">
        <f>+K31+O31+S31+W31</f>
        <v>5565382158</v>
      </c>
      <c r="H31" s="260">
        <v>1</v>
      </c>
      <c r="I31" s="794">
        <v>1569912321</v>
      </c>
      <c r="J31" s="339">
        <v>1</v>
      </c>
      <c r="K31" s="306">
        <v>1569912321</v>
      </c>
      <c r="L31" s="263">
        <v>1</v>
      </c>
      <c r="M31" s="783">
        <v>1723977897</v>
      </c>
      <c r="N31" s="339">
        <v>1</v>
      </c>
      <c r="O31" s="72">
        <v>1723977897</v>
      </c>
      <c r="P31" s="263">
        <v>1</v>
      </c>
      <c r="Q31" s="589">
        <v>1252898122.9877999</v>
      </c>
      <c r="R31" s="590">
        <v>1</v>
      </c>
      <c r="S31" s="72">
        <v>1252898123</v>
      </c>
      <c r="T31" s="263">
        <v>1</v>
      </c>
      <c r="U31" s="72">
        <v>1018593817.1</v>
      </c>
      <c r="V31" s="71">
        <v>1</v>
      </c>
      <c r="W31" s="220">
        <v>1018593817</v>
      </c>
      <c r="X31" s="255"/>
      <c r="Y31" s="488"/>
      <c r="AA31" s="488"/>
    </row>
    <row r="32" spans="1:27" ht="69" customHeight="1">
      <c r="A32" s="299" t="s">
        <v>480</v>
      </c>
      <c r="B32" s="177" t="s">
        <v>188</v>
      </c>
      <c r="C32" s="174" t="s">
        <v>512</v>
      </c>
      <c r="D32" s="242">
        <f>AVERAGE(H32,L32,P32,T32)</f>
        <v>1</v>
      </c>
      <c r="E32" s="72">
        <f>+I32+M32+Q32+U32</f>
        <v>691788913.39999998</v>
      </c>
      <c r="F32" s="510">
        <f>AVERAGE(J32,N32,R32,V32)</f>
        <v>1</v>
      </c>
      <c r="G32" s="72">
        <f>+K32+O32+S32+W32</f>
        <v>691742609</v>
      </c>
      <c r="H32" s="260">
        <v>1</v>
      </c>
      <c r="I32" s="794">
        <v>307320886</v>
      </c>
      <c r="J32" s="339">
        <v>1</v>
      </c>
      <c r="K32" s="306">
        <v>307320886</v>
      </c>
      <c r="L32" s="263">
        <v>1</v>
      </c>
      <c r="M32" s="783">
        <v>130154212</v>
      </c>
      <c r="N32" s="339">
        <v>1</v>
      </c>
      <c r="O32" s="72">
        <v>130154212</v>
      </c>
      <c r="P32" s="263">
        <v>1</v>
      </c>
      <c r="Q32" s="589">
        <v>139108711</v>
      </c>
      <c r="R32" s="590">
        <v>1</v>
      </c>
      <c r="S32" s="72">
        <v>139108711</v>
      </c>
      <c r="T32" s="263">
        <v>1</v>
      </c>
      <c r="U32" s="72">
        <v>115205104.40000001</v>
      </c>
      <c r="V32" s="71">
        <v>1</v>
      </c>
      <c r="W32" s="220">
        <v>115158800</v>
      </c>
      <c r="X32" s="255"/>
      <c r="Y32" s="488"/>
    </row>
    <row r="33" spans="1:27" ht="46.5" customHeight="1">
      <c r="A33" s="243" t="s">
        <v>481</v>
      </c>
      <c r="B33" s="191"/>
      <c r="C33" s="172"/>
      <c r="D33" s="192"/>
      <c r="E33" s="193">
        <f>+E34+E46</f>
        <v>11273038714.176001</v>
      </c>
      <c r="F33" s="192"/>
      <c r="G33" s="193">
        <f>+G34+G46</f>
        <v>11152005631.136</v>
      </c>
      <c r="H33" s="264">
        <v>0</v>
      </c>
      <c r="I33" s="193">
        <f>+I34+I46</f>
        <v>1947426231</v>
      </c>
      <c r="J33" s="345"/>
      <c r="K33" s="192">
        <f>+K34+K46</f>
        <v>1925738231.5240002</v>
      </c>
      <c r="L33" s="193"/>
      <c r="M33" s="193">
        <f>+M34+M46</f>
        <v>2000649744.3199999</v>
      </c>
      <c r="N33" s="193"/>
      <c r="O33" s="193">
        <f>+O34+O46</f>
        <v>2000649744.3199999</v>
      </c>
      <c r="P33" s="193"/>
      <c r="Q33" s="193">
        <f>+Q34+Q46</f>
        <v>2728879807.1560001</v>
      </c>
      <c r="R33" s="192"/>
      <c r="S33" s="193">
        <f>+S34+S46</f>
        <v>2728879807.652</v>
      </c>
      <c r="T33" s="193">
        <f t="shared" ref="T33:U33" si="9">+T34+T46</f>
        <v>0</v>
      </c>
      <c r="U33" s="193">
        <f t="shared" si="9"/>
        <v>4596082932.7000008</v>
      </c>
      <c r="V33" s="192"/>
      <c r="W33" s="632">
        <f>+W34+W46</f>
        <v>4496737847.6399994</v>
      </c>
      <c r="X33" s="747"/>
      <c r="Y33" s="488"/>
    </row>
    <row r="34" spans="1:27" ht="44.25" customHeight="1">
      <c r="A34" s="302" t="s">
        <v>504</v>
      </c>
      <c r="B34" s="194"/>
      <c r="C34" s="188"/>
      <c r="D34" s="195"/>
      <c r="E34" s="182">
        <f>SUM(E35:E45)</f>
        <v>4237697475</v>
      </c>
      <c r="F34" s="183"/>
      <c r="G34" s="182">
        <f>SUM(G35:G45)</f>
        <v>4177028956.1279998</v>
      </c>
      <c r="H34" s="265">
        <v>0</v>
      </c>
      <c r="I34" s="182">
        <f>SUM(I35:I45)</f>
        <v>300920390</v>
      </c>
      <c r="J34" s="345"/>
      <c r="K34" s="307">
        <f>SUM(K35:K45)</f>
        <v>300920390</v>
      </c>
      <c r="L34" s="183">
        <v>0</v>
      </c>
      <c r="M34" s="193">
        <f>SUM(M35:M45)</f>
        <v>774695167</v>
      </c>
      <c r="N34" s="183">
        <v>0</v>
      </c>
      <c r="O34" s="182">
        <f>SUM(O35:O45)</f>
        <v>774695167</v>
      </c>
      <c r="P34" s="182">
        <v>0</v>
      </c>
      <c r="Q34" s="182">
        <f>SUM(Q35:Q45)</f>
        <v>1490208991</v>
      </c>
      <c r="R34" s="307">
        <v>0</v>
      </c>
      <c r="S34" s="182">
        <f>SUM(S35:S45)</f>
        <v>1490208991.4960001</v>
      </c>
      <c r="T34" s="182"/>
      <c r="U34" s="182">
        <f>SUM(U35:U45)</f>
        <v>1671872928</v>
      </c>
      <c r="V34" s="766"/>
      <c r="W34" s="631">
        <f>SUM(W35:W45)</f>
        <v>1611204407.632</v>
      </c>
      <c r="X34" s="744"/>
      <c r="Y34" s="488"/>
      <c r="AA34" s="488"/>
    </row>
    <row r="35" spans="1:27" ht="113.25" customHeight="1">
      <c r="A35" s="244" t="s">
        <v>482</v>
      </c>
      <c r="B35" s="177" t="s">
        <v>186</v>
      </c>
      <c r="C35" s="209" t="s">
        <v>1</v>
      </c>
      <c r="D35" s="242">
        <f>+H35+L35+P35+T35</f>
        <v>100</v>
      </c>
      <c r="E35" s="72">
        <f t="shared" ref="E35" si="10">+I35+M35+Q35+U35</f>
        <v>0</v>
      </c>
      <c r="F35" s="273">
        <f>+J35+R35+V35</f>
        <v>91.86</v>
      </c>
      <c r="G35" s="72">
        <f t="shared" ref="G35:G45" si="11">+K35+O35+S35+W35</f>
        <v>0</v>
      </c>
      <c r="H35" s="260">
        <v>15</v>
      </c>
      <c r="I35" s="794">
        <v>0</v>
      </c>
      <c r="J35" s="339">
        <v>15</v>
      </c>
      <c r="K35" s="306">
        <v>0</v>
      </c>
      <c r="L35" s="263">
        <v>0</v>
      </c>
      <c r="M35" s="783">
        <v>0</v>
      </c>
      <c r="N35" s="339">
        <v>0</v>
      </c>
      <c r="O35" s="72">
        <v>0</v>
      </c>
      <c r="P35" s="263">
        <v>55</v>
      </c>
      <c r="Q35" s="589">
        <v>0</v>
      </c>
      <c r="R35" s="209">
        <v>55</v>
      </c>
      <c r="S35" s="72">
        <v>0</v>
      </c>
      <c r="T35" s="263">
        <v>30</v>
      </c>
      <c r="U35" s="72">
        <v>0</v>
      </c>
      <c r="V35" s="599">
        <v>21.86</v>
      </c>
      <c r="W35" s="220">
        <v>0</v>
      </c>
      <c r="X35" s="255"/>
      <c r="Y35" s="499">
        <f>+V36/T36</f>
        <v>0.7138152758654952</v>
      </c>
      <c r="AA35" s="488"/>
    </row>
    <row r="36" spans="1:27" ht="88.5" customHeight="1">
      <c r="A36" s="325" t="s">
        <v>381</v>
      </c>
      <c r="B36" s="177" t="s">
        <v>186</v>
      </c>
      <c r="C36" s="240" t="s">
        <v>453</v>
      </c>
      <c r="D36" s="242">
        <f>+H36+L36+P36+T36</f>
        <v>227184</v>
      </c>
      <c r="E36" s="72">
        <f>+I36+M36+Q36+U36</f>
        <v>1366192207</v>
      </c>
      <c r="F36" s="575">
        <f>+J36+N36+R36+V36+1720</f>
        <v>209008.36</v>
      </c>
      <c r="G36" s="72">
        <f t="shared" si="11"/>
        <v>1366192207.0999999</v>
      </c>
      <c r="H36" s="262">
        <v>32894</v>
      </c>
      <c r="I36" s="794">
        <v>134742824</v>
      </c>
      <c r="J36" s="371">
        <v>33160.36</v>
      </c>
      <c r="K36" s="306">
        <v>134742824</v>
      </c>
      <c r="L36" s="263">
        <v>0</v>
      </c>
      <c r="M36" s="783">
        <v>512169451</v>
      </c>
      <c r="N36" s="339">
        <v>0</v>
      </c>
      <c r="O36" s="72">
        <v>512169451</v>
      </c>
      <c r="P36" s="263">
        <v>123839</v>
      </c>
      <c r="Q36" s="589">
        <v>719279932</v>
      </c>
      <c r="R36" s="597">
        <v>123839</v>
      </c>
      <c r="S36" s="72">
        <v>719279932.10000002</v>
      </c>
      <c r="T36" s="263">
        <v>70451</v>
      </c>
      <c r="U36" s="492">
        <v>0</v>
      </c>
      <c r="V36" s="71">
        <v>50289</v>
      </c>
      <c r="W36" s="220">
        <v>0</v>
      </c>
      <c r="X36" s="255"/>
      <c r="Y36" s="488">
        <f>+Y35*30</f>
        <v>21.414458275964854</v>
      </c>
    </row>
    <row r="37" spans="1:27" ht="88.5" customHeight="1">
      <c r="A37" s="551" t="s">
        <v>532</v>
      </c>
      <c r="B37" s="177" t="s">
        <v>186</v>
      </c>
      <c r="C37" s="209" t="s">
        <v>487</v>
      </c>
      <c r="D37" s="242">
        <f>+L37+P37+T37</f>
        <v>100</v>
      </c>
      <c r="E37" s="72">
        <f t="shared" ref="E37:E45" si="12">+I37+M37+Q37+U37</f>
        <v>49279933</v>
      </c>
      <c r="F37" s="242">
        <f>+N37+R37+V37</f>
        <v>100</v>
      </c>
      <c r="G37" s="72">
        <f t="shared" si="11"/>
        <v>49279933.395999998</v>
      </c>
      <c r="H37" s="273" t="s">
        <v>518</v>
      </c>
      <c r="I37" s="589">
        <v>0</v>
      </c>
      <c r="J37" s="273" t="s">
        <v>518</v>
      </c>
      <c r="K37" s="209">
        <v>0</v>
      </c>
      <c r="L37" s="263">
        <v>20</v>
      </c>
      <c r="M37" s="783">
        <v>0</v>
      </c>
      <c r="N37" s="339">
        <v>20</v>
      </c>
      <c r="O37" s="200">
        <v>0</v>
      </c>
      <c r="P37" s="263">
        <v>30</v>
      </c>
      <c r="Q37" s="589">
        <v>49279933</v>
      </c>
      <c r="R37" s="209">
        <v>30</v>
      </c>
      <c r="S37" s="72">
        <v>49279933.395999998</v>
      </c>
      <c r="T37" s="263">
        <v>50</v>
      </c>
      <c r="U37" s="492"/>
      <c r="V37" s="71">
        <v>50</v>
      </c>
      <c r="W37" s="220">
        <v>0</v>
      </c>
      <c r="X37" s="255"/>
      <c r="Y37" s="488"/>
    </row>
    <row r="38" spans="1:27" ht="61.5" customHeight="1">
      <c r="A38" s="325" t="s">
        <v>383</v>
      </c>
      <c r="B38" s="189" t="s">
        <v>186</v>
      </c>
      <c r="C38" s="174" t="s">
        <v>509</v>
      </c>
      <c r="D38" s="242">
        <f>+H38+L38+P38+T38</f>
        <v>120</v>
      </c>
      <c r="E38" s="72">
        <f>+I38+M38+Q38+U38-1</f>
        <v>296338658</v>
      </c>
      <c r="F38" s="209">
        <f>+J38+N38+R38+V38</f>
        <v>120</v>
      </c>
      <c r="G38" s="72">
        <f t="shared" si="11"/>
        <v>295810105</v>
      </c>
      <c r="H38" s="260">
        <v>30</v>
      </c>
      <c r="I38" s="589">
        <v>46680811</v>
      </c>
      <c r="J38" s="339">
        <v>30</v>
      </c>
      <c r="K38" s="306">
        <v>46680811</v>
      </c>
      <c r="L38" s="263">
        <v>30</v>
      </c>
      <c r="M38" s="783">
        <v>47188000</v>
      </c>
      <c r="N38" s="339">
        <v>30</v>
      </c>
      <c r="O38" s="72">
        <v>47188000</v>
      </c>
      <c r="P38" s="263">
        <v>30</v>
      </c>
      <c r="Q38" s="589">
        <v>87286962</v>
      </c>
      <c r="R38" s="209">
        <v>30</v>
      </c>
      <c r="S38" s="72">
        <v>87286962</v>
      </c>
      <c r="T38" s="263">
        <v>30</v>
      </c>
      <c r="U38" s="72">
        <v>115182886</v>
      </c>
      <c r="V38" s="226">
        <v>30</v>
      </c>
      <c r="W38" s="220">
        <v>114654332</v>
      </c>
      <c r="X38" s="255"/>
      <c r="Y38" s="488"/>
    </row>
    <row r="39" spans="1:27" ht="61.5" customHeight="1">
      <c r="A39" s="325" t="s">
        <v>384</v>
      </c>
      <c r="B39" s="177" t="s">
        <v>188</v>
      </c>
      <c r="C39" s="245" t="s">
        <v>189</v>
      </c>
      <c r="D39" s="242">
        <f>AVERAGE(H39,L39,P39,T39)</f>
        <v>3</v>
      </c>
      <c r="E39" s="72">
        <f t="shared" si="12"/>
        <v>115380000</v>
      </c>
      <c r="F39" s="759">
        <v>2.7</v>
      </c>
      <c r="G39" s="72">
        <f t="shared" si="11"/>
        <v>115380000</v>
      </c>
      <c r="H39" s="260">
        <v>3</v>
      </c>
      <c r="I39" s="794">
        <v>35140000</v>
      </c>
      <c r="J39" s="339">
        <v>3</v>
      </c>
      <c r="K39" s="306">
        <v>35140000</v>
      </c>
      <c r="L39" s="263">
        <v>3</v>
      </c>
      <c r="M39" s="783">
        <v>15060000</v>
      </c>
      <c r="N39" s="371">
        <v>3</v>
      </c>
      <c r="O39" s="72">
        <v>15060000</v>
      </c>
      <c r="P39" s="263">
        <v>3</v>
      </c>
      <c r="Q39" s="589">
        <v>25100000</v>
      </c>
      <c r="R39" s="209">
        <v>3</v>
      </c>
      <c r="S39" s="72">
        <v>25100000</v>
      </c>
      <c r="T39" s="263">
        <v>3</v>
      </c>
      <c r="U39" s="72">
        <v>40080000</v>
      </c>
      <c r="V39" s="599">
        <v>3</v>
      </c>
      <c r="W39" s="220">
        <v>40080000</v>
      </c>
      <c r="X39" s="255"/>
      <c r="Y39" s="488"/>
    </row>
    <row r="40" spans="1:27" ht="61.5" customHeight="1">
      <c r="A40" s="325" t="s">
        <v>521</v>
      </c>
      <c r="B40" s="189" t="s">
        <v>186</v>
      </c>
      <c r="C40" s="174" t="s">
        <v>522</v>
      </c>
      <c r="D40" s="242">
        <f>+H40+L40+P40+T40</f>
        <v>7</v>
      </c>
      <c r="E40" s="72">
        <f>+I40+M40+Q40+U40</f>
        <v>2270845778</v>
      </c>
      <c r="F40" s="590">
        <f>+J40+N40+R40+V40</f>
        <v>7</v>
      </c>
      <c r="G40" s="72">
        <f t="shared" si="11"/>
        <v>2244936021.632</v>
      </c>
      <c r="H40" s="260">
        <v>1</v>
      </c>
      <c r="I40" s="589">
        <v>49194345</v>
      </c>
      <c r="J40" s="339">
        <v>1</v>
      </c>
      <c r="K40" s="209">
        <v>49194345</v>
      </c>
      <c r="L40" s="263">
        <v>2</v>
      </c>
      <c r="M40" s="783">
        <v>139893616</v>
      </c>
      <c r="N40" s="339">
        <v>2</v>
      </c>
      <c r="O40" s="72">
        <v>139893616</v>
      </c>
      <c r="P40" s="263">
        <v>2</v>
      </c>
      <c r="Q40" s="589">
        <v>605401985</v>
      </c>
      <c r="R40" s="590">
        <v>2</v>
      </c>
      <c r="S40" s="72">
        <v>605401985</v>
      </c>
      <c r="T40" s="263">
        <v>2</v>
      </c>
      <c r="U40" s="72">
        <v>1476355832</v>
      </c>
      <c r="V40" s="761">
        <v>2</v>
      </c>
      <c r="W40" s="220">
        <v>1450446075.632</v>
      </c>
      <c r="X40" s="255"/>
      <c r="Y40" s="488"/>
    </row>
    <row r="41" spans="1:27" ht="58.5" customHeight="1">
      <c r="A41" s="323" t="s">
        <v>533</v>
      </c>
      <c r="B41" s="189" t="s">
        <v>186</v>
      </c>
      <c r="C41" s="174" t="s">
        <v>1</v>
      </c>
      <c r="D41" s="502">
        <v>100</v>
      </c>
      <c r="E41" s="72">
        <f t="shared" si="12"/>
        <v>0</v>
      </c>
      <c r="F41" s="209">
        <f>+J41+N41+R41+V41</f>
        <v>99.6</v>
      </c>
      <c r="G41" s="72">
        <f t="shared" si="11"/>
        <v>0</v>
      </c>
      <c r="H41" s="260">
        <v>0</v>
      </c>
      <c r="I41" s="794">
        <v>0</v>
      </c>
      <c r="J41" s="339">
        <v>0</v>
      </c>
      <c r="K41" s="306">
        <v>0</v>
      </c>
      <c r="L41" s="263">
        <v>33</v>
      </c>
      <c r="M41" s="783">
        <v>0</v>
      </c>
      <c r="N41" s="517">
        <v>33</v>
      </c>
      <c r="O41" s="72">
        <v>0</v>
      </c>
      <c r="P41" s="263">
        <v>66.599999999999994</v>
      </c>
      <c r="Q41" s="589">
        <v>0</v>
      </c>
      <c r="R41" s="209">
        <v>66.599999999999994</v>
      </c>
      <c r="S41" s="72">
        <v>0</v>
      </c>
      <c r="T41" s="263">
        <v>0</v>
      </c>
      <c r="U41" s="72">
        <v>0</v>
      </c>
      <c r="V41" s="71">
        <v>0</v>
      </c>
      <c r="W41" s="220">
        <v>0</v>
      </c>
      <c r="X41" s="255"/>
      <c r="Y41" s="488"/>
    </row>
    <row r="42" spans="1:27" ht="43.5" customHeight="1">
      <c r="A42" s="320" t="s">
        <v>385</v>
      </c>
      <c r="B42" s="189" t="s">
        <v>186</v>
      </c>
      <c r="C42" s="174" t="s">
        <v>132</v>
      </c>
      <c r="D42" s="242">
        <f>+H42+L42+P42+T42</f>
        <v>3</v>
      </c>
      <c r="E42" s="72">
        <f t="shared" si="12"/>
        <v>36144000</v>
      </c>
      <c r="F42" s="209">
        <f>+J42+N42+R42+V42</f>
        <v>3</v>
      </c>
      <c r="G42" s="72">
        <f t="shared" si="11"/>
        <v>36144000</v>
      </c>
      <c r="H42" s="260">
        <v>0</v>
      </c>
      <c r="I42" s="794">
        <v>0</v>
      </c>
      <c r="J42" s="339">
        <v>0</v>
      </c>
      <c r="K42" s="306">
        <v>0</v>
      </c>
      <c r="L42" s="263">
        <v>0</v>
      </c>
      <c r="M42" s="783">
        <v>36144000</v>
      </c>
      <c r="N42" s="517">
        <v>0</v>
      </c>
      <c r="O42" s="72">
        <v>36144000</v>
      </c>
      <c r="P42" s="263">
        <v>3</v>
      </c>
      <c r="Q42" s="589">
        <v>0</v>
      </c>
      <c r="R42" s="209">
        <v>3</v>
      </c>
      <c r="S42" s="72">
        <v>0</v>
      </c>
      <c r="T42" s="263">
        <v>0</v>
      </c>
      <c r="U42" s="72">
        <v>0</v>
      </c>
      <c r="V42" s="71">
        <v>0</v>
      </c>
      <c r="W42" s="220">
        <v>0</v>
      </c>
      <c r="X42" s="255"/>
      <c r="Y42" s="488"/>
    </row>
    <row r="43" spans="1:27" ht="43.5" customHeight="1">
      <c r="A43" s="323" t="s">
        <v>380</v>
      </c>
      <c r="B43" s="189" t="s">
        <v>188</v>
      </c>
      <c r="C43" s="174" t="s">
        <v>1</v>
      </c>
      <c r="D43" s="502">
        <f>AVERAGE(H43,L43,P43,T43)</f>
        <v>100</v>
      </c>
      <c r="E43" s="72">
        <f t="shared" si="12"/>
        <v>0</v>
      </c>
      <c r="F43" s="242">
        <f>AVERAGE(J43,N43,R43,V43)</f>
        <v>100</v>
      </c>
      <c r="G43" s="72">
        <f t="shared" si="11"/>
        <v>0</v>
      </c>
      <c r="H43" s="260">
        <v>100</v>
      </c>
      <c r="I43" s="794">
        <v>0</v>
      </c>
      <c r="J43" s="339">
        <v>100</v>
      </c>
      <c r="K43" s="306">
        <v>0</v>
      </c>
      <c r="L43" s="263">
        <v>100</v>
      </c>
      <c r="M43" s="783">
        <v>0</v>
      </c>
      <c r="N43" s="339">
        <v>100</v>
      </c>
      <c r="O43" s="72">
        <v>0</v>
      </c>
      <c r="P43" s="263">
        <v>100</v>
      </c>
      <c r="Q43" s="589">
        <v>0</v>
      </c>
      <c r="R43" s="576">
        <v>100</v>
      </c>
      <c r="S43" s="72">
        <v>0</v>
      </c>
      <c r="T43" s="263">
        <v>100</v>
      </c>
      <c r="U43" s="72">
        <v>0</v>
      </c>
      <c r="V43" s="71">
        <v>100</v>
      </c>
      <c r="W43" s="220">
        <v>0</v>
      </c>
      <c r="X43" s="255"/>
      <c r="Y43" s="488"/>
    </row>
    <row r="44" spans="1:27" ht="43.5" customHeight="1">
      <c r="A44" s="320" t="s">
        <v>386</v>
      </c>
      <c r="B44" s="189" t="s">
        <v>188</v>
      </c>
      <c r="C44" s="174" t="s">
        <v>387</v>
      </c>
      <c r="D44" s="242">
        <f>AVERAGE(H44,L44,P44,T44)</f>
        <v>1</v>
      </c>
      <c r="E44" s="72">
        <f t="shared" si="12"/>
        <v>48893429</v>
      </c>
      <c r="F44" s="242">
        <f>AVERAGE(J44,N44,R44,V44)</f>
        <v>1</v>
      </c>
      <c r="G44" s="72">
        <f>+K44+O44+S44+W44</f>
        <v>14663219</v>
      </c>
      <c r="H44" s="260">
        <v>1</v>
      </c>
      <c r="I44" s="794">
        <v>0</v>
      </c>
      <c r="J44" s="368">
        <v>1</v>
      </c>
      <c r="K44" s="306">
        <v>0</v>
      </c>
      <c r="L44" s="263">
        <v>1</v>
      </c>
      <c r="M44" s="783">
        <v>4779040</v>
      </c>
      <c r="N44" s="339">
        <v>1</v>
      </c>
      <c r="O44" s="72">
        <v>4779040</v>
      </c>
      <c r="P44" s="263">
        <v>1</v>
      </c>
      <c r="Q44" s="589">
        <v>3860179</v>
      </c>
      <c r="R44" s="577">
        <v>1</v>
      </c>
      <c r="S44" s="72">
        <v>3860179</v>
      </c>
      <c r="T44" s="263">
        <v>1</v>
      </c>
      <c r="U44" s="72">
        <v>40254210</v>
      </c>
      <c r="V44" s="71">
        <v>1</v>
      </c>
      <c r="W44" s="220">
        <v>6024000</v>
      </c>
      <c r="X44" s="255"/>
      <c r="Y44" s="488"/>
    </row>
    <row r="45" spans="1:27" ht="43.5" customHeight="1">
      <c r="A45" s="325" t="s">
        <v>514</v>
      </c>
      <c r="B45" s="283"/>
      <c r="C45" s="174" t="s">
        <v>515</v>
      </c>
      <c r="D45" s="285">
        <v>0</v>
      </c>
      <c r="E45" s="72">
        <f t="shared" si="12"/>
        <v>54623470</v>
      </c>
      <c r="F45" s="209">
        <v>0</v>
      </c>
      <c r="G45" s="72">
        <f t="shared" si="11"/>
        <v>54623470</v>
      </c>
      <c r="H45" s="260"/>
      <c r="I45" s="589">
        <v>35162410</v>
      </c>
      <c r="J45" s="346"/>
      <c r="K45" s="308">
        <v>35162410</v>
      </c>
      <c r="L45" s="265"/>
      <c r="M45" s="790">
        <v>19461060</v>
      </c>
      <c r="N45" s="346"/>
      <c r="O45" s="215">
        <v>19461060</v>
      </c>
      <c r="P45" s="265"/>
      <c r="Q45" s="800">
        <v>0</v>
      </c>
      <c r="R45" s="216">
        <v>0</v>
      </c>
      <c r="S45" s="215"/>
      <c r="T45" s="265"/>
      <c r="U45" s="215">
        <v>0</v>
      </c>
      <c r="V45" s="286"/>
      <c r="W45" s="287"/>
      <c r="X45" s="255"/>
      <c r="Y45" s="488"/>
    </row>
    <row r="46" spans="1:27" ht="75.75" customHeight="1">
      <c r="A46" s="297" t="s">
        <v>503</v>
      </c>
      <c r="B46" s="196"/>
      <c r="C46" s="197"/>
      <c r="D46" s="198"/>
      <c r="E46" s="199">
        <f>SUM(E47:E54)</f>
        <v>7035341239.1760006</v>
      </c>
      <c r="F46" s="183"/>
      <c r="G46" s="182">
        <f>SUM(G47:G54)</f>
        <v>6974976675.0080004</v>
      </c>
      <c r="H46" s="258"/>
      <c r="I46" s="182">
        <f>SUM(I47:I54)</f>
        <v>1646505841</v>
      </c>
      <c r="J46" s="347"/>
      <c r="K46" s="224">
        <f>SUM(K47:K54)</f>
        <v>1624817841.5240002</v>
      </c>
      <c r="L46" s="276"/>
      <c r="M46" s="483">
        <f>SUM(M47:M54)</f>
        <v>1225954577.3199999</v>
      </c>
      <c r="N46" s="199"/>
      <c r="O46" s="199">
        <f>SUM(O47:O54)</f>
        <v>1225954577.3199999</v>
      </c>
      <c r="P46" s="276"/>
      <c r="Q46" s="199">
        <f>SUM(Q47:Q54)</f>
        <v>1238670816.1559999</v>
      </c>
      <c r="R46" s="224"/>
      <c r="S46" s="199">
        <f>SUM(S47:S54)</f>
        <v>1238670816.1559999</v>
      </c>
      <c r="T46" s="199"/>
      <c r="U46" s="199">
        <f>SUM(U47:U54)</f>
        <v>2924210004.7000003</v>
      </c>
      <c r="V46" s="767">
        <f>SUM(V47:V52)</f>
        <v>316902</v>
      </c>
      <c r="W46" s="633">
        <f>SUM(W47:W54)</f>
        <v>2885533440.0079999</v>
      </c>
      <c r="X46" s="744"/>
      <c r="Y46" s="488">
        <v>2924210004.7832093</v>
      </c>
      <c r="Z46" s="488">
        <f>+U46-Y46</f>
        <v>-8.3209037780761719E-2</v>
      </c>
      <c r="AA46" s="488"/>
    </row>
    <row r="47" spans="1:27" ht="42.75" customHeight="1">
      <c r="A47" s="323" t="s">
        <v>388</v>
      </c>
      <c r="B47" s="246" t="s">
        <v>488</v>
      </c>
      <c r="C47" s="209" t="s">
        <v>1</v>
      </c>
      <c r="D47" s="242">
        <f>AVERAGE(H47,L47,P47,T47)</f>
        <v>100</v>
      </c>
      <c r="E47" s="72">
        <f>+I47+M47+Q47+U47</f>
        <v>0</v>
      </c>
      <c r="F47" s="242">
        <f>AVERAGE(J47,N47,R47,V47)</f>
        <v>100</v>
      </c>
      <c r="G47" s="373">
        <f t="shared" ref="G47:G54" si="13">+K47+O47+S47+W47</f>
        <v>0</v>
      </c>
      <c r="H47" s="298">
        <v>100</v>
      </c>
      <c r="I47" s="792"/>
      <c r="J47" s="339">
        <v>100</v>
      </c>
      <c r="K47" s="209">
        <v>0</v>
      </c>
      <c r="L47" s="263">
        <v>100</v>
      </c>
      <c r="M47" s="783">
        <v>0</v>
      </c>
      <c r="N47" s="339">
        <v>100</v>
      </c>
      <c r="O47" s="200">
        <v>0</v>
      </c>
      <c r="P47" s="263">
        <v>100</v>
      </c>
      <c r="Q47" s="589">
        <v>0</v>
      </c>
      <c r="R47" s="576">
        <v>100</v>
      </c>
      <c r="S47" s="72">
        <v>0</v>
      </c>
      <c r="T47" s="263">
        <v>100</v>
      </c>
      <c r="U47" s="492">
        <v>0</v>
      </c>
      <c r="V47" s="71">
        <v>100</v>
      </c>
      <c r="W47" s="220">
        <v>0</v>
      </c>
      <c r="X47" s="255"/>
      <c r="Y47" s="488"/>
      <c r="AA47" s="488"/>
    </row>
    <row r="48" spans="1:27" ht="46.5" customHeight="1">
      <c r="A48" s="320" t="s">
        <v>523</v>
      </c>
      <c r="B48" s="246" t="s">
        <v>488</v>
      </c>
      <c r="C48" s="240" t="s">
        <v>453</v>
      </c>
      <c r="D48" s="242">
        <v>99948</v>
      </c>
      <c r="E48" s="72">
        <f>+I48+M48+Q48+U48</f>
        <v>1797198377.4000001</v>
      </c>
      <c r="F48" s="502">
        <f>AVERAGE(J48,N48,R48+V48)+X48</f>
        <v>101257.66666666667</v>
      </c>
      <c r="G48" s="373">
        <f>+K48+O48+S48+W48</f>
        <v>1797198377</v>
      </c>
      <c r="H48" s="273">
        <v>35140</v>
      </c>
      <c r="I48" s="589">
        <v>1413507357</v>
      </c>
      <c r="J48" s="359">
        <v>35140</v>
      </c>
      <c r="K48" s="209">
        <v>1413507357</v>
      </c>
      <c r="L48" s="263">
        <v>66787</v>
      </c>
      <c r="M48" s="783">
        <v>72466080</v>
      </c>
      <c r="N48" s="339">
        <v>66787</v>
      </c>
      <c r="O48" s="200">
        <v>72466080</v>
      </c>
      <c r="P48" s="263">
        <v>99948</v>
      </c>
      <c r="Q48" s="589">
        <v>164344760</v>
      </c>
      <c r="R48" s="576">
        <v>99948</v>
      </c>
      <c r="S48" s="72">
        <v>164344760</v>
      </c>
      <c r="T48" s="263">
        <v>99948</v>
      </c>
      <c r="U48" s="492">
        <v>146880180.40000001</v>
      </c>
      <c r="V48" s="71">
        <v>99948</v>
      </c>
      <c r="W48" s="220">
        <v>146880180</v>
      </c>
      <c r="X48" s="757">
        <v>650</v>
      </c>
      <c r="Y48" s="488"/>
      <c r="Z48" s="502">
        <f>AVERAGE(AD48,AH48,AL48+AP48)+25636.64</f>
        <v>25636.639999999999</v>
      </c>
      <c r="AA48" s="807">
        <v>21687999</v>
      </c>
    </row>
    <row r="49" spans="1:32" ht="46.5" customHeight="1">
      <c r="A49" s="320" t="s">
        <v>524</v>
      </c>
      <c r="B49" s="246"/>
      <c r="C49" s="240" t="s">
        <v>453</v>
      </c>
      <c r="D49" s="242">
        <v>216462</v>
      </c>
      <c r="E49" s="72">
        <f t="shared" ref="E49:E54" si="14">+I49+M49+Q49+U49</f>
        <v>4140767973.6199999</v>
      </c>
      <c r="F49" s="738">
        <f>AVERAGE(J49,N49,R49,V49)+X49</f>
        <v>216326.78630000001</v>
      </c>
      <c r="G49" s="373">
        <f t="shared" si="13"/>
        <v>4133505901.3280001</v>
      </c>
      <c r="H49" s="273">
        <v>186743</v>
      </c>
      <c r="I49" s="589">
        <v>0</v>
      </c>
      <c r="J49" s="359">
        <v>186743</v>
      </c>
      <c r="K49" s="209"/>
      <c r="L49" s="263">
        <v>137106</v>
      </c>
      <c r="M49" s="783">
        <v>915531581.31999993</v>
      </c>
      <c r="N49" s="339">
        <v>137106</v>
      </c>
      <c r="O49" s="72">
        <v>915531581.31999993</v>
      </c>
      <c r="P49" s="263">
        <v>155096</v>
      </c>
      <c r="Q49" s="589">
        <v>819112849</v>
      </c>
      <c r="R49" s="576">
        <v>155096</v>
      </c>
      <c r="S49" s="72">
        <v>819112849</v>
      </c>
      <c r="T49" s="263">
        <v>216462</v>
      </c>
      <c r="U49" s="492">
        <v>2406123543.3000002</v>
      </c>
      <c r="V49" s="71">
        <v>216462</v>
      </c>
      <c r="W49" s="220">
        <v>2398861471.0079999</v>
      </c>
      <c r="X49" s="757">
        <v>42475.0363</v>
      </c>
      <c r="Y49" s="488"/>
    </row>
    <row r="50" spans="1:32" ht="46.5" customHeight="1">
      <c r="A50" s="323" t="s">
        <v>389</v>
      </c>
      <c r="B50" s="246" t="s">
        <v>188</v>
      </c>
      <c r="C50" s="209" t="s">
        <v>1</v>
      </c>
      <c r="D50" s="209">
        <f>+H50+L50+P50+T50</f>
        <v>100</v>
      </c>
      <c r="E50" s="72">
        <f t="shared" si="14"/>
        <v>0</v>
      </c>
      <c r="F50" s="209">
        <f>+J50+N50+R50+V50</f>
        <v>99.7</v>
      </c>
      <c r="G50" s="373">
        <f t="shared" si="13"/>
        <v>0</v>
      </c>
      <c r="H50" s="273">
        <v>25</v>
      </c>
      <c r="I50" s="589">
        <v>0</v>
      </c>
      <c r="J50" s="359">
        <v>25</v>
      </c>
      <c r="K50" s="209">
        <v>0</v>
      </c>
      <c r="L50" s="263">
        <v>25</v>
      </c>
      <c r="M50" s="783">
        <v>0</v>
      </c>
      <c r="N50" s="545">
        <v>24.7</v>
      </c>
      <c r="O50" s="200">
        <v>0</v>
      </c>
      <c r="P50" s="263">
        <v>25</v>
      </c>
      <c r="Q50" s="589">
        <v>0</v>
      </c>
      <c r="R50" s="576">
        <v>25</v>
      </c>
      <c r="S50" s="72">
        <v>0</v>
      </c>
      <c r="T50" s="263">
        <v>25</v>
      </c>
      <c r="U50" s="492"/>
      <c r="V50" s="71">
        <v>25</v>
      </c>
      <c r="W50" s="220">
        <v>0</v>
      </c>
      <c r="X50" s="255"/>
      <c r="Y50" s="488">
        <f>+P50*0.73</f>
        <v>18.25</v>
      </c>
    </row>
    <row r="51" spans="1:32" ht="42.75" customHeight="1">
      <c r="A51" s="320" t="s">
        <v>391</v>
      </c>
      <c r="B51" s="246" t="s">
        <v>188</v>
      </c>
      <c r="C51" s="174" t="s">
        <v>187</v>
      </c>
      <c r="D51" s="242">
        <v>267</v>
      </c>
      <c r="E51" s="72">
        <f t="shared" si="14"/>
        <v>554955922.65600002</v>
      </c>
      <c r="F51" s="209">
        <f>AVERAGE(J51,N51,R51,V51)+38</f>
        <v>266.75</v>
      </c>
      <c r="G51" s="373">
        <f t="shared" si="13"/>
        <v>503199795.18000019</v>
      </c>
      <c r="H51" s="277">
        <v>192</v>
      </c>
      <c r="I51" s="589">
        <v>160448537</v>
      </c>
      <c r="J51" s="359">
        <v>192</v>
      </c>
      <c r="K51" s="209">
        <v>138760537.5240002</v>
      </c>
      <c r="L51" s="263">
        <v>217</v>
      </c>
      <c r="M51" s="783">
        <v>131044683</v>
      </c>
      <c r="N51" s="339">
        <v>214</v>
      </c>
      <c r="O51" s="200">
        <v>131044683</v>
      </c>
      <c r="P51" s="263">
        <v>242</v>
      </c>
      <c r="Q51" s="589">
        <v>109969773.656</v>
      </c>
      <c r="R51" s="576">
        <v>242</v>
      </c>
      <c r="S51" s="72">
        <v>109969773.656</v>
      </c>
      <c r="T51" s="263">
        <v>267</v>
      </c>
      <c r="U51" s="72">
        <v>153492929</v>
      </c>
      <c r="V51" s="227">
        <v>267</v>
      </c>
      <c r="W51" s="220">
        <v>123424801</v>
      </c>
      <c r="X51" s="255"/>
      <c r="Y51" s="488">
        <f>+R51/P51*100</f>
        <v>100</v>
      </c>
      <c r="Z51" s="488"/>
      <c r="AA51" s="488"/>
      <c r="AB51" s="488"/>
    </row>
    <row r="52" spans="1:32" ht="49.5" customHeight="1">
      <c r="A52" s="323" t="s">
        <v>390</v>
      </c>
      <c r="B52" s="189" t="s">
        <v>190</v>
      </c>
      <c r="C52" s="174" t="s">
        <v>179</v>
      </c>
      <c r="D52" s="242">
        <f>AVERAGE(H52,L52,P52,T52)</f>
        <v>100</v>
      </c>
      <c r="E52" s="72">
        <f t="shared" si="14"/>
        <v>0</v>
      </c>
      <c r="F52" s="209">
        <f>AVERAGE(J52,N52,R52,V52)</f>
        <v>100</v>
      </c>
      <c r="G52" s="373">
        <f t="shared" si="13"/>
        <v>0</v>
      </c>
      <c r="H52" s="260">
        <v>100</v>
      </c>
      <c r="I52" s="794">
        <v>0</v>
      </c>
      <c r="J52" s="339">
        <v>100</v>
      </c>
      <c r="K52" s="306">
        <v>0</v>
      </c>
      <c r="L52" s="263">
        <v>100</v>
      </c>
      <c r="M52" s="783">
        <v>0</v>
      </c>
      <c r="N52" s="371">
        <v>100</v>
      </c>
      <c r="O52" s="72">
        <v>0</v>
      </c>
      <c r="P52" s="263">
        <v>100</v>
      </c>
      <c r="Q52" s="589">
        <v>0</v>
      </c>
      <c r="R52" s="209">
        <v>100</v>
      </c>
      <c r="S52" s="72">
        <v>0</v>
      </c>
      <c r="T52" s="263">
        <v>100</v>
      </c>
      <c r="U52" s="72"/>
      <c r="V52" s="71">
        <v>100</v>
      </c>
      <c r="W52" s="220">
        <v>0</v>
      </c>
      <c r="X52" s="255"/>
      <c r="Y52" s="488">
        <f>+P52*0.75</f>
        <v>75</v>
      </c>
      <c r="AA52" s="488"/>
    </row>
    <row r="53" spans="1:32" ht="41.25" customHeight="1">
      <c r="A53" s="320" t="s">
        <v>455</v>
      </c>
      <c r="B53" s="176" t="s">
        <v>188</v>
      </c>
      <c r="C53" s="176" t="s">
        <v>387</v>
      </c>
      <c r="D53" s="242">
        <f>AVERAGE(H53,L53,P53,T53)</f>
        <v>4</v>
      </c>
      <c r="E53" s="72">
        <f t="shared" si="14"/>
        <v>341822518.5</v>
      </c>
      <c r="F53" s="590">
        <f>AVERAGE(J53,N53,R53,V53)</f>
        <v>4</v>
      </c>
      <c r="G53" s="373">
        <f t="shared" si="13"/>
        <v>340476154.5</v>
      </c>
      <c r="H53" s="258">
        <v>4</v>
      </c>
      <c r="I53" s="797">
        <v>64018744</v>
      </c>
      <c r="J53" s="348">
        <v>4</v>
      </c>
      <c r="K53" s="209">
        <v>64018744</v>
      </c>
      <c r="L53" s="263">
        <v>4</v>
      </c>
      <c r="M53" s="783">
        <v>80107349</v>
      </c>
      <c r="N53" s="339">
        <v>4</v>
      </c>
      <c r="O53" s="72">
        <v>80107349</v>
      </c>
      <c r="P53" s="263">
        <v>4</v>
      </c>
      <c r="Q53" s="589">
        <v>65884345.5</v>
      </c>
      <c r="R53" s="209">
        <v>4</v>
      </c>
      <c r="S53" s="72">
        <v>65884345.5</v>
      </c>
      <c r="T53" s="263">
        <v>4</v>
      </c>
      <c r="U53" s="492">
        <v>131812080</v>
      </c>
      <c r="V53" s="599">
        <v>4</v>
      </c>
      <c r="W53" s="220">
        <v>130465716</v>
      </c>
      <c r="X53" s="255"/>
      <c r="Y53" s="488">
        <f>+R53/P53*100</f>
        <v>100</v>
      </c>
    </row>
    <row r="54" spans="1:32" ht="41.25" customHeight="1">
      <c r="A54" s="325" t="s">
        <v>514</v>
      </c>
      <c r="B54" s="283"/>
      <c r="C54" s="284" t="s">
        <v>515</v>
      </c>
      <c r="D54" s="285">
        <v>0</v>
      </c>
      <c r="E54" s="72">
        <f t="shared" si="14"/>
        <v>200596447</v>
      </c>
      <c r="F54" s="178"/>
      <c r="G54" s="373">
        <f t="shared" si="13"/>
        <v>200596447</v>
      </c>
      <c r="H54" s="256"/>
      <c r="I54" s="798">
        <v>8531203</v>
      </c>
      <c r="J54" s="349"/>
      <c r="K54" s="304">
        <v>8531203</v>
      </c>
      <c r="L54" s="261"/>
      <c r="M54" s="782">
        <v>26804884</v>
      </c>
      <c r="N54" s="359"/>
      <c r="O54" s="290">
        <v>26804884</v>
      </c>
      <c r="P54" s="261">
        <v>0</v>
      </c>
      <c r="Q54" s="803">
        <v>79359088</v>
      </c>
      <c r="R54" s="304"/>
      <c r="S54" s="289">
        <v>79359088</v>
      </c>
      <c r="T54" s="261"/>
      <c r="U54" s="493">
        <v>85901272</v>
      </c>
      <c r="V54" s="292"/>
      <c r="W54" s="293">
        <v>85901272</v>
      </c>
      <c r="X54" s="255"/>
      <c r="Y54" s="488"/>
    </row>
    <row r="55" spans="1:32" ht="52.5" customHeight="1">
      <c r="A55" s="250" t="s">
        <v>392</v>
      </c>
      <c r="B55" s="172"/>
      <c r="C55" s="202"/>
      <c r="D55" s="202"/>
      <c r="E55" s="251">
        <f>+E56+E64</f>
        <v>20761453587.976002</v>
      </c>
      <c r="F55" s="679"/>
      <c r="G55" s="252">
        <f>+G56+G64</f>
        <v>20595152580.380001</v>
      </c>
      <c r="H55" s="266">
        <v>0</v>
      </c>
      <c r="I55" s="252">
        <f>+I56+I64</f>
        <v>6349177794</v>
      </c>
      <c r="J55" s="350"/>
      <c r="K55" s="309">
        <f>+K56+K64</f>
        <v>6311475737</v>
      </c>
      <c r="L55" s="252"/>
      <c r="M55" s="482">
        <f>+M56+M64</f>
        <v>2823953771</v>
      </c>
      <c r="N55" s="252"/>
      <c r="O55" s="252">
        <f>+O56+O64</f>
        <v>2823953580</v>
      </c>
      <c r="P55" s="252"/>
      <c r="Q55" s="482">
        <f>+Q56+Q64</f>
        <v>8195320263.8880005</v>
      </c>
      <c r="R55" s="309"/>
      <c r="S55" s="252">
        <f>+S56+S64</f>
        <v>8092939416.8880005</v>
      </c>
      <c r="T55" s="252">
        <f t="shared" ref="T55:U55" si="15">+T56+T64</f>
        <v>0</v>
      </c>
      <c r="U55" s="252">
        <f t="shared" si="15"/>
        <v>3393001759.0880003</v>
      </c>
      <c r="V55" s="309"/>
      <c r="W55" s="634">
        <f>+W56+W64</f>
        <v>3366783846.4919996</v>
      </c>
      <c r="X55" s="748"/>
      <c r="Y55" s="488"/>
      <c r="Z55" s="486">
        <v>167</v>
      </c>
    </row>
    <row r="56" spans="1:32" ht="51" customHeight="1">
      <c r="A56" s="301" t="s">
        <v>502</v>
      </c>
      <c r="B56" s="187"/>
      <c r="C56" s="205"/>
      <c r="D56" s="206"/>
      <c r="E56" s="207">
        <f>SUM(E57:E63)</f>
        <v>18773972582.088001</v>
      </c>
      <c r="F56" s="680"/>
      <c r="G56" s="207">
        <f>SUM(G57:G63)</f>
        <v>18612127966.492001</v>
      </c>
      <c r="H56" s="267">
        <v>0</v>
      </c>
      <c r="I56" s="314">
        <f>SUM(I57:I63)</f>
        <v>6225571624</v>
      </c>
      <c r="J56" s="351"/>
      <c r="K56" s="307">
        <f>SUM(K57:K63)</f>
        <v>6187869567</v>
      </c>
      <c r="L56" s="206">
        <v>0</v>
      </c>
      <c r="M56" s="252">
        <f>SUM(M57:M63)</f>
        <v>2009962234</v>
      </c>
      <c r="N56" s="206">
        <v>0</v>
      </c>
      <c r="O56" s="207">
        <f>SUM(O57:O63)</f>
        <v>2009962043</v>
      </c>
      <c r="P56" s="207">
        <v>0</v>
      </c>
      <c r="Q56" s="207">
        <f>SUM(Q57:Q63)</f>
        <v>7695436965</v>
      </c>
      <c r="R56" s="307">
        <v>0</v>
      </c>
      <c r="S56" s="207">
        <f>SUM(S57:S63)</f>
        <v>7593056118</v>
      </c>
      <c r="T56" s="207"/>
      <c r="U56" s="207">
        <f t="shared" ref="U56" si="16">SUM(U57:U63)</f>
        <v>2843001759.0880003</v>
      </c>
      <c r="V56" s="766"/>
      <c r="W56" s="635">
        <f>SUM(W57:W63)</f>
        <v>2821240238.4919996</v>
      </c>
      <c r="X56" s="749"/>
      <c r="Y56" s="488"/>
      <c r="Z56" s="488">
        <f>+T51-Z55</f>
        <v>100</v>
      </c>
      <c r="AA56" s="488"/>
      <c r="AB56" s="62">
        <f>75+Z55</f>
        <v>242</v>
      </c>
    </row>
    <row r="57" spans="1:32" ht="41.25" customHeight="1">
      <c r="A57" s="244" t="s">
        <v>394</v>
      </c>
      <c r="B57" s="246" t="s">
        <v>186</v>
      </c>
      <c r="C57" s="174" t="s">
        <v>1</v>
      </c>
      <c r="D57" s="242">
        <f>+H57+L57+P57+T57</f>
        <v>100</v>
      </c>
      <c r="E57" s="72">
        <f>+I57+M57+Q57+U57</f>
        <v>888909547.60000002</v>
      </c>
      <c r="F57" s="209">
        <f>+J57+N57+R57+V57</f>
        <v>100</v>
      </c>
      <c r="G57" s="72">
        <f t="shared" ref="G57:G63" si="17">+K57+O57+S57+W57</f>
        <v>885467060</v>
      </c>
      <c r="H57" s="263">
        <v>25</v>
      </c>
      <c r="I57" s="589">
        <v>80922400</v>
      </c>
      <c r="J57" s="339">
        <v>25</v>
      </c>
      <c r="K57" s="209">
        <v>80922400</v>
      </c>
      <c r="L57" s="263">
        <v>25</v>
      </c>
      <c r="M57" s="783">
        <v>227840867</v>
      </c>
      <c r="N57" s="339">
        <v>25</v>
      </c>
      <c r="O57" s="72">
        <v>227840867</v>
      </c>
      <c r="P57" s="263">
        <v>25</v>
      </c>
      <c r="Q57" s="589">
        <v>230538722</v>
      </c>
      <c r="R57" s="209">
        <v>25</v>
      </c>
      <c r="S57" s="72">
        <v>230114750</v>
      </c>
      <c r="T57" s="263">
        <v>25</v>
      </c>
      <c r="U57" s="72">
        <v>349607558.60000002</v>
      </c>
      <c r="V57" s="71">
        <v>25</v>
      </c>
      <c r="W57" s="220">
        <v>346589043</v>
      </c>
      <c r="X57" s="255"/>
      <c r="Y57" s="488"/>
      <c r="Z57" s="488">
        <f>+T51-Z55</f>
        <v>100</v>
      </c>
      <c r="AA57" s="488"/>
    </row>
    <row r="58" spans="1:32" ht="54">
      <c r="A58" s="323" t="s">
        <v>395</v>
      </c>
      <c r="B58" s="246" t="s">
        <v>186</v>
      </c>
      <c r="C58" s="174" t="s">
        <v>1</v>
      </c>
      <c r="D58" s="242">
        <f>+H58+L58+P58+T58</f>
        <v>100</v>
      </c>
      <c r="E58" s="72">
        <f t="shared" ref="E58:E68" si="18">+I58+M58+Q58+U58</f>
        <v>0</v>
      </c>
      <c r="F58" s="209">
        <f>+J58+N58+R58+V58</f>
        <v>100</v>
      </c>
      <c r="G58" s="72">
        <f t="shared" si="17"/>
        <v>0</v>
      </c>
      <c r="H58" s="263">
        <v>19</v>
      </c>
      <c r="I58" s="589">
        <v>0</v>
      </c>
      <c r="J58" s="339">
        <v>19</v>
      </c>
      <c r="K58" s="209">
        <v>0</v>
      </c>
      <c r="L58" s="273">
        <v>27</v>
      </c>
      <c r="M58" s="783">
        <v>0</v>
      </c>
      <c r="N58" s="339">
        <v>27</v>
      </c>
      <c r="O58" s="72">
        <v>0</v>
      </c>
      <c r="P58" s="263">
        <v>27</v>
      </c>
      <c r="Q58" s="589">
        <v>0</v>
      </c>
      <c r="R58" s="576">
        <v>27</v>
      </c>
      <c r="S58" s="72">
        <v>0</v>
      </c>
      <c r="T58" s="263">
        <v>27</v>
      </c>
      <c r="U58" s="72">
        <v>0</v>
      </c>
      <c r="V58" s="209">
        <v>27</v>
      </c>
      <c r="W58" s="636">
        <v>0</v>
      </c>
      <c r="X58" s="750"/>
      <c r="Y58" s="488">
        <f>+P58*0.67</f>
        <v>18.09</v>
      </c>
      <c r="Z58" s="490"/>
      <c r="AA58" s="490"/>
      <c r="AB58" s="253"/>
      <c r="AC58" s="253"/>
      <c r="AD58" s="253"/>
      <c r="AE58" s="254"/>
      <c r="AF58" s="255"/>
    </row>
    <row r="59" spans="1:32" ht="54">
      <c r="A59" s="326" t="s">
        <v>396</v>
      </c>
      <c r="B59" s="246" t="s">
        <v>186</v>
      </c>
      <c r="C59" s="174" t="s">
        <v>489</v>
      </c>
      <c r="D59" s="242">
        <v>11</v>
      </c>
      <c r="E59" s="72">
        <f>+I59+M59+Q59+U59</f>
        <v>2491671683</v>
      </c>
      <c r="F59" s="209">
        <f>+J59+N59+R59+V59</f>
        <v>11</v>
      </c>
      <c r="G59" s="72">
        <f t="shared" si="17"/>
        <v>2414398744.448</v>
      </c>
      <c r="H59" s="263">
        <v>2</v>
      </c>
      <c r="I59" s="589">
        <v>1426503980</v>
      </c>
      <c r="J59" s="339">
        <v>2</v>
      </c>
      <c r="K59" s="209">
        <v>1397054484</v>
      </c>
      <c r="L59" s="263">
        <v>3</v>
      </c>
      <c r="M59" s="783">
        <v>570006056</v>
      </c>
      <c r="N59" s="339">
        <v>3</v>
      </c>
      <c r="O59" s="72">
        <v>570006056</v>
      </c>
      <c r="P59" s="263">
        <v>3</v>
      </c>
      <c r="Q59" s="589">
        <v>207914483</v>
      </c>
      <c r="R59" s="577">
        <v>3</v>
      </c>
      <c r="S59" s="72">
        <v>177923158</v>
      </c>
      <c r="T59" s="263">
        <v>3</v>
      </c>
      <c r="U59" s="72">
        <v>287247164</v>
      </c>
      <c r="V59" s="71">
        <v>3</v>
      </c>
      <c r="W59" s="220">
        <v>269415046.44800001</v>
      </c>
      <c r="X59" s="255"/>
      <c r="Y59" s="488">
        <f>+R59/P59*100</f>
        <v>100</v>
      </c>
      <c r="Z59" s="488">
        <v>21687999</v>
      </c>
      <c r="AA59" s="488">
        <f>+E59-G59</f>
        <v>77272938.552000046</v>
      </c>
    </row>
    <row r="60" spans="1:32" ht="44.25" customHeight="1">
      <c r="A60" s="327" t="s">
        <v>519</v>
      </c>
      <c r="B60" s="246" t="s">
        <v>188</v>
      </c>
      <c r="C60" s="174" t="s">
        <v>397</v>
      </c>
      <c r="D60" s="242">
        <f>AVERAGE(H60,L60,P60,T60)</f>
        <v>1</v>
      </c>
      <c r="E60" s="72">
        <f t="shared" si="18"/>
        <v>160033113.48800001</v>
      </c>
      <c r="F60" s="209">
        <f>AVERAGE(J60,N60,R60,V60)</f>
        <v>1</v>
      </c>
      <c r="G60" s="72">
        <f t="shared" si="17"/>
        <v>159704480</v>
      </c>
      <c r="H60" s="258">
        <v>1</v>
      </c>
      <c r="I60" s="589">
        <v>23493600</v>
      </c>
      <c r="J60" s="349">
        <v>1</v>
      </c>
      <c r="K60" s="209">
        <v>23493600</v>
      </c>
      <c r="L60" s="263">
        <v>1</v>
      </c>
      <c r="M60" s="783">
        <v>47733310</v>
      </c>
      <c r="N60" s="339">
        <v>1</v>
      </c>
      <c r="O60" s="72">
        <v>47733310</v>
      </c>
      <c r="P60" s="263">
        <v>1</v>
      </c>
      <c r="Q60" s="589">
        <v>45564303</v>
      </c>
      <c r="R60" s="590">
        <v>1</v>
      </c>
      <c r="S60" s="72">
        <v>45235670</v>
      </c>
      <c r="T60" s="263">
        <v>1</v>
      </c>
      <c r="U60" s="72">
        <v>43241900.487999998</v>
      </c>
      <c r="V60" s="71">
        <v>1</v>
      </c>
      <c r="W60" s="220">
        <v>43241900</v>
      </c>
      <c r="X60" s="255"/>
      <c r="Y60" s="488"/>
    </row>
    <row r="61" spans="1:32" ht="47.25" customHeight="1">
      <c r="A61" s="327" t="s">
        <v>398</v>
      </c>
      <c r="B61" s="246" t="s">
        <v>186</v>
      </c>
      <c r="C61" s="174" t="s">
        <v>399</v>
      </c>
      <c r="D61" s="242">
        <f>+H61+L61+P61+T61</f>
        <v>8</v>
      </c>
      <c r="E61" s="72">
        <f t="shared" si="18"/>
        <v>0</v>
      </c>
      <c r="F61" s="209">
        <f>+J61+N61+R61+V61</f>
        <v>8</v>
      </c>
      <c r="G61" s="72">
        <f t="shared" si="17"/>
        <v>0</v>
      </c>
      <c r="H61" s="263">
        <v>2</v>
      </c>
      <c r="I61" s="589">
        <v>0</v>
      </c>
      <c r="J61" s="349">
        <v>2</v>
      </c>
      <c r="K61" s="209">
        <v>0</v>
      </c>
      <c r="L61" s="263">
        <v>2</v>
      </c>
      <c r="M61" s="783">
        <v>0</v>
      </c>
      <c r="N61" s="339">
        <v>2</v>
      </c>
      <c r="O61" s="72">
        <v>0</v>
      </c>
      <c r="P61" s="263">
        <v>2</v>
      </c>
      <c r="Q61" s="589">
        <v>0</v>
      </c>
      <c r="R61" s="577">
        <v>2</v>
      </c>
      <c r="S61" s="72">
        <v>0</v>
      </c>
      <c r="T61" s="263">
        <v>2</v>
      </c>
      <c r="U61" s="72">
        <v>0</v>
      </c>
      <c r="V61" s="71">
        <v>2</v>
      </c>
      <c r="W61" s="220">
        <v>0</v>
      </c>
      <c r="X61" s="255"/>
      <c r="Y61" s="488"/>
    </row>
    <row r="62" spans="1:32" ht="108">
      <c r="A62" s="327" t="s">
        <v>400</v>
      </c>
      <c r="B62" s="246" t="s">
        <v>190</v>
      </c>
      <c r="C62" s="174" t="s">
        <v>399</v>
      </c>
      <c r="D62" s="242">
        <f>AVERAGE(H62,L62,P62,T62)</f>
        <v>1.5</v>
      </c>
      <c r="E62" s="72">
        <f>+I62+M62+Q62+U62</f>
        <v>15122012618</v>
      </c>
      <c r="F62" s="209">
        <f>AVERAGE(J62,N62,R62,V62)</f>
        <v>1.5</v>
      </c>
      <c r="G62" s="72">
        <f>+K62+O62+S62+W62</f>
        <v>15042242377.044001</v>
      </c>
      <c r="H62" s="263">
        <v>1</v>
      </c>
      <c r="I62" s="589">
        <v>4676133681</v>
      </c>
      <c r="J62" s="339">
        <v>1</v>
      </c>
      <c r="K62" s="209">
        <v>4668911244</v>
      </c>
      <c r="L62" s="263">
        <v>2</v>
      </c>
      <c r="M62" s="783">
        <v>1148462321</v>
      </c>
      <c r="N62" s="339">
        <v>2</v>
      </c>
      <c r="O62" s="72">
        <v>1148462321</v>
      </c>
      <c r="P62" s="263">
        <v>1</v>
      </c>
      <c r="Q62" s="589">
        <v>7192503044</v>
      </c>
      <c r="R62" s="577">
        <v>1</v>
      </c>
      <c r="S62" s="72">
        <v>7120866127</v>
      </c>
      <c r="T62" s="263">
        <v>2</v>
      </c>
      <c r="U62" s="72">
        <v>2104913572</v>
      </c>
      <c r="V62" s="71">
        <v>2</v>
      </c>
      <c r="W62" s="220">
        <v>2104002685.0439999</v>
      </c>
      <c r="X62" s="255"/>
      <c r="Y62" s="488"/>
    </row>
    <row r="63" spans="1:32" ht="69.75" customHeight="1">
      <c r="A63" s="325" t="s">
        <v>514</v>
      </c>
      <c r="B63" s="283"/>
      <c r="C63" s="174" t="s">
        <v>515</v>
      </c>
      <c r="D63" s="174"/>
      <c r="E63" s="72">
        <f>+I63+M63+Q63+U63</f>
        <v>111345620</v>
      </c>
      <c r="F63" s="209"/>
      <c r="G63" s="72">
        <f t="shared" si="17"/>
        <v>110315305</v>
      </c>
      <c r="H63" s="263"/>
      <c r="I63" s="589">
        <v>18517963</v>
      </c>
      <c r="J63" s="339">
        <v>0</v>
      </c>
      <c r="K63" s="209">
        <v>17487839</v>
      </c>
      <c r="L63" s="263"/>
      <c r="M63" s="783">
        <v>15919680</v>
      </c>
      <c r="N63" s="339"/>
      <c r="O63" s="209">
        <v>15919489</v>
      </c>
      <c r="P63" s="263">
        <v>0</v>
      </c>
      <c r="Q63" s="589">
        <v>18916413</v>
      </c>
      <c r="R63" s="209">
        <v>0</v>
      </c>
      <c r="S63" s="72">
        <v>18916413</v>
      </c>
      <c r="T63" s="263"/>
      <c r="U63" s="72">
        <v>57991564</v>
      </c>
      <c r="V63" s="291"/>
      <c r="W63" s="293">
        <v>57991564</v>
      </c>
      <c r="X63" s="255"/>
      <c r="Y63" s="488"/>
    </row>
    <row r="64" spans="1:32" ht="36">
      <c r="A64" s="297" t="s">
        <v>501</v>
      </c>
      <c r="B64" s="187"/>
      <c r="C64" s="206"/>
      <c r="D64" s="208"/>
      <c r="E64" s="207">
        <f>SUM(E65:E68)</f>
        <v>1987481005.888</v>
      </c>
      <c r="F64" s="681"/>
      <c r="G64" s="207">
        <f>SUM(G65:G68)</f>
        <v>1983024613.888</v>
      </c>
      <c r="H64" s="258">
        <v>0</v>
      </c>
      <c r="I64" s="207">
        <f>SUM(I65:I68)</f>
        <v>123606170</v>
      </c>
      <c r="J64" s="351"/>
      <c r="K64" s="307">
        <f>SUM(K65:K68)</f>
        <v>123606170</v>
      </c>
      <c r="L64" s="258">
        <v>0</v>
      </c>
      <c r="M64" s="207">
        <f>SUM(M65:M68)</f>
        <v>813991537</v>
      </c>
      <c r="N64" s="206">
        <v>0</v>
      </c>
      <c r="O64" s="207">
        <f>SUM(O65:O68)</f>
        <v>813991537</v>
      </c>
      <c r="P64" s="279"/>
      <c r="Q64" s="207">
        <f>SUM(Q65:Q68)</f>
        <v>499883298.88800001</v>
      </c>
      <c r="R64" s="307">
        <v>0</v>
      </c>
      <c r="S64" s="207">
        <f>SUM(S65:S68)</f>
        <v>499883298.88800001</v>
      </c>
      <c r="T64" s="207"/>
      <c r="U64" s="207">
        <f t="shared" ref="U64" si="19">SUM(U65:U68)</f>
        <v>550000000</v>
      </c>
      <c r="V64" s="766"/>
      <c r="W64" s="635">
        <f>SUM(W65:W68)</f>
        <v>545543608</v>
      </c>
      <c r="X64" s="749"/>
      <c r="Y64" s="488"/>
      <c r="AA64" s="488"/>
    </row>
    <row r="65" spans="1:27" ht="64.5" customHeight="1">
      <c r="A65" s="244" t="s">
        <v>401</v>
      </c>
      <c r="B65" s="178" t="s">
        <v>186</v>
      </c>
      <c r="C65" s="174" t="s">
        <v>1</v>
      </c>
      <c r="D65" s="242">
        <f>+H65+L65+P65+T65</f>
        <v>100</v>
      </c>
      <c r="E65" s="72">
        <f t="shared" si="18"/>
        <v>52999999.508000001</v>
      </c>
      <c r="F65" s="209">
        <f t="shared" ref="F65:G68" si="20">+J65+N65+R65+V65</f>
        <v>100</v>
      </c>
      <c r="G65" s="72">
        <f t="shared" si="20"/>
        <v>52999999.508000001</v>
      </c>
      <c r="H65" s="263">
        <v>30</v>
      </c>
      <c r="I65" s="589">
        <v>0</v>
      </c>
      <c r="J65" s="339">
        <v>30</v>
      </c>
      <c r="K65" s="209">
        <v>0</v>
      </c>
      <c r="L65" s="263">
        <v>30</v>
      </c>
      <c r="M65" s="783">
        <v>0</v>
      </c>
      <c r="N65" s="339">
        <v>30</v>
      </c>
      <c r="O65" s="72">
        <v>0</v>
      </c>
      <c r="P65" s="263">
        <v>20</v>
      </c>
      <c r="Q65" s="72">
        <v>52999999.508000001</v>
      </c>
      <c r="R65" s="576">
        <v>20</v>
      </c>
      <c r="S65" s="288">
        <v>52999999.508000001</v>
      </c>
      <c r="T65" s="278">
        <v>20</v>
      </c>
      <c r="U65" s="72">
        <v>0</v>
      </c>
      <c r="V65" s="73">
        <v>20</v>
      </c>
      <c r="W65" s="220">
        <v>0</v>
      </c>
      <c r="X65" s="255"/>
      <c r="Y65" s="488">
        <f>+R65/P65*100</f>
        <v>100</v>
      </c>
      <c r="AA65" s="488"/>
    </row>
    <row r="66" spans="1:27" ht="49.5" customHeight="1">
      <c r="A66" s="300" t="s">
        <v>403</v>
      </c>
      <c r="B66" s="178" t="s">
        <v>186</v>
      </c>
      <c r="C66" s="178" t="s">
        <v>130</v>
      </c>
      <c r="D66" s="242">
        <f>+H66+L66+P66+T66</f>
        <v>8</v>
      </c>
      <c r="E66" s="72">
        <f t="shared" si="18"/>
        <v>419638592.88999999</v>
      </c>
      <c r="F66" s="209">
        <f t="shared" si="20"/>
        <v>8</v>
      </c>
      <c r="G66" s="72">
        <f t="shared" si="20"/>
        <v>419638502.08999997</v>
      </c>
      <c r="H66" s="263">
        <v>2</v>
      </c>
      <c r="I66" s="589">
        <v>0</v>
      </c>
      <c r="J66" s="339">
        <v>2</v>
      </c>
      <c r="K66" s="209">
        <v>0</v>
      </c>
      <c r="L66" s="263">
        <v>2</v>
      </c>
      <c r="M66" s="783">
        <v>122638600</v>
      </c>
      <c r="N66" s="339">
        <v>2</v>
      </c>
      <c r="O66" s="72">
        <v>122638600</v>
      </c>
      <c r="P66" s="263">
        <v>2</v>
      </c>
      <c r="Q66" s="72">
        <v>146999992.89000002</v>
      </c>
      <c r="R66" s="577">
        <v>2</v>
      </c>
      <c r="S66" s="72">
        <v>146999992.89000002</v>
      </c>
      <c r="T66" s="263">
        <v>2</v>
      </c>
      <c r="U66" s="72">
        <v>150000000</v>
      </c>
      <c r="V66" s="71">
        <v>2</v>
      </c>
      <c r="W66" s="220">
        <v>149999909.19999999</v>
      </c>
      <c r="X66" s="255"/>
      <c r="Y66" s="488">
        <f>+R66/P66*100</f>
        <v>100</v>
      </c>
    </row>
    <row r="67" spans="1:27" ht="61.5" customHeight="1">
      <c r="A67" s="299" t="s">
        <v>404</v>
      </c>
      <c r="B67" s="178" t="s">
        <v>186</v>
      </c>
      <c r="C67" s="174" t="s">
        <v>406</v>
      </c>
      <c r="D67" s="242">
        <f>+H67+L67+P67+T67</f>
        <v>2</v>
      </c>
      <c r="E67" s="72">
        <f t="shared" si="18"/>
        <v>129896750</v>
      </c>
      <c r="F67" s="209">
        <f t="shared" si="20"/>
        <v>2</v>
      </c>
      <c r="G67" s="72">
        <f t="shared" si="20"/>
        <v>129896750</v>
      </c>
      <c r="H67" s="263">
        <v>1</v>
      </c>
      <c r="I67" s="589">
        <v>50200000</v>
      </c>
      <c r="J67" s="380">
        <v>1</v>
      </c>
      <c r="K67" s="209">
        <v>50200000</v>
      </c>
      <c r="L67" s="258">
        <v>1</v>
      </c>
      <c r="M67" s="783">
        <v>79696750</v>
      </c>
      <c r="N67" s="514">
        <v>1</v>
      </c>
      <c r="O67" s="72">
        <v>79696750</v>
      </c>
      <c r="P67" s="263">
        <v>0</v>
      </c>
      <c r="Q67" s="72">
        <v>0</v>
      </c>
      <c r="R67" s="209">
        <v>0</v>
      </c>
      <c r="S67" s="72">
        <v>0</v>
      </c>
      <c r="T67" s="263">
        <v>0</v>
      </c>
      <c r="U67" s="72">
        <v>0</v>
      </c>
      <c r="V67" s="225">
        <v>0</v>
      </c>
      <c r="W67" s="220">
        <v>0</v>
      </c>
      <c r="X67" s="255"/>
      <c r="Y67" s="488"/>
    </row>
    <row r="68" spans="1:27" ht="90.75" customHeight="1">
      <c r="A68" s="299" t="s">
        <v>405</v>
      </c>
      <c r="B68" s="178" t="s">
        <v>186</v>
      </c>
      <c r="C68" s="174" t="s">
        <v>130</v>
      </c>
      <c r="D68" s="242">
        <f>+H68+L68+P68+T68</f>
        <v>4</v>
      </c>
      <c r="E68" s="72">
        <f t="shared" si="18"/>
        <v>1384945663.49</v>
      </c>
      <c r="F68" s="209">
        <f t="shared" si="20"/>
        <v>4</v>
      </c>
      <c r="G68" s="72">
        <f t="shared" si="20"/>
        <v>1380489362.29</v>
      </c>
      <c r="H68" s="263">
        <v>1</v>
      </c>
      <c r="I68" s="589">
        <v>73406170</v>
      </c>
      <c r="J68" s="342">
        <v>1</v>
      </c>
      <c r="K68" s="209">
        <v>73406170</v>
      </c>
      <c r="L68" s="258">
        <v>1</v>
      </c>
      <c r="M68" s="783">
        <v>611656187</v>
      </c>
      <c r="N68" s="496">
        <v>1</v>
      </c>
      <c r="O68" s="72">
        <v>611656187</v>
      </c>
      <c r="P68" s="263">
        <v>1</v>
      </c>
      <c r="Q68" s="72">
        <v>299883306.49000001</v>
      </c>
      <c r="R68" s="209">
        <v>1</v>
      </c>
      <c r="S68" s="72">
        <v>299883306.49000001</v>
      </c>
      <c r="T68" s="263">
        <v>1</v>
      </c>
      <c r="U68" s="72">
        <v>400000000</v>
      </c>
      <c r="V68" s="225">
        <v>1</v>
      </c>
      <c r="W68" s="220">
        <v>395543698.80000001</v>
      </c>
      <c r="X68" s="255"/>
      <c r="Y68" s="488"/>
      <c r="AA68" s="491"/>
    </row>
    <row r="69" spans="1:27" ht="51" customHeight="1">
      <c r="A69" s="190" t="s">
        <v>407</v>
      </c>
      <c r="B69" s="191"/>
      <c r="C69" s="203"/>
      <c r="D69" s="203"/>
      <c r="E69" s="204">
        <f>+E70</f>
        <v>9009289535.3049088</v>
      </c>
      <c r="F69" s="682"/>
      <c r="G69" s="204">
        <f>+G70</f>
        <v>8995999030.6079998</v>
      </c>
      <c r="H69" s="204"/>
      <c r="I69" s="204">
        <f>+I70</f>
        <v>2001067651</v>
      </c>
      <c r="J69" s="351"/>
      <c r="K69" s="192">
        <f>+K70</f>
        <v>2000666263</v>
      </c>
      <c r="L69" s="204"/>
      <c r="M69" s="204">
        <f>+M70</f>
        <v>2462938495.152</v>
      </c>
      <c r="N69" s="204"/>
      <c r="O69" s="204">
        <f>+O70</f>
        <v>2462938495.152</v>
      </c>
      <c r="P69" s="204"/>
      <c r="Q69" s="204">
        <f>+Q70</f>
        <v>2776544039.5959997</v>
      </c>
      <c r="R69" s="192"/>
      <c r="S69" s="204">
        <f>+S70</f>
        <v>2776544039.5959997</v>
      </c>
      <c r="T69" s="204">
        <f t="shared" ref="T69:U69" si="21">+T70</f>
        <v>0</v>
      </c>
      <c r="U69" s="204">
        <f t="shared" si="21"/>
        <v>1768739349.5569079</v>
      </c>
      <c r="V69" s="192"/>
      <c r="W69" s="637">
        <f>+W70</f>
        <v>1755850232.8600001</v>
      </c>
      <c r="X69" s="751"/>
      <c r="Y69" s="488">
        <v>1768739350.1519499</v>
      </c>
    </row>
    <row r="70" spans="1:27" ht="39.75" customHeight="1">
      <c r="A70" s="301" t="s">
        <v>500</v>
      </c>
      <c r="B70" s="187"/>
      <c r="C70" s="206"/>
      <c r="D70" s="208"/>
      <c r="E70" s="207">
        <f>SUM(E71:E86)</f>
        <v>9009289535.3049088</v>
      </c>
      <c r="F70" s="680"/>
      <c r="G70" s="207">
        <f>SUM(G71:G86)</f>
        <v>8995999030.6079998</v>
      </c>
      <c r="H70" s="267">
        <v>0</v>
      </c>
      <c r="I70" s="207">
        <f>SUM(I71:I86)</f>
        <v>2001067651</v>
      </c>
      <c r="J70" s="351"/>
      <c r="K70" s="307">
        <f>SUM(K71:K86)</f>
        <v>2000666263</v>
      </c>
      <c r="L70" s="206"/>
      <c r="M70" s="204">
        <f>SUM(M71:M86)</f>
        <v>2462938495.152</v>
      </c>
      <c r="N70" s="206"/>
      <c r="O70" s="207">
        <f>SUM(O71:O86)</f>
        <v>2462938495.152</v>
      </c>
      <c r="P70" s="207"/>
      <c r="Q70" s="207">
        <f>SUM(Q71:Q86)</f>
        <v>2776544039.5959997</v>
      </c>
      <c r="R70" s="307">
        <v>0</v>
      </c>
      <c r="S70" s="207">
        <f>SUM(S71:S86)</f>
        <v>2776544039.5959997</v>
      </c>
      <c r="T70" s="207"/>
      <c r="U70" s="207">
        <f t="shared" ref="U70" si="22">SUM(U71:U86)</f>
        <v>1768739349.5569079</v>
      </c>
      <c r="V70" s="766"/>
      <c r="W70" s="635">
        <f>SUM(W71:W86)</f>
        <v>1755850232.8600001</v>
      </c>
      <c r="X70" s="749"/>
      <c r="Y70" s="488">
        <v>1755850233</v>
      </c>
      <c r="Z70" s="488">
        <f>+Y70-W70</f>
        <v>0.1399998664855957</v>
      </c>
      <c r="AA70" s="491"/>
    </row>
    <row r="71" spans="1:27" ht="54.75" customHeight="1">
      <c r="A71" s="244" t="s">
        <v>408</v>
      </c>
      <c r="B71" s="211" t="s">
        <v>188</v>
      </c>
      <c r="C71" s="174" t="s">
        <v>179</v>
      </c>
      <c r="D71" s="242">
        <f t="shared" ref="D71:D78" si="23">AVERAGE(H71,L71,P71,T71)</f>
        <v>100</v>
      </c>
      <c r="E71" s="72">
        <f t="shared" ref="E71:E86" si="24">+I71+M71+Q71+U71</f>
        <v>0</v>
      </c>
      <c r="F71" s="209">
        <f t="shared" ref="F71:F78" si="25">AVERAGE(J71,N71,R71,V71)</f>
        <v>100</v>
      </c>
      <c r="G71" s="72">
        <f t="shared" ref="G71:G86" si="26">+K71+O71+S71+W71</f>
        <v>0</v>
      </c>
      <c r="H71" s="263">
        <v>100</v>
      </c>
      <c r="I71" s="589">
        <v>0</v>
      </c>
      <c r="J71" s="339">
        <v>100</v>
      </c>
      <c r="K71" s="209"/>
      <c r="L71" s="263">
        <v>100</v>
      </c>
      <c r="M71" s="791">
        <v>0</v>
      </c>
      <c r="N71" s="339">
        <v>100</v>
      </c>
      <c r="O71" s="72">
        <v>0</v>
      </c>
      <c r="P71" s="263">
        <v>100</v>
      </c>
      <c r="Q71" s="72">
        <v>0</v>
      </c>
      <c r="R71" s="209">
        <v>100</v>
      </c>
      <c r="S71" s="288">
        <v>0</v>
      </c>
      <c r="T71" s="278">
        <v>100</v>
      </c>
      <c r="U71" s="72">
        <v>0</v>
      </c>
      <c r="V71" s="73">
        <v>100</v>
      </c>
      <c r="W71" s="372">
        <v>0</v>
      </c>
      <c r="X71" s="752"/>
      <c r="Y71" s="674"/>
      <c r="AA71" s="491"/>
    </row>
    <row r="72" spans="1:27" ht="66" customHeight="1">
      <c r="A72" s="323" t="s">
        <v>409</v>
      </c>
      <c r="B72" s="211" t="s">
        <v>188</v>
      </c>
      <c r="C72" s="174" t="s">
        <v>179</v>
      </c>
      <c r="D72" s="242">
        <f t="shared" si="23"/>
        <v>100</v>
      </c>
      <c r="E72" s="72">
        <f t="shared" si="24"/>
        <v>13432564</v>
      </c>
      <c r="F72" s="209">
        <f t="shared" si="25"/>
        <v>100</v>
      </c>
      <c r="G72" s="72">
        <f t="shared" si="26"/>
        <v>13432564</v>
      </c>
      <c r="H72" s="263">
        <v>100</v>
      </c>
      <c r="I72" s="589">
        <v>13432564</v>
      </c>
      <c r="J72" s="339">
        <v>100</v>
      </c>
      <c r="K72" s="209">
        <v>13432564</v>
      </c>
      <c r="L72" s="263">
        <v>100</v>
      </c>
      <c r="M72" s="791">
        <v>0</v>
      </c>
      <c r="N72" s="339">
        <v>100</v>
      </c>
      <c r="O72" s="72">
        <v>0</v>
      </c>
      <c r="P72" s="263">
        <v>100</v>
      </c>
      <c r="Q72" s="72">
        <v>0</v>
      </c>
      <c r="R72" s="209">
        <v>100</v>
      </c>
      <c r="S72" s="288">
        <v>0</v>
      </c>
      <c r="T72" s="278">
        <v>100</v>
      </c>
      <c r="U72" s="72">
        <v>0</v>
      </c>
      <c r="V72" s="73">
        <v>100</v>
      </c>
      <c r="W72" s="220">
        <v>0</v>
      </c>
      <c r="X72" s="255"/>
      <c r="Y72" s="488"/>
    </row>
    <row r="73" spans="1:27" ht="54.75" customHeight="1">
      <c r="A73" s="323" t="s">
        <v>410</v>
      </c>
      <c r="B73" s="211" t="s">
        <v>188</v>
      </c>
      <c r="C73" s="174" t="s">
        <v>179</v>
      </c>
      <c r="D73" s="242">
        <f t="shared" si="23"/>
        <v>100</v>
      </c>
      <c r="E73" s="72">
        <f t="shared" si="24"/>
        <v>0</v>
      </c>
      <c r="F73" s="209">
        <f t="shared" si="25"/>
        <v>100</v>
      </c>
      <c r="G73" s="72">
        <f t="shared" si="26"/>
        <v>0</v>
      </c>
      <c r="H73" s="263">
        <v>100</v>
      </c>
      <c r="I73" s="589">
        <v>0</v>
      </c>
      <c r="J73" s="339">
        <v>100</v>
      </c>
      <c r="K73" s="209"/>
      <c r="L73" s="263">
        <v>100</v>
      </c>
      <c r="M73" s="791">
        <v>0</v>
      </c>
      <c r="N73" s="339">
        <v>100</v>
      </c>
      <c r="O73" s="72">
        <v>0</v>
      </c>
      <c r="P73" s="263">
        <v>100</v>
      </c>
      <c r="Q73" s="72">
        <v>0</v>
      </c>
      <c r="R73" s="209">
        <v>100</v>
      </c>
      <c r="S73" s="288">
        <v>0</v>
      </c>
      <c r="T73" s="278">
        <v>100</v>
      </c>
      <c r="U73" s="72">
        <v>0</v>
      </c>
      <c r="V73" s="73">
        <v>100</v>
      </c>
      <c r="W73" s="220">
        <v>0</v>
      </c>
      <c r="X73" s="255"/>
      <c r="Y73" s="488"/>
    </row>
    <row r="74" spans="1:27" ht="41.25" customHeight="1">
      <c r="A74" s="244" t="s">
        <v>411</v>
      </c>
      <c r="B74" s="211" t="s">
        <v>188</v>
      </c>
      <c r="C74" s="174" t="s">
        <v>1</v>
      </c>
      <c r="D74" s="242">
        <f t="shared" si="23"/>
        <v>100</v>
      </c>
      <c r="E74" s="72">
        <f t="shared" si="24"/>
        <v>2378743199.055706</v>
      </c>
      <c r="F74" s="209">
        <f t="shared" si="25"/>
        <v>100</v>
      </c>
      <c r="G74" s="72">
        <f t="shared" si="26"/>
        <v>2376134621.0599999</v>
      </c>
      <c r="H74" s="263">
        <v>100</v>
      </c>
      <c r="I74" s="589">
        <v>371160657</v>
      </c>
      <c r="J74" s="339">
        <v>100</v>
      </c>
      <c r="K74" s="209">
        <v>371160657</v>
      </c>
      <c r="L74" s="263">
        <v>100</v>
      </c>
      <c r="M74" s="791">
        <v>666987069</v>
      </c>
      <c r="N74" s="339">
        <v>100</v>
      </c>
      <c r="O74" s="72">
        <v>666987069</v>
      </c>
      <c r="P74" s="263">
        <v>100</v>
      </c>
      <c r="Q74" s="72">
        <v>855404725</v>
      </c>
      <c r="R74" s="209">
        <v>100</v>
      </c>
      <c r="S74" s="288">
        <v>855404725</v>
      </c>
      <c r="T74" s="278">
        <v>100</v>
      </c>
      <c r="U74" s="72">
        <v>485190748.05570596</v>
      </c>
      <c r="V74" s="73">
        <v>100</v>
      </c>
      <c r="W74" s="220">
        <v>482582170.06</v>
      </c>
      <c r="X74" s="255"/>
      <c r="Y74" s="488">
        <f>+U74-W74</f>
        <v>2608577.9957059622</v>
      </c>
      <c r="Z74" s="491"/>
      <c r="AA74" s="491"/>
    </row>
    <row r="75" spans="1:27" ht="61.5" customHeight="1">
      <c r="A75" s="244" t="s">
        <v>412</v>
      </c>
      <c r="B75" s="211" t="s">
        <v>188</v>
      </c>
      <c r="C75" s="174" t="s">
        <v>490</v>
      </c>
      <c r="D75" s="242">
        <f t="shared" si="23"/>
        <v>60</v>
      </c>
      <c r="E75" s="72">
        <f t="shared" si="24"/>
        <v>0</v>
      </c>
      <c r="F75" s="209">
        <f t="shared" si="25"/>
        <v>60</v>
      </c>
      <c r="G75" s="72">
        <f t="shared" si="26"/>
        <v>0</v>
      </c>
      <c r="H75" s="263">
        <v>60</v>
      </c>
      <c r="I75" s="589">
        <v>0</v>
      </c>
      <c r="J75" s="339">
        <v>60</v>
      </c>
      <c r="K75" s="209"/>
      <c r="L75" s="263">
        <v>60</v>
      </c>
      <c r="M75" s="791">
        <v>0</v>
      </c>
      <c r="N75" s="339">
        <v>60</v>
      </c>
      <c r="O75" s="72">
        <f>+I75-K75</f>
        <v>0</v>
      </c>
      <c r="P75" s="263">
        <v>60</v>
      </c>
      <c r="Q75" s="72">
        <v>0</v>
      </c>
      <c r="R75" s="209">
        <v>60</v>
      </c>
      <c r="S75" s="288">
        <v>0</v>
      </c>
      <c r="T75" s="278">
        <v>60</v>
      </c>
      <c r="U75" s="72">
        <v>0</v>
      </c>
      <c r="V75" s="73">
        <v>60</v>
      </c>
      <c r="W75" s="220">
        <v>0</v>
      </c>
      <c r="X75" s="255"/>
      <c r="Y75" s="488">
        <f t="shared" ref="Y75" si="27">+U75-W75</f>
        <v>0</v>
      </c>
    </row>
    <row r="76" spans="1:27" ht="61.5" customHeight="1">
      <c r="A76" s="244" t="s">
        <v>413</v>
      </c>
      <c r="B76" s="211" t="s">
        <v>188</v>
      </c>
      <c r="C76" s="174" t="s">
        <v>179</v>
      </c>
      <c r="D76" s="242">
        <f t="shared" si="23"/>
        <v>27.5</v>
      </c>
      <c r="E76" s="72">
        <f t="shared" si="24"/>
        <v>445191433.45120203</v>
      </c>
      <c r="F76" s="209">
        <f>AVERAGE(J76,N76,R76,V76)</f>
        <v>27.5</v>
      </c>
      <c r="G76" s="72">
        <f t="shared" si="26"/>
        <v>439211108.30400002</v>
      </c>
      <c r="H76" s="263">
        <v>20</v>
      </c>
      <c r="I76" s="589">
        <v>0</v>
      </c>
      <c r="J76" s="339">
        <v>20</v>
      </c>
      <c r="K76" s="209"/>
      <c r="L76" s="263">
        <v>25</v>
      </c>
      <c r="M76" s="791">
        <v>0</v>
      </c>
      <c r="N76" s="339">
        <v>25</v>
      </c>
      <c r="O76" s="72">
        <f>+I76-K76</f>
        <v>0</v>
      </c>
      <c r="P76" s="263">
        <v>30</v>
      </c>
      <c r="Q76" s="72">
        <v>297312045</v>
      </c>
      <c r="R76" s="209">
        <v>30</v>
      </c>
      <c r="S76" s="288">
        <v>297312045</v>
      </c>
      <c r="T76" s="278">
        <v>35</v>
      </c>
      <c r="U76" s="72">
        <v>147879388.45120201</v>
      </c>
      <c r="V76" s="73">
        <v>35</v>
      </c>
      <c r="W76" s="220">
        <v>141899063.30399999</v>
      </c>
      <c r="X76" s="255"/>
      <c r="Y76" s="488">
        <f>+U76-W76</f>
        <v>5980325.1472020149</v>
      </c>
    </row>
    <row r="77" spans="1:27" ht="61.5" customHeight="1">
      <c r="A77" s="320" t="s">
        <v>414</v>
      </c>
      <c r="B77" s="211" t="s">
        <v>188</v>
      </c>
      <c r="C77" s="174" t="s">
        <v>179</v>
      </c>
      <c r="D77" s="242">
        <f t="shared" si="23"/>
        <v>100</v>
      </c>
      <c r="E77" s="72">
        <f t="shared" si="24"/>
        <v>267780424.62</v>
      </c>
      <c r="F77" s="209">
        <f t="shared" si="25"/>
        <v>100</v>
      </c>
      <c r="G77" s="72">
        <f t="shared" si="26"/>
        <v>267770384.5</v>
      </c>
      <c r="H77" s="263">
        <v>100</v>
      </c>
      <c r="I77" s="589">
        <v>68322200</v>
      </c>
      <c r="J77" s="339">
        <v>100</v>
      </c>
      <c r="K77" s="209">
        <v>68322200</v>
      </c>
      <c r="L77" s="263">
        <v>100</v>
      </c>
      <c r="M77" s="791">
        <v>75011224.5</v>
      </c>
      <c r="N77" s="339">
        <v>100</v>
      </c>
      <c r="O77" s="72">
        <v>75011224.5</v>
      </c>
      <c r="P77" s="263">
        <v>100</v>
      </c>
      <c r="Q77" s="72">
        <v>75000000</v>
      </c>
      <c r="R77" s="578">
        <v>100</v>
      </c>
      <c r="S77" s="288">
        <v>75000000</v>
      </c>
      <c r="T77" s="278">
        <v>100</v>
      </c>
      <c r="U77" s="72">
        <v>49447000.119999997</v>
      </c>
      <c r="V77" s="73">
        <v>100</v>
      </c>
      <c r="W77" s="220">
        <v>49436960</v>
      </c>
      <c r="X77" s="255"/>
      <c r="Y77" s="488">
        <f t="shared" ref="Y77:Y86" si="28">+U77-W77</f>
        <v>10040.119999997318</v>
      </c>
    </row>
    <row r="78" spans="1:27" ht="61.5" customHeight="1">
      <c r="A78" s="300" t="s">
        <v>520</v>
      </c>
      <c r="B78" s="211" t="s">
        <v>188</v>
      </c>
      <c r="C78" s="174" t="s">
        <v>181</v>
      </c>
      <c r="D78" s="242">
        <f t="shared" si="23"/>
        <v>1</v>
      </c>
      <c r="E78" s="72">
        <f t="shared" si="24"/>
        <v>3740683715.7480001</v>
      </c>
      <c r="F78" s="209">
        <f t="shared" si="25"/>
        <v>1</v>
      </c>
      <c r="G78" s="72">
        <f t="shared" si="26"/>
        <v>3740112211.9960003</v>
      </c>
      <c r="H78" s="263">
        <v>1</v>
      </c>
      <c r="I78" s="589">
        <v>979659929</v>
      </c>
      <c r="J78" s="339">
        <v>1</v>
      </c>
      <c r="K78" s="209">
        <v>979258541</v>
      </c>
      <c r="L78" s="263">
        <v>1</v>
      </c>
      <c r="M78" s="791">
        <v>1229244033.152</v>
      </c>
      <c r="N78" s="339">
        <v>1</v>
      </c>
      <c r="O78" s="200">
        <v>1229244033.152</v>
      </c>
      <c r="P78" s="263">
        <v>1</v>
      </c>
      <c r="Q78" s="72">
        <v>921472367.59599996</v>
      </c>
      <c r="R78" s="578">
        <v>1</v>
      </c>
      <c r="S78" s="288">
        <v>921472367.59599996</v>
      </c>
      <c r="T78" s="278">
        <v>1</v>
      </c>
      <c r="U78" s="72">
        <v>610307386</v>
      </c>
      <c r="V78" s="73">
        <v>1</v>
      </c>
      <c r="W78" s="220">
        <v>610137270.24800026</v>
      </c>
      <c r="X78" s="255"/>
      <c r="Y78" s="488">
        <f>+U78-W78</f>
        <v>170115.75199973583</v>
      </c>
      <c r="AA78" s="488"/>
    </row>
    <row r="79" spans="1:27" ht="78.75" customHeight="1">
      <c r="A79" s="300" t="s">
        <v>416</v>
      </c>
      <c r="B79" s="280" t="s">
        <v>491</v>
      </c>
      <c r="C79" s="174" t="s">
        <v>417</v>
      </c>
      <c r="D79" s="242">
        <f>+H79+L79+P79+T79</f>
        <v>4</v>
      </c>
      <c r="E79" s="72">
        <f>+I79+M79+Q79+U79</f>
        <v>273481512.33999997</v>
      </c>
      <c r="F79" s="209">
        <f>+J79+N79+R79+V79</f>
        <v>4</v>
      </c>
      <c r="G79" s="72">
        <f t="shared" si="26"/>
        <v>273481512</v>
      </c>
      <c r="H79" s="263">
        <v>1</v>
      </c>
      <c r="I79" s="589">
        <v>182697542</v>
      </c>
      <c r="J79" s="339">
        <v>1</v>
      </c>
      <c r="K79" s="209">
        <v>182697542</v>
      </c>
      <c r="L79" s="263">
        <v>1</v>
      </c>
      <c r="M79" s="791">
        <v>11707025</v>
      </c>
      <c r="N79" s="339">
        <v>1</v>
      </c>
      <c r="O79" s="72">
        <v>11707025</v>
      </c>
      <c r="P79" s="263">
        <v>1</v>
      </c>
      <c r="Q79" s="72">
        <v>68644087</v>
      </c>
      <c r="R79" s="595">
        <v>1</v>
      </c>
      <c r="S79" s="72">
        <v>68644087</v>
      </c>
      <c r="T79" s="263">
        <v>1</v>
      </c>
      <c r="U79" s="72">
        <v>10432858.34</v>
      </c>
      <c r="V79" s="73">
        <v>1</v>
      </c>
      <c r="W79" s="220">
        <v>10432858</v>
      </c>
      <c r="X79" s="255"/>
      <c r="Y79" s="488">
        <f t="shared" si="28"/>
        <v>0.33999999985098839</v>
      </c>
    </row>
    <row r="80" spans="1:27" ht="54" customHeight="1">
      <c r="A80" s="325" t="s">
        <v>418</v>
      </c>
      <c r="B80" s="280" t="s">
        <v>190</v>
      </c>
      <c r="C80" s="174" t="s">
        <v>181</v>
      </c>
      <c r="D80" s="242">
        <f t="shared" ref="D80:D85" si="29">AVERAGE(H80,L80,P80,T80)</f>
        <v>1</v>
      </c>
      <c r="E80" s="72">
        <f t="shared" si="24"/>
        <v>80995909.439999998</v>
      </c>
      <c r="F80" s="209">
        <f t="shared" ref="F80:F85" si="30">AVERAGE(J80,N80,R80,V80)</f>
        <v>1</v>
      </c>
      <c r="G80" s="72">
        <f t="shared" si="26"/>
        <v>80995909.299999997</v>
      </c>
      <c r="H80" s="263">
        <v>1</v>
      </c>
      <c r="I80" s="589">
        <v>39256400</v>
      </c>
      <c r="J80" s="339">
        <v>1</v>
      </c>
      <c r="K80" s="209">
        <v>39256400</v>
      </c>
      <c r="L80" s="263">
        <v>1</v>
      </c>
      <c r="M80" s="791">
        <v>11707025</v>
      </c>
      <c r="N80" s="339">
        <v>1</v>
      </c>
      <c r="O80" s="72">
        <v>11707025</v>
      </c>
      <c r="P80" s="263">
        <v>1</v>
      </c>
      <c r="Q80" s="72">
        <v>13509797</v>
      </c>
      <c r="R80" s="595">
        <v>1</v>
      </c>
      <c r="S80" s="288">
        <v>13509797</v>
      </c>
      <c r="T80" s="263">
        <v>1</v>
      </c>
      <c r="U80" s="72">
        <v>16522687.439999999</v>
      </c>
      <c r="V80" s="73">
        <v>1</v>
      </c>
      <c r="W80" s="220">
        <v>16522687.300000001</v>
      </c>
      <c r="X80" s="255"/>
      <c r="Y80" s="488">
        <f t="shared" si="28"/>
        <v>0.1399999987334013</v>
      </c>
    </row>
    <row r="81" spans="1:27" ht="93" customHeight="1">
      <c r="A81" s="300" t="s">
        <v>419</v>
      </c>
      <c r="B81" s="280" t="s">
        <v>190</v>
      </c>
      <c r="C81" s="174" t="s">
        <v>191</v>
      </c>
      <c r="D81" s="242">
        <f t="shared" si="29"/>
        <v>1</v>
      </c>
      <c r="E81" s="72">
        <f t="shared" si="24"/>
        <v>828294580.5</v>
      </c>
      <c r="F81" s="209">
        <f t="shared" si="30"/>
        <v>1</v>
      </c>
      <c r="G81" s="72">
        <f t="shared" si="26"/>
        <v>824174581.5</v>
      </c>
      <c r="H81" s="263">
        <v>1</v>
      </c>
      <c r="I81" s="589">
        <v>165886540</v>
      </c>
      <c r="J81" s="339">
        <v>1</v>
      </c>
      <c r="K81" s="209">
        <v>165886540</v>
      </c>
      <c r="L81" s="263">
        <v>1</v>
      </c>
      <c r="M81" s="791">
        <v>246627833.5</v>
      </c>
      <c r="N81" s="339">
        <v>1</v>
      </c>
      <c r="O81" s="72">
        <v>246627833.5</v>
      </c>
      <c r="P81" s="263">
        <v>1</v>
      </c>
      <c r="Q81" s="72">
        <v>238800565</v>
      </c>
      <c r="R81" s="595">
        <v>1</v>
      </c>
      <c r="S81" s="72">
        <v>238800565</v>
      </c>
      <c r="T81" s="263">
        <v>1</v>
      </c>
      <c r="U81" s="72">
        <v>176979642</v>
      </c>
      <c r="V81" s="73">
        <v>1</v>
      </c>
      <c r="W81" s="220">
        <v>172859643</v>
      </c>
      <c r="X81" s="255"/>
      <c r="Y81" s="488">
        <f t="shared" si="28"/>
        <v>4119999</v>
      </c>
    </row>
    <row r="82" spans="1:27" ht="83.25" customHeight="1">
      <c r="A82" s="325" t="s">
        <v>420</v>
      </c>
      <c r="B82" s="280" t="s">
        <v>190</v>
      </c>
      <c r="C82" s="174" t="s">
        <v>1</v>
      </c>
      <c r="D82" s="242">
        <f t="shared" si="29"/>
        <v>100</v>
      </c>
      <c r="E82" s="72">
        <f t="shared" si="24"/>
        <v>36417200</v>
      </c>
      <c r="F82" s="209">
        <f t="shared" si="30"/>
        <v>100</v>
      </c>
      <c r="G82" s="72">
        <f t="shared" si="26"/>
        <v>36417200</v>
      </c>
      <c r="H82" s="263">
        <v>100</v>
      </c>
      <c r="I82" s="589">
        <v>0</v>
      </c>
      <c r="J82" s="339">
        <v>100</v>
      </c>
      <c r="K82" s="209">
        <v>0</v>
      </c>
      <c r="L82" s="263">
        <v>100</v>
      </c>
      <c r="M82" s="791">
        <v>20481600</v>
      </c>
      <c r="N82" s="339">
        <v>100</v>
      </c>
      <c r="O82" s="72">
        <v>20481600</v>
      </c>
      <c r="P82" s="263">
        <v>100</v>
      </c>
      <c r="Q82" s="72">
        <v>8506000</v>
      </c>
      <c r="R82" s="578">
        <v>100</v>
      </c>
      <c r="S82" s="288">
        <v>8506000</v>
      </c>
      <c r="T82" s="278">
        <v>100</v>
      </c>
      <c r="U82" s="72">
        <v>7429600</v>
      </c>
      <c r="V82" s="73">
        <v>100</v>
      </c>
      <c r="W82" s="220">
        <v>7429600</v>
      </c>
      <c r="X82" s="255"/>
      <c r="Y82" s="488">
        <f t="shared" si="28"/>
        <v>0</v>
      </c>
    </row>
    <row r="83" spans="1:27" ht="64.5" customHeight="1">
      <c r="A83" s="325" t="s">
        <v>421</v>
      </c>
      <c r="B83" s="280" t="s">
        <v>190</v>
      </c>
      <c r="C83" s="174" t="s">
        <v>180</v>
      </c>
      <c r="D83" s="242">
        <f t="shared" si="29"/>
        <v>37</v>
      </c>
      <c r="E83" s="72">
        <f t="shared" si="24"/>
        <v>36947200</v>
      </c>
      <c r="F83" s="209">
        <f t="shared" si="30"/>
        <v>37</v>
      </c>
      <c r="G83" s="72">
        <f t="shared" si="26"/>
        <v>36947200</v>
      </c>
      <c r="H83" s="263">
        <v>37</v>
      </c>
      <c r="I83" s="589">
        <v>0</v>
      </c>
      <c r="J83" s="339">
        <v>37</v>
      </c>
      <c r="K83" s="209">
        <v>0</v>
      </c>
      <c r="L83" s="263">
        <v>37</v>
      </c>
      <c r="M83" s="791">
        <v>20481600</v>
      </c>
      <c r="N83" s="339">
        <v>37</v>
      </c>
      <c r="O83" s="72">
        <v>20481600</v>
      </c>
      <c r="P83" s="263">
        <v>37</v>
      </c>
      <c r="Q83" s="72">
        <v>9036000</v>
      </c>
      <c r="R83" s="578">
        <v>37</v>
      </c>
      <c r="S83" s="288">
        <v>9036000</v>
      </c>
      <c r="T83" s="263">
        <v>37</v>
      </c>
      <c r="U83" s="72">
        <v>7429600</v>
      </c>
      <c r="V83" s="73">
        <v>37</v>
      </c>
      <c r="W83" s="220">
        <v>7429600</v>
      </c>
      <c r="X83" s="255"/>
      <c r="Y83" s="488">
        <f t="shared" si="28"/>
        <v>0</v>
      </c>
    </row>
    <row r="84" spans="1:27" ht="51" customHeight="1">
      <c r="A84" s="325" t="s">
        <v>0</v>
      </c>
      <c r="B84" s="280" t="s">
        <v>190</v>
      </c>
      <c r="C84" s="281" t="s">
        <v>422</v>
      </c>
      <c r="D84" s="242">
        <f t="shared" si="29"/>
        <v>1</v>
      </c>
      <c r="E84" s="72">
        <f>+I84+M84+Q84+U84</f>
        <v>581465855.14999998</v>
      </c>
      <c r="F84" s="209">
        <f t="shared" si="30"/>
        <v>1</v>
      </c>
      <c r="G84" s="72">
        <f t="shared" si="26"/>
        <v>581465797</v>
      </c>
      <c r="H84" s="263">
        <v>1</v>
      </c>
      <c r="I84" s="589">
        <v>142467600</v>
      </c>
      <c r="J84" s="339">
        <v>1</v>
      </c>
      <c r="K84" s="209">
        <v>142467600</v>
      </c>
      <c r="L84" s="263">
        <v>1</v>
      </c>
      <c r="M84" s="791">
        <v>147358285</v>
      </c>
      <c r="N84" s="339">
        <v>1</v>
      </c>
      <c r="O84" s="72">
        <v>147358285</v>
      </c>
      <c r="P84" s="263">
        <v>1</v>
      </c>
      <c r="Q84" s="589">
        <v>136744800</v>
      </c>
      <c r="R84" s="595">
        <v>1</v>
      </c>
      <c r="S84" s="72">
        <v>136744800</v>
      </c>
      <c r="T84" s="263">
        <v>1</v>
      </c>
      <c r="U84" s="72">
        <v>154895170.15000001</v>
      </c>
      <c r="V84" s="73">
        <v>1</v>
      </c>
      <c r="W84" s="220">
        <v>154895112</v>
      </c>
      <c r="X84" s="255"/>
      <c r="Y84" s="488">
        <f t="shared" si="28"/>
        <v>58.150000005960464</v>
      </c>
    </row>
    <row r="85" spans="1:27" ht="44.25" customHeight="1">
      <c r="A85" s="328" t="s">
        <v>423</v>
      </c>
      <c r="B85" s="280" t="s">
        <v>190</v>
      </c>
      <c r="C85" s="174" t="s">
        <v>1</v>
      </c>
      <c r="D85" s="242">
        <f t="shared" si="29"/>
        <v>90</v>
      </c>
      <c r="E85" s="72">
        <f t="shared" si="24"/>
        <v>136928800</v>
      </c>
      <c r="F85" s="209">
        <f t="shared" si="30"/>
        <v>90</v>
      </c>
      <c r="G85" s="72">
        <f t="shared" si="26"/>
        <v>136928800</v>
      </c>
      <c r="H85" s="263">
        <v>90</v>
      </c>
      <c r="I85" s="589">
        <v>0</v>
      </c>
      <c r="J85" s="352">
        <v>90</v>
      </c>
      <c r="K85" s="209"/>
      <c r="L85" s="263">
        <v>90</v>
      </c>
      <c r="M85" s="791">
        <v>33332800</v>
      </c>
      <c r="N85" s="339">
        <v>90</v>
      </c>
      <c r="O85" s="72">
        <v>33332800</v>
      </c>
      <c r="P85" s="263">
        <v>90</v>
      </c>
      <c r="Q85" s="72">
        <v>66448000</v>
      </c>
      <c r="R85" s="578">
        <v>90</v>
      </c>
      <c r="S85" s="288">
        <v>66448000</v>
      </c>
      <c r="T85" s="263">
        <v>90</v>
      </c>
      <c r="U85" s="72">
        <v>37148000</v>
      </c>
      <c r="V85" s="73">
        <v>90</v>
      </c>
      <c r="W85" s="220">
        <v>37148000</v>
      </c>
      <c r="X85" s="255"/>
      <c r="Y85" s="488">
        <f t="shared" si="28"/>
        <v>0</v>
      </c>
    </row>
    <row r="86" spans="1:27" ht="44.25" customHeight="1">
      <c r="A86" s="325" t="s">
        <v>514</v>
      </c>
      <c r="B86" s="280"/>
      <c r="C86" s="174" t="s">
        <v>515</v>
      </c>
      <c r="D86" s="242"/>
      <c r="E86" s="72">
        <f t="shared" si="24"/>
        <v>188927141</v>
      </c>
      <c r="F86" s="209"/>
      <c r="G86" s="72">
        <f t="shared" si="26"/>
        <v>188927140.94800001</v>
      </c>
      <c r="H86" s="263"/>
      <c r="I86" s="799">
        <v>38184219</v>
      </c>
      <c r="J86" s="339"/>
      <c r="K86" s="209">
        <v>38184219</v>
      </c>
      <c r="L86" s="263"/>
      <c r="M86" s="791"/>
      <c r="N86" s="339"/>
      <c r="O86" s="72"/>
      <c r="P86" s="263">
        <v>0</v>
      </c>
      <c r="Q86" s="72">
        <v>85665653</v>
      </c>
      <c r="R86" s="209">
        <v>0</v>
      </c>
      <c r="S86" s="288">
        <v>85665653</v>
      </c>
      <c r="T86" s="263"/>
      <c r="U86" s="72">
        <v>65077269</v>
      </c>
      <c r="V86" s="73" t="s">
        <v>518</v>
      </c>
      <c r="W86" s="220">
        <v>65077268.947999999</v>
      </c>
      <c r="X86" s="255"/>
      <c r="Y86" s="488">
        <f t="shared" si="28"/>
        <v>5.2000001072883606E-2</v>
      </c>
    </row>
    <row r="87" spans="1:27" ht="36">
      <c r="A87" s="190" t="s">
        <v>424</v>
      </c>
      <c r="B87" s="191"/>
      <c r="C87" s="203"/>
      <c r="D87" s="203"/>
      <c r="E87" s="204">
        <f>+E88+E95</f>
        <v>12032660133.353199</v>
      </c>
      <c r="F87" s="682"/>
      <c r="G87" s="204">
        <f>+G88+G95</f>
        <v>11969856883.808001</v>
      </c>
      <c r="H87" s="204"/>
      <c r="I87" s="204">
        <f>+I88+I95</f>
        <v>2267296514.6999998</v>
      </c>
      <c r="J87" s="351"/>
      <c r="K87" s="192">
        <f>+K88+K95</f>
        <v>2267296514</v>
      </c>
      <c r="L87" s="204"/>
      <c r="M87" s="204">
        <f>+M88+M95</f>
        <v>2679936199</v>
      </c>
      <c r="N87" s="204"/>
      <c r="O87" s="204">
        <f>+O88+O95</f>
        <v>2675153540</v>
      </c>
      <c r="P87" s="204"/>
      <c r="Q87" s="204">
        <f>+Q88+Q95</f>
        <v>1461719761.8080001</v>
      </c>
      <c r="R87" s="192"/>
      <c r="S87" s="204">
        <f>+S88+S95</f>
        <v>1461719761.8080001</v>
      </c>
      <c r="T87" s="204">
        <f t="shared" ref="T87:U87" si="31">+T88+T95</f>
        <v>140</v>
      </c>
      <c r="U87" s="204">
        <f t="shared" si="31"/>
        <v>5623707657.8451996</v>
      </c>
      <c r="V87" s="192"/>
      <c r="W87" s="637">
        <f>+W88+W95</f>
        <v>5565687068</v>
      </c>
      <c r="X87" s="751"/>
      <c r="Y87" s="488"/>
    </row>
    <row r="88" spans="1:27" ht="36">
      <c r="A88" s="186" t="s">
        <v>496</v>
      </c>
      <c r="B88" s="194"/>
      <c r="C88" s="223"/>
      <c r="D88" s="223"/>
      <c r="E88" s="247">
        <f>SUM(E89:E94)</f>
        <v>2205613913.0999999</v>
      </c>
      <c r="F88" s="683"/>
      <c r="G88" s="247">
        <f>SUM(G89:G94)</f>
        <v>2147698404</v>
      </c>
      <c r="H88" s="268">
        <v>0</v>
      </c>
      <c r="I88" s="247">
        <f>SUM(I89:I94)</f>
        <v>426062257</v>
      </c>
      <c r="J88" s="353"/>
      <c r="K88" s="224">
        <f>SUM(K89:K94)</f>
        <v>426062257</v>
      </c>
      <c r="L88" s="212">
        <v>0</v>
      </c>
      <c r="M88" s="484">
        <f>SUM(M89:M94)</f>
        <v>717110126</v>
      </c>
      <c r="N88" s="212">
        <v>0</v>
      </c>
      <c r="O88" s="247">
        <f>SUM(O89:O94)</f>
        <v>717110126</v>
      </c>
      <c r="P88" s="247">
        <v>0</v>
      </c>
      <c r="Q88" s="247">
        <f>SUM(Q89:Q94)</f>
        <v>506191530</v>
      </c>
      <c r="R88" s="224">
        <v>0</v>
      </c>
      <c r="S88" s="247">
        <f>SUM(S89:S94)</f>
        <v>506191530</v>
      </c>
      <c r="T88" s="247"/>
      <c r="U88" s="247">
        <f t="shared" ref="U88" si="32">SUM(U89:U94)</f>
        <v>556250000.10000002</v>
      </c>
      <c r="V88" s="768"/>
      <c r="W88" s="638">
        <f>SUM(W89:W94)</f>
        <v>498334491</v>
      </c>
      <c r="X88" s="749"/>
      <c r="Y88" s="488"/>
      <c r="AA88" s="488"/>
    </row>
    <row r="89" spans="1:27" ht="92.25" customHeight="1">
      <c r="A89" s="329" t="s">
        <v>425</v>
      </c>
      <c r="B89" s="211" t="s">
        <v>188</v>
      </c>
      <c r="C89" s="174" t="s">
        <v>179</v>
      </c>
      <c r="D89" s="242">
        <f>AVERAGE(H89,L89,P89,T89)</f>
        <v>100</v>
      </c>
      <c r="E89" s="72">
        <f t="shared" ref="E89:E99" si="33">+I89+M89+Q89+U89</f>
        <v>330522381</v>
      </c>
      <c r="F89" s="209">
        <f>AVERAGE(J89,N89,R89,V89)</f>
        <v>100</v>
      </c>
      <c r="G89" s="72">
        <f t="shared" ref="G89:G94" si="34">+K89+O89+S89+W89</f>
        <v>318494473</v>
      </c>
      <c r="H89" s="263">
        <v>100</v>
      </c>
      <c r="I89" s="589"/>
      <c r="J89" s="339">
        <v>100</v>
      </c>
      <c r="K89" s="209"/>
      <c r="L89" s="263">
        <v>100</v>
      </c>
      <c r="M89" s="783">
        <v>109092381</v>
      </c>
      <c r="N89" s="339">
        <v>100</v>
      </c>
      <c r="O89" s="72">
        <v>109092381</v>
      </c>
      <c r="P89" s="263">
        <v>100</v>
      </c>
      <c r="Q89" s="589">
        <v>107930000</v>
      </c>
      <c r="R89" s="209">
        <v>100</v>
      </c>
      <c r="S89" s="288">
        <v>107930000</v>
      </c>
      <c r="T89" s="263">
        <v>100</v>
      </c>
      <c r="U89" s="72">
        <v>113500000</v>
      </c>
      <c r="V89" s="73">
        <v>100</v>
      </c>
      <c r="W89" s="220">
        <v>101472092</v>
      </c>
      <c r="X89" s="255"/>
      <c r="Y89" s="488"/>
      <c r="Z89" s="488"/>
      <c r="AA89" s="488"/>
    </row>
    <row r="90" spans="1:27" ht="92.25" customHeight="1">
      <c r="A90" s="321" t="s">
        <v>426</v>
      </c>
      <c r="B90" s="211" t="s">
        <v>188</v>
      </c>
      <c r="C90" s="174" t="s">
        <v>179</v>
      </c>
      <c r="D90" s="242">
        <f>AVERAGE(H90,L90,P90,T90)</f>
        <v>100</v>
      </c>
      <c r="E90" s="72">
        <f t="shared" si="33"/>
        <v>240041874</v>
      </c>
      <c r="F90" s="209">
        <f>AVERAGE(J90,N90,R90,V90)</f>
        <v>100</v>
      </c>
      <c r="G90" s="72">
        <f t="shared" si="34"/>
        <v>225383874</v>
      </c>
      <c r="H90" s="263">
        <v>100</v>
      </c>
      <c r="I90" s="589">
        <v>109118666</v>
      </c>
      <c r="J90" s="339">
        <v>100</v>
      </c>
      <c r="K90" s="209">
        <v>109118666</v>
      </c>
      <c r="L90" s="263">
        <v>100</v>
      </c>
      <c r="M90" s="783">
        <v>43674000</v>
      </c>
      <c r="N90" s="339">
        <v>100</v>
      </c>
      <c r="O90" s="72">
        <v>43674000</v>
      </c>
      <c r="P90" s="263">
        <v>100</v>
      </c>
      <c r="Q90" s="589">
        <v>49499208</v>
      </c>
      <c r="R90" s="209">
        <v>100</v>
      </c>
      <c r="S90" s="288">
        <v>49499208</v>
      </c>
      <c r="T90" s="263">
        <v>100</v>
      </c>
      <c r="U90" s="72">
        <v>37750000</v>
      </c>
      <c r="V90" s="73">
        <v>100</v>
      </c>
      <c r="W90" s="220">
        <v>23092000</v>
      </c>
      <c r="X90" s="255"/>
      <c r="Y90" s="488"/>
    </row>
    <row r="91" spans="1:27" ht="62.25" customHeight="1">
      <c r="A91" s="321" t="s">
        <v>427</v>
      </c>
      <c r="B91" s="211" t="s">
        <v>491</v>
      </c>
      <c r="C91" s="174" t="s">
        <v>1</v>
      </c>
      <c r="D91" s="242">
        <f>+H91+L91+P91+T91</f>
        <v>100</v>
      </c>
      <c r="E91" s="72">
        <f t="shared" si="33"/>
        <v>211577339</v>
      </c>
      <c r="F91" s="209">
        <f>+J91+N91+R91+V91</f>
        <v>100</v>
      </c>
      <c r="G91" s="72">
        <f t="shared" si="34"/>
        <v>211577339</v>
      </c>
      <c r="H91" s="263">
        <v>70</v>
      </c>
      <c r="I91" s="589">
        <v>70451225</v>
      </c>
      <c r="J91" s="339">
        <v>70</v>
      </c>
      <c r="K91" s="209">
        <v>70451225</v>
      </c>
      <c r="L91" s="263">
        <v>10</v>
      </c>
      <c r="M91" s="783">
        <v>141126114</v>
      </c>
      <c r="N91" s="339">
        <v>10</v>
      </c>
      <c r="O91" s="72">
        <v>141126114</v>
      </c>
      <c r="P91" s="263">
        <v>20</v>
      </c>
      <c r="Q91" s="589">
        <v>0</v>
      </c>
      <c r="R91" s="209">
        <v>20</v>
      </c>
      <c r="S91" s="288">
        <v>0</v>
      </c>
      <c r="T91" s="263">
        <v>0</v>
      </c>
      <c r="U91" s="72">
        <v>0</v>
      </c>
      <c r="V91" s="73">
        <v>0</v>
      </c>
      <c r="W91" s="220">
        <v>0</v>
      </c>
      <c r="X91" s="255"/>
      <c r="Y91" s="488"/>
    </row>
    <row r="92" spans="1:27" ht="82.5" customHeight="1">
      <c r="A92" s="299" t="s">
        <v>428</v>
      </c>
      <c r="B92" s="177" t="s">
        <v>186</v>
      </c>
      <c r="C92" s="174" t="s">
        <v>429</v>
      </c>
      <c r="D92" s="242">
        <f>+H92+L92+P92+T92</f>
        <v>26</v>
      </c>
      <c r="E92" s="72">
        <f t="shared" si="33"/>
        <v>1248906434</v>
      </c>
      <c r="F92" s="209">
        <f>+J92+N92+R92+V92</f>
        <v>26</v>
      </c>
      <c r="G92" s="72">
        <f t="shared" si="34"/>
        <v>1220662930</v>
      </c>
      <c r="H92" s="263">
        <v>5</v>
      </c>
      <c r="I92" s="589">
        <v>221356634</v>
      </c>
      <c r="J92" s="339">
        <v>5</v>
      </c>
      <c r="K92" s="209">
        <v>221356634</v>
      </c>
      <c r="L92" s="263">
        <v>8</v>
      </c>
      <c r="M92" s="783">
        <v>331320000</v>
      </c>
      <c r="N92" s="339">
        <v>8</v>
      </c>
      <c r="O92" s="72">
        <v>331320000</v>
      </c>
      <c r="P92" s="263">
        <v>8</v>
      </c>
      <c r="Q92" s="589">
        <v>321229800</v>
      </c>
      <c r="R92" s="209">
        <v>8</v>
      </c>
      <c r="S92" s="72">
        <v>321229800</v>
      </c>
      <c r="T92" s="263">
        <v>5</v>
      </c>
      <c r="U92" s="72">
        <v>375000000</v>
      </c>
      <c r="V92" s="71">
        <v>5</v>
      </c>
      <c r="W92" s="220">
        <v>346756496</v>
      </c>
      <c r="X92" s="255"/>
      <c r="Y92" s="488"/>
    </row>
    <row r="93" spans="1:27" ht="60.75" customHeight="1">
      <c r="A93" s="327" t="s">
        <v>430</v>
      </c>
      <c r="B93" s="177" t="s">
        <v>186</v>
      </c>
      <c r="C93" s="174" t="s">
        <v>510</v>
      </c>
      <c r="D93" s="242">
        <v>1</v>
      </c>
      <c r="E93" s="72">
        <f t="shared" si="33"/>
        <v>50000000</v>
      </c>
      <c r="F93" s="209">
        <f>+J93+N93+R93+V93</f>
        <v>1</v>
      </c>
      <c r="G93" s="72">
        <f t="shared" si="34"/>
        <v>50000000</v>
      </c>
      <c r="H93" s="263">
        <v>0</v>
      </c>
      <c r="I93" s="589">
        <v>0</v>
      </c>
      <c r="J93" s="339">
        <v>0</v>
      </c>
      <c r="K93" s="209"/>
      <c r="L93" s="263">
        <v>1</v>
      </c>
      <c r="M93" s="783">
        <v>50000000</v>
      </c>
      <c r="N93" s="339">
        <v>1</v>
      </c>
      <c r="O93" s="72">
        <v>50000000</v>
      </c>
      <c r="P93" s="263">
        <v>0</v>
      </c>
      <c r="Q93" s="589">
        <v>0</v>
      </c>
      <c r="R93" s="209">
        <v>0</v>
      </c>
      <c r="S93" s="288">
        <v>0</v>
      </c>
      <c r="T93" s="263">
        <v>0</v>
      </c>
      <c r="U93" s="72">
        <v>0</v>
      </c>
      <c r="V93" s="73">
        <v>0</v>
      </c>
      <c r="W93" s="220">
        <v>0</v>
      </c>
      <c r="X93" s="255"/>
      <c r="Y93" s="488"/>
    </row>
    <row r="94" spans="1:27" ht="60.75" customHeight="1">
      <c r="A94" s="325" t="s">
        <v>514</v>
      </c>
      <c r="B94" s="280"/>
      <c r="C94" s="174" t="s">
        <v>515</v>
      </c>
      <c r="D94" s="174">
        <v>0</v>
      </c>
      <c r="E94" s="72">
        <f t="shared" si="33"/>
        <v>124565885.09999999</v>
      </c>
      <c r="F94" s="209"/>
      <c r="G94" s="72">
        <f t="shared" si="34"/>
        <v>121579788</v>
      </c>
      <c r="H94" s="263"/>
      <c r="I94" s="589">
        <v>25135732</v>
      </c>
      <c r="J94" s="339">
        <v>0</v>
      </c>
      <c r="K94" s="209">
        <v>25135732</v>
      </c>
      <c r="L94" s="263"/>
      <c r="M94" s="783">
        <v>41897631</v>
      </c>
      <c r="N94" s="339"/>
      <c r="O94" s="72">
        <v>41897631</v>
      </c>
      <c r="P94" s="263">
        <v>0</v>
      </c>
      <c r="Q94" s="589">
        <v>27532522</v>
      </c>
      <c r="R94" s="209"/>
      <c r="S94" s="288">
        <v>27532522</v>
      </c>
      <c r="T94" s="263"/>
      <c r="U94" s="72">
        <v>30000000.100000001</v>
      </c>
      <c r="V94" s="73"/>
      <c r="W94" s="220">
        <v>27013903</v>
      </c>
      <c r="X94" s="255"/>
      <c r="Y94" s="488"/>
    </row>
    <row r="95" spans="1:27" ht="60.75" customHeight="1">
      <c r="A95" s="301" t="s">
        <v>499</v>
      </c>
      <c r="B95" s="187"/>
      <c r="C95" s="208"/>
      <c r="D95" s="208"/>
      <c r="E95" s="207">
        <f>SUM(E96:E99)</f>
        <v>9827046220.2531986</v>
      </c>
      <c r="F95" s="680"/>
      <c r="G95" s="207">
        <f>SUM(G96:G99)</f>
        <v>9822158479.8080006</v>
      </c>
      <c r="H95" s="267">
        <v>0</v>
      </c>
      <c r="I95" s="207">
        <f>SUM(I96:I99)</f>
        <v>1841234257.7</v>
      </c>
      <c r="J95" s="351"/>
      <c r="K95" s="307">
        <f>SUM(K96:K99)</f>
        <v>1841234257</v>
      </c>
      <c r="L95" s="206">
        <v>0</v>
      </c>
      <c r="M95" s="204">
        <f>SUM(M96:M99)</f>
        <v>1962826073</v>
      </c>
      <c r="N95" s="206">
        <v>0</v>
      </c>
      <c r="O95" s="207">
        <f>SUM(O96:O99)</f>
        <v>1958043414</v>
      </c>
      <c r="P95" s="207">
        <v>0</v>
      </c>
      <c r="Q95" s="207">
        <f>SUM(Q96:Q99)</f>
        <v>955528231.80800009</v>
      </c>
      <c r="R95" s="307">
        <v>0</v>
      </c>
      <c r="S95" s="207">
        <f>SUM(S96:S99)</f>
        <v>955528231.80800009</v>
      </c>
      <c r="T95" s="207">
        <f t="shared" ref="T95" si="35">SUM(T96:T99)</f>
        <v>140</v>
      </c>
      <c r="U95" s="207">
        <f>SUM(U96:U99)</f>
        <v>5067457657.7451992</v>
      </c>
      <c r="V95" s="769"/>
      <c r="W95" s="635">
        <f>SUM(W96:W99)</f>
        <v>5067352577</v>
      </c>
      <c r="X95" s="749"/>
      <c r="Y95" s="488"/>
      <c r="AA95" s="488"/>
    </row>
    <row r="96" spans="1:27" ht="60.75" customHeight="1">
      <c r="A96" s="325" t="s">
        <v>431</v>
      </c>
      <c r="B96" s="211" t="s">
        <v>186</v>
      </c>
      <c r="C96" s="174" t="s">
        <v>432</v>
      </c>
      <c r="D96" s="242">
        <f>+H96+L96+P96+T96</f>
        <v>4</v>
      </c>
      <c r="E96" s="72">
        <f>+I96+M96+Q96+U96</f>
        <v>2341241156.4000001</v>
      </c>
      <c r="F96" s="209">
        <f>+J96+N96+R96+V96</f>
        <v>4</v>
      </c>
      <c r="G96" s="72">
        <f>+K96+O96+S96+W96</f>
        <v>2341241155</v>
      </c>
      <c r="H96" s="263">
        <v>1</v>
      </c>
      <c r="I96" s="589">
        <v>1405282284.4000001</v>
      </c>
      <c r="J96" s="339">
        <v>1</v>
      </c>
      <c r="K96" s="209">
        <v>1405282284</v>
      </c>
      <c r="L96" s="263">
        <v>1</v>
      </c>
      <c r="M96" s="783">
        <v>586031025</v>
      </c>
      <c r="N96" s="339">
        <v>1</v>
      </c>
      <c r="O96" s="72">
        <v>586031024</v>
      </c>
      <c r="P96" s="263">
        <v>1</v>
      </c>
      <c r="Q96" s="589">
        <v>349927847</v>
      </c>
      <c r="R96" s="579">
        <v>1</v>
      </c>
      <c r="S96" s="72">
        <v>349927847</v>
      </c>
      <c r="T96" s="257">
        <v>1</v>
      </c>
      <c r="U96" s="72">
        <v>0</v>
      </c>
      <c r="V96" s="71">
        <v>1</v>
      </c>
      <c r="W96" s="220">
        <v>0</v>
      </c>
      <c r="X96" s="255"/>
      <c r="Y96" s="488"/>
      <c r="AA96" s="488"/>
    </row>
    <row r="97" spans="1:27" ht="60.75" customHeight="1">
      <c r="A97" s="325" t="s">
        <v>433</v>
      </c>
      <c r="B97" s="211" t="s">
        <v>186</v>
      </c>
      <c r="C97" s="174" t="s">
        <v>130</v>
      </c>
      <c r="D97" s="242">
        <f>+H97+L97+P97+T97</f>
        <v>4</v>
      </c>
      <c r="E97" s="72">
        <f t="shared" si="33"/>
        <v>1175507226.5</v>
      </c>
      <c r="F97" s="209">
        <f>+J97+N97+R97+V97</f>
        <v>4</v>
      </c>
      <c r="G97" s="72">
        <f>+K97+O97+S97+W97</f>
        <v>1175495373</v>
      </c>
      <c r="H97" s="263">
        <v>1</v>
      </c>
      <c r="I97" s="589">
        <v>0</v>
      </c>
      <c r="J97" s="339">
        <v>1</v>
      </c>
      <c r="K97" s="209">
        <v>0</v>
      </c>
      <c r="L97" s="263">
        <v>1</v>
      </c>
      <c r="M97" s="783">
        <v>0</v>
      </c>
      <c r="N97" s="339">
        <v>1</v>
      </c>
      <c r="O97" s="72">
        <v>0</v>
      </c>
      <c r="P97" s="263">
        <v>1</v>
      </c>
      <c r="Q97" s="589">
        <v>260000000</v>
      </c>
      <c r="R97" s="579">
        <v>1</v>
      </c>
      <c r="S97" s="72">
        <v>260000000</v>
      </c>
      <c r="T97" s="257">
        <v>1</v>
      </c>
      <c r="U97" s="72">
        <v>915507226.5</v>
      </c>
      <c r="V97" s="71">
        <v>1</v>
      </c>
      <c r="W97" s="220">
        <v>915495373</v>
      </c>
      <c r="X97" s="255"/>
      <c r="Y97" s="488"/>
    </row>
    <row r="98" spans="1:27" ht="60.75" customHeight="1">
      <c r="A98" s="325" t="s">
        <v>434</v>
      </c>
      <c r="B98" s="211" t="s">
        <v>188</v>
      </c>
      <c r="C98" s="174" t="s">
        <v>1</v>
      </c>
      <c r="D98" s="242">
        <v>100</v>
      </c>
      <c r="E98" s="72">
        <f t="shared" si="33"/>
        <v>5006045766.2451992</v>
      </c>
      <c r="F98" s="209">
        <f>+J98+N98+R98+V98-25-70</f>
        <v>100</v>
      </c>
      <c r="G98" s="72">
        <f>+K98+O98+S98+W98</f>
        <v>5001262040</v>
      </c>
      <c r="H98" s="263">
        <v>0</v>
      </c>
      <c r="I98" s="589">
        <v>100400000</v>
      </c>
      <c r="J98" s="339">
        <v>0</v>
      </c>
      <c r="K98" s="209">
        <v>100400000</v>
      </c>
      <c r="L98" s="263">
        <v>20</v>
      </c>
      <c r="M98" s="783">
        <v>1048695335</v>
      </c>
      <c r="N98" s="339">
        <v>20</v>
      </c>
      <c r="O98" s="72">
        <v>1043911609</v>
      </c>
      <c r="P98" s="263">
        <v>75</v>
      </c>
      <c r="Q98" s="589">
        <v>0</v>
      </c>
      <c r="R98" s="209">
        <v>75</v>
      </c>
      <c r="S98" s="177">
        <v>0</v>
      </c>
      <c r="T98" s="257">
        <v>100</v>
      </c>
      <c r="U98" s="72">
        <v>3856950431.2451997</v>
      </c>
      <c r="V98" s="73">
        <v>100</v>
      </c>
      <c r="W98" s="220">
        <v>3856950431</v>
      </c>
      <c r="X98" s="255"/>
      <c r="Y98" s="488"/>
      <c r="Z98" s="488">
        <f>+AVERAGE(V98,R98,N98,L98,H98)</f>
        <v>43</v>
      </c>
    </row>
    <row r="99" spans="1:27" ht="92.25" customHeight="1">
      <c r="A99" s="325" t="s">
        <v>435</v>
      </c>
      <c r="B99" s="177" t="s">
        <v>188</v>
      </c>
      <c r="C99" s="174" t="s">
        <v>436</v>
      </c>
      <c r="D99" s="242">
        <f>AVERAGE(H99,L99,P99,T99)</f>
        <v>38</v>
      </c>
      <c r="E99" s="72">
        <f t="shared" si="33"/>
        <v>1304252071.108</v>
      </c>
      <c r="F99" s="209">
        <f>AVERAGE(J99,N99,R99,V99)</f>
        <v>38</v>
      </c>
      <c r="G99" s="72">
        <f>+K99+O99+S99+W99</f>
        <v>1304159911.8080001</v>
      </c>
      <c r="H99" s="263">
        <v>38</v>
      </c>
      <c r="I99" s="589">
        <v>335551973.30000001</v>
      </c>
      <c r="J99" s="339">
        <v>38</v>
      </c>
      <c r="K99" s="209">
        <v>335551973</v>
      </c>
      <c r="L99" s="263">
        <v>38</v>
      </c>
      <c r="M99" s="783">
        <v>328099713</v>
      </c>
      <c r="N99" s="339">
        <v>38</v>
      </c>
      <c r="O99" s="72">
        <v>328100781</v>
      </c>
      <c r="P99" s="263">
        <v>38</v>
      </c>
      <c r="Q99" s="589">
        <v>345600384.80800003</v>
      </c>
      <c r="R99" s="209">
        <v>38</v>
      </c>
      <c r="S99" s="288">
        <v>345600384.80800003</v>
      </c>
      <c r="T99" s="257">
        <v>38</v>
      </c>
      <c r="U99" s="72">
        <v>295000000</v>
      </c>
      <c r="V99" s="73">
        <v>38</v>
      </c>
      <c r="W99" s="220">
        <v>294906773</v>
      </c>
      <c r="X99" s="255"/>
      <c r="Y99" s="488"/>
    </row>
    <row r="100" spans="1:27" ht="57.75" customHeight="1">
      <c r="A100" s="190" t="s">
        <v>437</v>
      </c>
      <c r="B100" s="213"/>
      <c r="C100" s="203"/>
      <c r="D100" s="203"/>
      <c r="E100" s="204">
        <f>+E101+E111</f>
        <v>13504442554.619999</v>
      </c>
      <c r="F100" s="682"/>
      <c r="G100" s="204">
        <f>+G101+G111</f>
        <v>13216786178.619999</v>
      </c>
      <c r="H100" s="204">
        <f>+H101+H111</f>
        <v>0</v>
      </c>
      <c r="I100" s="204">
        <f>+I101+I111</f>
        <v>4115938669</v>
      </c>
      <c r="J100" s="351"/>
      <c r="K100" s="192">
        <f>+K101+K111</f>
        <v>4055938669</v>
      </c>
      <c r="L100" s="204"/>
      <c r="M100" s="204">
        <f>+M101+M111</f>
        <v>3484467633.1199999</v>
      </c>
      <c r="N100" s="204"/>
      <c r="O100" s="204">
        <f>+O101+O111</f>
        <v>3484467633.1199999</v>
      </c>
      <c r="P100" s="204"/>
      <c r="Q100" s="204">
        <f>+Q101+Q111</f>
        <v>3382311449</v>
      </c>
      <c r="R100" s="192"/>
      <c r="S100" s="204">
        <f>+S101+S111</f>
        <v>3382311449</v>
      </c>
      <c r="T100" s="204">
        <f t="shared" ref="T100:U100" si="36">+T101+T111</f>
        <v>0</v>
      </c>
      <c r="U100" s="204">
        <f t="shared" si="36"/>
        <v>2521724803.5</v>
      </c>
      <c r="V100" s="192"/>
      <c r="W100" s="637">
        <f>+W101+W111</f>
        <v>2294068427.5</v>
      </c>
      <c r="X100" s="751"/>
      <c r="Y100" s="488"/>
    </row>
    <row r="101" spans="1:27" ht="36">
      <c r="A101" s="297" t="s">
        <v>498</v>
      </c>
      <c r="B101" s="214"/>
      <c r="C101" s="208"/>
      <c r="D101" s="208"/>
      <c r="E101" s="207">
        <f>SUM(E102:E110)</f>
        <v>7062776507.5</v>
      </c>
      <c r="F101" s="683"/>
      <c r="G101" s="207">
        <f>SUM(G102:G110)</f>
        <v>6996764373</v>
      </c>
      <c r="H101" s="268">
        <v>0</v>
      </c>
      <c r="I101" s="207">
        <f>SUM(I102:I110)</f>
        <v>2553141500</v>
      </c>
      <c r="J101" s="351"/>
      <c r="K101" s="307">
        <f>SUM(K102:K110)</f>
        <v>2493141500</v>
      </c>
      <c r="L101" s="206">
        <v>0</v>
      </c>
      <c r="M101" s="207">
        <f>SUM(M102:M110)</f>
        <v>2169866016</v>
      </c>
      <c r="N101" s="212">
        <v>0</v>
      </c>
      <c r="O101" s="207">
        <f>SUM(O102:O110)</f>
        <v>2169866016</v>
      </c>
      <c r="P101" s="207"/>
      <c r="Q101" s="207">
        <f>SUM(Q102:Q110)</f>
        <v>1493044188</v>
      </c>
      <c r="R101" s="307">
        <v>0</v>
      </c>
      <c r="S101" s="207">
        <f>SUM(S102:S110)</f>
        <v>1493044188</v>
      </c>
      <c r="T101" s="207"/>
      <c r="U101" s="207">
        <f>SUM(U102:U110)</f>
        <v>846724803.5</v>
      </c>
      <c r="V101" s="766"/>
      <c r="W101" s="635">
        <f>SUM(W102:W110)</f>
        <v>840712669</v>
      </c>
      <c r="X101" s="749"/>
      <c r="Y101" s="488"/>
      <c r="AA101" s="488"/>
    </row>
    <row r="102" spans="1:27" ht="36">
      <c r="A102" s="325" t="s">
        <v>438</v>
      </c>
      <c r="B102" s="177" t="s">
        <v>188</v>
      </c>
      <c r="C102" s="174" t="s">
        <v>511</v>
      </c>
      <c r="D102" s="242">
        <f>AVERAGE(H102,L102,P102,T102)</f>
        <v>1</v>
      </c>
      <c r="E102" s="72">
        <f>+I102+M102+Q102+U102</f>
        <v>549032596.20000005</v>
      </c>
      <c r="F102" s="684">
        <f>AVERAGE(J102,N102,R102,V102)</f>
        <v>1</v>
      </c>
      <c r="G102" s="72">
        <f t="shared" ref="G102:G110" si="37">+K102+O102+S102+W102</f>
        <v>549032596</v>
      </c>
      <c r="H102" s="263">
        <v>1</v>
      </c>
      <c r="I102" s="589">
        <v>119232028</v>
      </c>
      <c r="J102" s="339">
        <v>1</v>
      </c>
      <c r="K102" s="209">
        <v>119232028</v>
      </c>
      <c r="L102" s="263">
        <v>1</v>
      </c>
      <c r="M102" s="783">
        <v>106328259</v>
      </c>
      <c r="N102" s="339">
        <v>1</v>
      </c>
      <c r="O102" s="72">
        <v>106328259</v>
      </c>
      <c r="P102" s="263">
        <v>1</v>
      </c>
      <c r="Q102" s="589">
        <v>154642184</v>
      </c>
      <c r="R102" s="579">
        <v>1</v>
      </c>
      <c r="S102" s="72">
        <v>154642184</v>
      </c>
      <c r="T102" s="263">
        <v>1</v>
      </c>
      <c r="U102" s="589">
        <v>168830125.19999999</v>
      </c>
      <c r="V102" s="657">
        <v>1</v>
      </c>
      <c r="W102" s="220">
        <v>168830125</v>
      </c>
      <c r="X102" s="255"/>
      <c r="Y102" s="488">
        <f t="shared" ref="Y102" si="38">+U102-W102</f>
        <v>0.19999998807907104</v>
      </c>
      <c r="AA102" s="488"/>
    </row>
    <row r="103" spans="1:27" ht="36">
      <c r="A103" s="325" t="s">
        <v>439</v>
      </c>
      <c r="B103" s="177" t="s">
        <v>186</v>
      </c>
      <c r="C103" s="174" t="s">
        <v>1</v>
      </c>
      <c r="D103" s="242">
        <f>+T103</f>
        <v>100</v>
      </c>
      <c r="E103" s="72">
        <f>+I103+M103+Q103+U103</f>
        <v>2685643574</v>
      </c>
      <c r="F103" s="684">
        <f>50+25+V103-75</f>
        <v>100</v>
      </c>
      <c r="G103" s="72">
        <f t="shared" si="37"/>
        <v>2679980639</v>
      </c>
      <c r="H103" s="263">
        <v>25</v>
      </c>
      <c r="I103" s="589">
        <v>567360065</v>
      </c>
      <c r="J103" s="339">
        <v>25</v>
      </c>
      <c r="K103" s="209">
        <v>567360065</v>
      </c>
      <c r="L103" s="263">
        <v>50</v>
      </c>
      <c r="M103" s="783">
        <v>528738428</v>
      </c>
      <c r="N103" s="339">
        <v>50</v>
      </c>
      <c r="O103" s="72">
        <v>528738428</v>
      </c>
      <c r="P103" s="263">
        <v>75</v>
      </c>
      <c r="Q103" s="589">
        <v>1073739393</v>
      </c>
      <c r="R103" s="577">
        <v>75</v>
      </c>
      <c r="S103" s="288">
        <v>1073739393</v>
      </c>
      <c r="T103" s="263">
        <v>100</v>
      </c>
      <c r="U103" s="589">
        <v>515805688</v>
      </c>
      <c r="V103" s="73">
        <v>100</v>
      </c>
      <c r="W103" s="220">
        <v>510142753</v>
      </c>
      <c r="X103" s="255"/>
      <c r="Y103" s="488"/>
    </row>
    <row r="104" spans="1:27" ht="44.25" customHeight="1">
      <c r="A104" s="325" t="s">
        <v>440</v>
      </c>
      <c r="B104" s="177" t="s">
        <v>188</v>
      </c>
      <c r="C104" s="174" t="s">
        <v>178</v>
      </c>
      <c r="D104" s="242">
        <f>AVERAGE(H104,L104,P104,T104)</f>
        <v>1</v>
      </c>
      <c r="E104" s="72">
        <f t="shared" ref="E104:E115" si="39">+I104+M104+Q104+U104</f>
        <v>270886656.30000001</v>
      </c>
      <c r="F104" s="590">
        <f>AVERAGE(J104,N104,R104,V104)</f>
        <v>0.99</v>
      </c>
      <c r="G104" s="72">
        <f t="shared" si="37"/>
        <v>270881911</v>
      </c>
      <c r="H104" s="263">
        <v>1</v>
      </c>
      <c r="I104" s="589">
        <v>0</v>
      </c>
      <c r="J104" s="339">
        <v>1</v>
      </c>
      <c r="K104" s="209">
        <v>0</v>
      </c>
      <c r="L104" s="263">
        <v>1</v>
      </c>
      <c r="M104" s="783">
        <v>119907716</v>
      </c>
      <c r="N104" s="339">
        <v>1</v>
      </c>
      <c r="O104" s="72">
        <v>119907716</v>
      </c>
      <c r="P104" s="263">
        <v>1</v>
      </c>
      <c r="Q104" s="589">
        <v>78709584</v>
      </c>
      <c r="R104" s="590">
        <v>1</v>
      </c>
      <c r="S104" s="72">
        <v>78709584</v>
      </c>
      <c r="T104" s="263">
        <v>1</v>
      </c>
      <c r="U104" s="589">
        <v>72269356.299999997</v>
      </c>
      <c r="V104" s="657">
        <v>0.96</v>
      </c>
      <c r="W104" s="220">
        <v>72264611</v>
      </c>
      <c r="X104" s="255"/>
      <c r="Y104" s="488"/>
    </row>
    <row r="105" spans="1:27" ht="69" customHeight="1">
      <c r="A105" s="325" t="s">
        <v>441</v>
      </c>
      <c r="B105" s="177" t="s">
        <v>186</v>
      </c>
      <c r="C105" s="174" t="s">
        <v>192</v>
      </c>
      <c r="D105" s="242">
        <f>+H105+L105+P105+T105</f>
        <v>1</v>
      </c>
      <c r="E105" s="72">
        <f t="shared" si="39"/>
        <v>0</v>
      </c>
      <c r="F105" s="590">
        <f>+J105+N105+R105+V105</f>
        <v>1</v>
      </c>
      <c r="G105" s="72">
        <f t="shared" si="37"/>
        <v>0</v>
      </c>
      <c r="H105" s="263">
        <v>1</v>
      </c>
      <c r="I105" s="589">
        <v>0</v>
      </c>
      <c r="J105" s="339">
        <v>1</v>
      </c>
      <c r="K105" s="209">
        <v>0</v>
      </c>
      <c r="L105" s="263">
        <v>0</v>
      </c>
      <c r="M105" s="783">
        <v>0</v>
      </c>
      <c r="N105" s="339">
        <v>0</v>
      </c>
      <c r="O105" s="72">
        <v>0</v>
      </c>
      <c r="P105" s="263">
        <v>0</v>
      </c>
      <c r="Q105" s="589">
        <v>0</v>
      </c>
      <c r="R105" s="590">
        <v>0</v>
      </c>
      <c r="S105" s="72">
        <v>0</v>
      </c>
      <c r="T105" s="263">
        <v>0</v>
      </c>
      <c r="U105" s="589">
        <v>0</v>
      </c>
      <c r="V105" s="71">
        <v>0</v>
      </c>
      <c r="W105" s="220">
        <v>0</v>
      </c>
      <c r="X105" s="255"/>
      <c r="Y105" s="488"/>
    </row>
    <row r="106" spans="1:27" ht="72">
      <c r="A106" s="325" t="s">
        <v>442</v>
      </c>
      <c r="B106" s="177" t="s">
        <v>186</v>
      </c>
      <c r="C106" s="174" t="s">
        <v>443</v>
      </c>
      <c r="D106" s="242">
        <f>+H106+L106+P106+T106</f>
        <v>4</v>
      </c>
      <c r="E106" s="72">
        <f t="shared" si="39"/>
        <v>3367270132</v>
      </c>
      <c r="F106" s="590">
        <f>+J106+N106+R106+V106</f>
        <v>3.9</v>
      </c>
      <c r="G106" s="72">
        <f t="shared" si="37"/>
        <v>3306925678</v>
      </c>
      <c r="H106" s="263">
        <v>1</v>
      </c>
      <c r="I106" s="589">
        <v>1804310456</v>
      </c>
      <c r="J106" s="339">
        <v>1</v>
      </c>
      <c r="K106" s="209">
        <v>1744310456</v>
      </c>
      <c r="L106" s="263">
        <v>1</v>
      </c>
      <c r="M106" s="783">
        <v>1332380306</v>
      </c>
      <c r="N106" s="371">
        <v>0.9</v>
      </c>
      <c r="O106" s="72">
        <v>1332380306</v>
      </c>
      <c r="P106" s="263">
        <v>1</v>
      </c>
      <c r="Q106" s="589">
        <v>145361590</v>
      </c>
      <c r="R106" s="590">
        <v>1</v>
      </c>
      <c r="S106" s="72">
        <v>145361590</v>
      </c>
      <c r="T106" s="263">
        <v>1</v>
      </c>
      <c r="U106" s="589">
        <v>85217780</v>
      </c>
      <c r="V106" s="71">
        <v>1</v>
      </c>
      <c r="W106" s="220">
        <v>84873326</v>
      </c>
      <c r="X106" s="255"/>
      <c r="Y106" s="488"/>
    </row>
    <row r="107" spans="1:27" ht="39.75" customHeight="1">
      <c r="A107" s="325" t="s">
        <v>444</v>
      </c>
      <c r="B107" s="177" t="s">
        <v>186</v>
      </c>
      <c r="C107" s="174" t="s">
        <v>493</v>
      </c>
      <c r="D107" s="242">
        <f>+H107+L107+P107+T107</f>
        <v>3</v>
      </c>
      <c r="E107" s="72">
        <f t="shared" si="39"/>
        <v>94671399</v>
      </c>
      <c r="F107" s="209">
        <f>+J107+N107+R107+V107</f>
        <v>3</v>
      </c>
      <c r="G107" s="72">
        <f t="shared" si="37"/>
        <v>94671399</v>
      </c>
      <c r="H107" s="263">
        <v>1</v>
      </c>
      <c r="I107" s="800">
        <v>0</v>
      </c>
      <c r="J107" s="346">
        <v>1</v>
      </c>
      <c r="K107" s="216">
        <v>0</v>
      </c>
      <c r="L107" s="265">
        <v>1</v>
      </c>
      <c r="M107" s="790">
        <v>64617211</v>
      </c>
      <c r="N107" s="346">
        <v>1</v>
      </c>
      <c r="O107" s="215">
        <v>64617211</v>
      </c>
      <c r="P107" s="265">
        <v>1</v>
      </c>
      <c r="Q107" s="589">
        <v>30054188</v>
      </c>
      <c r="R107" s="594">
        <v>1</v>
      </c>
      <c r="S107" s="215">
        <v>30054188</v>
      </c>
      <c r="T107" s="265">
        <v>0</v>
      </c>
      <c r="U107" s="589"/>
      <c r="V107" s="71">
        <v>0</v>
      </c>
      <c r="W107" s="220"/>
      <c r="X107" s="255"/>
      <c r="Y107" s="488"/>
    </row>
    <row r="108" spans="1:27" ht="39.75" customHeight="1">
      <c r="A108" s="325" t="s">
        <v>445</v>
      </c>
      <c r="B108" s="177" t="s">
        <v>188</v>
      </c>
      <c r="C108" s="174" t="s">
        <v>191</v>
      </c>
      <c r="D108" s="242">
        <f>AVERAGE(H108,L108,P108,T108)</f>
        <v>1</v>
      </c>
      <c r="E108" s="72">
        <f t="shared" si="39"/>
        <v>21682030</v>
      </c>
      <c r="F108" s="590">
        <f>AVERAGE(J108,N108,R108,V108)</f>
        <v>1</v>
      </c>
      <c r="G108" s="72">
        <f t="shared" si="37"/>
        <v>21682030</v>
      </c>
      <c r="H108" s="263">
        <v>1</v>
      </c>
      <c r="I108" s="800">
        <v>4584866</v>
      </c>
      <c r="J108" s="346">
        <v>1</v>
      </c>
      <c r="K108" s="216">
        <v>4584866</v>
      </c>
      <c r="L108" s="265">
        <v>1</v>
      </c>
      <c r="M108" s="790">
        <v>9590256</v>
      </c>
      <c r="N108" s="346">
        <v>1</v>
      </c>
      <c r="O108" s="215">
        <v>9590256</v>
      </c>
      <c r="P108" s="265">
        <v>1</v>
      </c>
      <c r="Q108" s="589">
        <v>7506908</v>
      </c>
      <c r="R108" s="594">
        <v>1</v>
      </c>
      <c r="S108" s="215">
        <v>7506908</v>
      </c>
      <c r="T108" s="265">
        <v>1</v>
      </c>
      <c r="U108" s="589">
        <v>0</v>
      </c>
      <c r="V108" s="71">
        <v>1</v>
      </c>
      <c r="W108" s="220">
        <v>0</v>
      </c>
      <c r="X108" s="255"/>
      <c r="Y108" s="488"/>
    </row>
    <row r="109" spans="1:27" ht="48.75" customHeight="1">
      <c r="A109" s="325" t="s">
        <v>446</v>
      </c>
      <c r="B109" s="177" t="s">
        <v>186</v>
      </c>
      <c r="C109" s="174" t="s">
        <v>130</v>
      </c>
      <c r="D109" s="242">
        <f>+H109+L109+P109+T109</f>
        <v>2</v>
      </c>
      <c r="E109" s="72">
        <f t="shared" si="39"/>
        <v>50191686</v>
      </c>
      <c r="F109" s="209">
        <f>+J109+N109+R109+V109</f>
        <v>2</v>
      </c>
      <c r="G109" s="72">
        <f t="shared" si="37"/>
        <v>50191686</v>
      </c>
      <c r="H109" s="265">
        <v>1</v>
      </c>
      <c r="I109" s="800">
        <v>50191686</v>
      </c>
      <c r="J109" s="339">
        <v>1</v>
      </c>
      <c r="K109" s="209">
        <v>50191686</v>
      </c>
      <c r="L109" s="263">
        <v>1</v>
      </c>
      <c r="M109" s="783">
        <v>0</v>
      </c>
      <c r="N109" s="339">
        <v>1</v>
      </c>
      <c r="O109" s="72">
        <v>0</v>
      </c>
      <c r="P109" s="263">
        <v>0</v>
      </c>
      <c r="Q109" s="589">
        <v>0</v>
      </c>
      <c r="R109" s="209">
        <v>0</v>
      </c>
      <c r="S109" s="72">
        <v>0</v>
      </c>
      <c r="T109" s="263">
        <v>0</v>
      </c>
      <c r="U109" s="589">
        <v>0</v>
      </c>
      <c r="V109" s="71">
        <v>0</v>
      </c>
      <c r="W109" s="220">
        <v>0</v>
      </c>
      <c r="X109" s="255"/>
      <c r="Y109" s="488"/>
    </row>
    <row r="110" spans="1:27" ht="48.75" customHeight="1">
      <c r="A110" s="325" t="s">
        <v>514</v>
      </c>
      <c r="B110" s="280"/>
      <c r="C110" s="174" t="s">
        <v>515</v>
      </c>
      <c r="D110" s="174">
        <v>0</v>
      </c>
      <c r="E110" s="72">
        <f t="shared" si="39"/>
        <v>23398434</v>
      </c>
      <c r="F110" s="216" t="s">
        <v>567</v>
      </c>
      <c r="G110" s="72">
        <f t="shared" si="37"/>
        <v>23398434</v>
      </c>
      <c r="H110" s="265"/>
      <c r="I110" s="800">
        <v>7462399</v>
      </c>
      <c r="J110" s="346">
        <v>0</v>
      </c>
      <c r="K110" s="216">
        <v>7462399</v>
      </c>
      <c r="L110" s="265"/>
      <c r="M110" s="790">
        <v>8303840</v>
      </c>
      <c r="N110" s="346"/>
      <c r="O110" s="215">
        <v>8303840</v>
      </c>
      <c r="P110" s="265">
        <v>0</v>
      </c>
      <c r="Q110" s="589">
        <v>3030341</v>
      </c>
      <c r="R110" s="216"/>
      <c r="S110" s="215">
        <v>3030341</v>
      </c>
      <c r="T110" s="263"/>
      <c r="U110" s="589">
        <v>4601854</v>
      </c>
      <c r="V110" s="292"/>
      <c r="W110" s="293">
        <v>4601854</v>
      </c>
      <c r="X110" s="255"/>
      <c r="Y110" s="488"/>
    </row>
    <row r="111" spans="1:27" ht="50.25" customHeight="1">
      <c r="A111" s="303" t="s">
        <v>497</v>
      </c>
      <c r="B111" s="223"/>
      <c r="C111" s="201"/>
      <c r="D111" s="224"/>
      <c r="E111" s="199">
        <f>SUM(E112:E117)</f>
        <v>6441666047.1199999</v>
      </c>
      <c r="F111" s="224"/>
      <c r="G111" s="199">
        <f>SUM(G112:G117)</f>
        <v>6220021805.6199999</v>
      </c>
      <c r="H111" s="224"/>
      <c r="I111" s="199">
        <f>SUM(I112:I117)</f>
        <v>1562797169</v>
      </c>
      <c r="J111" s="347"/>
      <c r="K111" s="224">
        <f>SUM(K112:K117)</f>
        <v>1562797169</v>
      </c>
      <c r="L111" s="195"/>
      <c r="M111" s="199">
        <f>SUM(M112:M117)</f>
        <v>1314601617.1199999</v>
      </c>
      <c r="N111" s="195"/>
      <c r="O111" s="199">
        <f>SUM(O112:O117)</f>
        <v>1314601617.1199999</v>
      </c>
      <c r="P111" s="199"/>
      <c r="Q111" s="199">
        <f>SUM(Q112:Q117)</f>
        <v>1889267261</v>
      </c>
      <c r="R111" s="224"/>
      <c r="S111" s="199">
        <f>SUM(S112:S117)</f>
        <v>1889267261</v>
      </c>
      <c r="T111" s="199"/>
      <c r="U111" s="199">
        <f t="shared" ref="U111" si="40">SUM(U112:U117)</f>
        <v>1675000000</v>
      </c>
      <c r="V111" s="766"/>
      <c r="W111" s="633">
        <f>SUM(W112:W117)</f>
        <v>1453355758.5</v>
      </c>
      <c r="X111" s="744"/>
      <c r="Y111" s="488"/>
      <c r="AA111" s="488"/>
    </row>
    <row r="112" spans="1:27" ht="50.25" customHeight="1">
      <c r="A112" s="323" t="s">
        <v>447</v>
      </c>
      <c r="B112" s="177" t="s">
        <v>188</v>
      </c>
      <c r="C112" s="174" t="s">
        <v>1</v>
      </c>
      <c r="D112" s="242">
        <v>100</v>
      </c>
      <c r="E112" s="72">
        <f>+I112+M112+Q112</f>
        <v>0</v>
      </c>
      <c r="F112" s="575">
        <f>+H112+V112-17-8</f>
        <v>100</v>
      </c>
      <c r="G112" s="72">
        <f t="shared" ref="G112:G115" si="41">+K112+O112+S112+W112</f>
        <v>0</v>
      </c>
      <c r="H112" s="263">
        <v>25</v>
      </c>
      <c r="I112" s="800"/>
      <c r="J112" s="354">
        <v>25</v>
      </c>
      <c r="K112" s="216">
        <v>0</v>
      </c>
      <c r="L112" s="265">
        <v>50</v>
      </c>
      <c r="M112" s="789">
        <v>0</v>
      </c>
      <c r="N112" s="346">
        <v>50</v>
      </c>
      <c r="O112" s="215">
        <v>0</v>
      </c>
      <c r="P112" s="263">
        <v>75</v>
      </c>
      <c r="Q112" s="800">
        <v>0</v>
      </c>
      <c r="R112" s="577">
        <v>75</v>
      </c>
      <c r="S112" s="215">
        <v>0</v>
      </c>
      <c r="T112" s="263">
        <v>100</v>
      </c>
      <c r="U112" s="60">
        <v>0</v>
      </c>
      <c r="V112" s="71">
        <v>100</v>
      </c>
      <c r="W112" s="229">
        <v>0</v>
      </c>
      <c r="X112" s="753"/>
      <c r="Y112" s="553">
        <f>+P112*0.66</f>
        <v>49.5</v>
      </c>
      <c r="AA112" s="488"/>
    </row>
    <row r="113" spans="1:25" ht="50.25" customHeight="1">
      <c r="A113" s="326" t="s">
        <v>448</v>
      </c>
      <c r="B113" s="177" t="s">
        <v>450</v>
      </c>
      <c r="C113" s="174" t="s">
        <v>494</v>
      </c>
      <c r="D113" s="242">
        <f>AVERAGE(H113,L113,P113,T113)</f>
        <v>1</v>
      </c>
      <c r="E113" s="72">
        <f t="shared" si="39"/>
        <v>2609816117.7600002</v>
      </c>
      <c r="F113" s="575">
        <f>AVERAGE(J113,N113,R113,V113)</f>
        <v>1</v>
      </c>
      <c r="G113" s="72">
        <f t="shared" si="41"/>
        <v>2410612795.2600002</v>
      </c>
      <c r="H113" s="263">
        <v>1</v>
      </c>
      <c r="I113" s="800">
        <v>259667370</v>
      </c>
      <c r="J113" s="354">
        <v>1</v>
      </c>
      <c r="K113" s="216">
        <v>259667370</v>
      </c>
      <c r="L113" s="265">
        <v>1</v>
      </c>
      <c r="M113" s="790">
        <v>300653194.75999999</v>
      </c>
      <c r="N113" s="346">
        <v>1</v>
      </c>
      <c r="O113" s="215">
        <v>300653194.75999999</v>
      </c>
      <c r="P113" s="265">
        <v>1</v>
      </c>
      <c r="Q113" s="800">
        <v>932268448</v>
      </c>
      <c r="R113" s="593">
        <v>1</v>
      </c>
      <c r="S113" s="215">
        <v>932268448</v>
      </c>
      <c r="T113" s="265">
        <v>1</v>
      </c>
      <c r="U113" s="215">
        <v>1117227105</v>
      </c>
      <c r="V113" s="657">
        <v>1</v>
      </c>
      <c r="W113" s="220">
        <v>918023782.5</v>
      </c>
      <c r="X113" s="255"/>
      <c r="Y113" s="488">
        <f>+U113-W113</f>
        <v>199203322.5</v>
      </c>
    </row>
    <row r="114" spans="1:25" ht="50.25" customHeight="1">
      <c r="A114" s="320" t="s">
        <v>449</v>
      </c>
      <c r="B114" s="177" t="s">
        <v>450</v>
      </c>
      <c r="C114" s="174" t="s">
        <v>178</v>
      </c>
      <c r="D114" s="242">
        <f>AVERAGE(H114,L114,P114,T114)</f>
        <v>0.75</v>
      </c>
      <c r="E114" s="72">
        <f t="shared" si="39"/>
        <v>1650410735</v>
      </c>
      <c r="F114" s="510">
        <f>AVERAGE(J114,N114,R114,V114)</f>
        <v>0.75</v>
      </c>
      <c r="G114" s="72">
        <f t="shared" si="41"/>
        <v>1650410735</v>
      </c>
      <c r="H114" s="263">
        <v>1</v>
      </c>
      <c r="I114" s="800">
        <v>1156645716</v>
      </c>
      <c r="J114" s="354">
        <v>1</v>
      </c>
      <c r="K114" s="216">
        <v>1156645716</v>
      </c>
      <c r="L114" s="265">
        <v>1</v>
      </c>
      <c r="M114" s="790">
        <v>304449785</v>
      </c>
      <c r="N114" s="346">
        <v>1</v>
      </c>
      <c r="O114" s="215">
        <v>304449785</v>
      </c>
      <c r="P114" s="265">
        <v>1</v>
      </c>
      <c r="Q114" s="800">
        <v>189315234</v>
      </c>
      <c r="R114" s="594">
        <v>1</v>
      </c>
      <c r="S114" s="215">
        <v>189315234</v>
      </c>
      <c r="T114" s="265">
        <v>0</v>
      </c>
      <c r="U114" s="215">
        <v>0</v>
      </c>
      <c r="V114" s="71">
        <v>0</v>
      </c>
      <c r="W114" s="220">
        <v>0</v>
      </c>
      <c r="X114" s="255"/>
      <c r="Y114" s="488">
        <f t="shared" ref="Y114:Y117" si="42">+U114-W114</f>
        <v>0</v>
      </c>
    </row>
    <row r="115" spans="1:25" ht="57" customHeight="1">
      <c r="A115" s="320" t="s">
        <v>451</v>
      </c>
      <c r="B115" s="177" t="s">
        <v>186</v>
      </c>
      <c r="C115" s="174" t="s">
        <v>495</v>
      </c>
      <c r="D115" s="242">
        <f>+H115+L115+P115+T115</f>
        <v>4</v>
      </c>
      <c r="E115" s="72">
        <f t="shared" si="39"/>
        <v>1065021941.36</v>
      </c>
      <c r="F115" s="575">
        <f>+J115+N115+R115+V115</f>
        <v>4</v>
      </c>
      <c r="G115" s="72">
        <f t="shared" si="41"/>
        <v>1046421392.36</v>
      </c>
      <c r="H115" s="263">
        <v>1</v>
      </c>
      <c r="I115" s="800">
        <v>0</v>
      </c>
      <c r="J115" s="354">
        <v>1</v>
      </c>
      <c r="K115" s="216">
        <v>0</v>
      </c>
      <c r="L115" s="265">
        <v>1</v>
      </c>
      <c r="M115" s="790">
        <v>307278993.36000001</v>
      </c>
      <c r="N115" s="346">
        <v>1</v>
      </c>
      <c r="O115" s="215">
        <v>307278993.36000001</v>
      </c>
      <c r="P115" s="265">
        <v>1</v>
      </c>
      <c r="Q115" s="800">
        <v>547675774</v>
      </c>
      <c r="R115" s="594">
        <v>1</v>
      </c>
      <c r="S115" s="215">
        <v>547675774</v>
      </c>
      <c r="T115" s="265">
        <v>1</v>
      </c>
      <c r="U115" s="215">
        <v>210067174</v>
      </c>
      <c r="V115" s="657">
        <v>1</v>
      </c>
      <c r="W115" s="228">
        <v>191466625</v>
      </c>
      <c r="X115" s="754"/>
      <c r="Y115" s="488">
        <f t="shared" si="42"/>
        <v>18600549</v>
      </c>
    </row>
    <row r="116" spans="1:25" ht="80.25" customHeight="1" thickBot="1">
      <c r="A116" s="330" t="s">
        <v>452</v>
      </c>
      <c r="B116" s="177" t="s">
        <v>188</v>
      </c>
      <c r="C116" s="174" t="s">
        <v>191</v>
      </c>
      <c r="D116" s="294">
        <f>AVERAGE(H116,L116,P116,T116)</f>
        <v>1</v>
      </c>
      <c r="E116" s="72">
        <f>+I116+M116+Q116+U116</f>
        <v>995390015</v>
      </c>
      <c r="F116" s="510">
        <f>AVERAGE(J116,N116,R116,V116)</f>
        <v>1</v>
      </c>
      <c r="G116" s="72">
        <f>+K116+O116+S116+W116</f>
        <v>991549645</v>
      </c>
      <c r="H116" s="265">
        <v>1</v>
      </c>
      <c r="I116" s="800">
        <v>132922987</v>
      </c>
      <c r="J116" s="354">
        <v>1</v>
      </c>
      <c r="K116" s="216">
        <v>132922987</v>
      </c>
      <c r="L116" s="265">
        <v>1</v>
      </c>
      <c r="M116" s="790">
        <v>389439076</v>
      </c>
      <c r="N116" s="346">
        <v>1</v>
      </c>
      <c r="O116" s="215">
        <v>389439076</v>
      </c>
      <c r="P116" s="265">
        <v>1</v>
      </c>
      <c r="Q116" s="800">
        <v>165480148</v>
      </c>
      <c r="R116" s="593">
        <v>1</v>
      </c>
      <c r="S116" s="215">
        <v>165480148</v>
      </c>
      <c r="T116" s="265">
        <v>1</v>
      </c>
      <c r="U116" s="215">
        <v>307547804</v>
      </c>
      <c r="V116" s="659">
        <v>1</v>
      </c>
      <c r="W116" s="287">
        <v>303707434</v>
      </c>
      <c r="X116" s="255"/>
      <c r="Y116" s="488">
        <f t="shared" si="42"/>
        <v>3840370</v>
      </c>
    </row>
    <row r="117" spans="1:25" ht="80.25" customHeight="1" thickBot="1">
      <c r="A117" s="325" t="s">
        <v>514</v>
      </c>
      <c r="B117" s="280"/>
      <c r="C117" s="174" t="s">
        <v>515</v>
      </c>
      <c r="D117" s="174">
        <v>0</v>
      </c>
      <c r="E117" s="72">
        <f>+I117+M117+Q117+U117</f>
        <v>121027238</v>
      </c>
      <c r="F117" s="209" t="s">
        <v>567</v>
      </c>
      <c r="G117" s="72">
        <f>+K117+O117+S117+W117</f>
        <v>121027238</v>
      </c>
      <c r="H117" s="263"/>
      <c r="I117" s="589">
        <v>13561096</v>
      </c>
      <c r="J117" s="355"/>
      <c r="K117" s="209">
        <v>13561096</v>
      </c>
      <c r="L117" s="263"/>
      <c r="M117" s="783">
        <v>12780568</v>
      </c>
      <c r="N117" s="339"/>
      <c r="O117" s="72">
        <v>12780568</v>
      </c>
      <c r="P117" s="263">
        <v>0</v>
      </c>
      <c r="Q117" s="800">
        <v>54527657</v>
      </c>
      <c r="R117" s="209"/>
      <c r="S117" s="72">
        <v>54527657</v>
      </c>
      <c r="T117" s="263"/>
      <c r="U117" s="215">
        <v>40157917</v>
      </c>
      <c r="V117" s="71"/>
      <c r="W117" s="220">
        <v>40157917</v>
      </c>
      <c r="X117" s="255"/>
      <c r="Y117" s="488">
        <f t="shared" si="42"/>
        <v>0</v>
      </c>
    </row>
    <row r="118" spans="1:25" ht="38.25" customHeight="1" thickBot="1">
      <c r="A118" s="808" t="s">
        <v>193</v>
      </c>
      <c r="B118" s="809"/>
      <c r="C118" s="809"/>
      <c r="D118" s="810"/>
      <c r="E118" s="295">
        <f>+E5+E33++E55+E69+E87+E100</f>
        <v>116661297710.23891</v>
      </c>
      <c r="F118" s="310"/>
      <c r="G118" s="295">
        <f>+G5+G33++G55+G69+G87+G100</f>
        <v>115401416089.86501</v>
      </c>
      <c r="H118" s="295"/>
      <c r="I118" s="295">
        <f>+I5+I33++I55+I69+I87+I100</f>
        <v>31166010977.700001</v>
      </c>
      <c r="J118" s="356"/>
      <c r="K118" s="310">
        <f>+K5+K33++K55+K69+K87+K100</f>
        <v>31001445223.524002</v>
      </c>
      <c r="L118" s="295"/>
      <c r="M118" s="295">
        <v>26822450100.991997</v>
      </c>
      <c r="N118" s="295"/>
      <c r="O118" s="295">
        <f>+O5+O33++O55+O69+O87+O100</f>
        <v>26336039932.591999</v>
      </c>
      <c r="P118" s="295"/>
      <c r="Q118" s="193">
        <f>+Q5+Q33++Q55+Q69+Q87+Q100</f>
        <v>30458030188.632801</v>
      </c>
      <c r="R118" s="310">
        <f t="shared" ref="R118" si="43">+R5+R33++R55+R69+R87+R100</f>
        <v>0</v>
      </c>
      <c r="S118" s="295">
        <f>+S5+S33++S55+S69+S87+S100</f>
        <v>30355649342.140999</v>
      </c>
      <c r="T118" s="295"/>
      <c r="U118" s="193">
        <f t="shared" ref="U118:V118" si="44">+U5+U33++U55+U69+U87+U100</f>
        <v>28214806441.31411</v>
      </c>
      <c r="V118" s="310">
        <f t="shared" si="44"/>
        <v>0</v>
      </c>
      <c r="W118" s="295">
        <f>+W5+W33++W55+W69+W87+W100</f>
        <v>27708281591.608002</v>
      </c>
      <c r="X118" s="755"/>
    </row>
    <row r="119" spans="1:25" ht="3.75" customHeight="1" thickBot="1">
      <c r="A119" s="230"/>
      <c r="B119" s="231"/>
      <c r="C119" s="231"/>
      <c r="D119" s="231"/>
      <c r="E119" s="232"/>
      <c r="F119" s="311"/>
      <c r="G119" s="232"/>
      <c r="H119" s="231"/>
      <c r="I119" s="231"/>
      <c r="J119" s="357"/>
      <c r="K119" s="311"/>
      <c r="L119" s="231"/>
      <c r="M119" s="231"/>
      <c r="N119" s="231"/>
      <c r="O119" s="231"/>
      <c r="P119" s="231"/>
      <c r="Q119" s="234"/>
      <c r="R119" s="580"/>
      <c r="S119" s="233"/>
      <c r="T119" s="231"/>
      <c r="U119" s="234"/>
      <c r="V119" s="770"/>
      <c r="W119" s="235"/>
      <c r="X119" s="756"/>
    </row>
    <row r="120" spans="1:25" ht="18">
      <c r="E120" s="62"/>
      <c r="G120" s="65"/>
      <c r="H120" s="65"/>
      <c r="I120" s="65"/>
      <c r="J120" s="366"/>
      <c r="K120" s="367"/>
      <c r="M120" s="518"/>
      <c r="N120" s="65"/>
      <c r="O120" s="518"/>
    </row>
    <row r="121" spans="1:25" ht="18">
      <c r="E121" s="62"/>
      <c r="G121" s="518">
        <f>+K118+O118+S118+W118</f>
        <v>115401416089.86499</v>
      </c>
      <c r="H121" s="518">
        <f>+'Anexo 1 Matriz SINA Inf Gestión'!Q118</f>
        <v>115401416089.86501</v>
      </c>
      <c r="I121" s="518">
        <f>+H121-G121</f>
        <v>0</v>
      </c>
      <c r="J121" s="65"/>
      <c r="K121" s="367"/>
      <c r="M121" s="65"/>
      <c r="N121" s="65"/>
      <c r="O121" s="65"/>
      <c r="P121" s="65"/>
      <c r="R121" s="582"/>
      <c r="U121" s="65">
        <v>28214806442</v>
      </c>
      <c r="W121" s="66">
        <v>27708281592</v>
      </c>
    </row>
    <row r="122" spans="1:25" ht="18">
      <c r="E122" s="62"/>
      <c r="G122" s="518"/>
      <c r="H122" s="518"/>
      <c r="I122" s="518">
        <f t="shared" ref="I122:I125" si="45">+H122-G122</f>
        <v>0</v>
      </c>
      <c r="J122" s="65"/>
      <c r="K122" s="367"/>
      <c r="O122" s="65"/>
      <c r="P122" s="65"/>
      <c r="R122" s="582"/>
      <c r="U122" s="65">
        <f>+U118-U121</f>
        <v>-0.68589019775390625</v>
      </c>
      <c r="W122" s="66">
        <f>+W118-W121</f>
        <v>-0.391998291015625</v>
      </c>
    </row>
    <row r="123" spans="1:25" ht="18">
      <c r="E123" s="62"/>
      <c r="G123" s="518">
        <f>+I118+M118+1+Q118+U118</f>
        <v>116661297709.63892</v>
      </c>
      <c r="H123" s="518"/>
      <c r="I123" s="518"/>
      <c r="J123" s="65"/>
      <c r="K123" s="367"/>
      <c r="O123" s="65"/>
      <c r="P123" s="65"/>
      <c r="R123" s="582"/>
    </row>
    <row r="124" spans="1:25" ht="18">
      <c r="E124" s="62"/>
      <c r="G124" s="518"/>
      <c r="H124" s="518"/>
      <c r="I124" s="518">
        <f t="shared" si="45"/>
        <v>0</v>
      </c>
      <c r="J124" s="65"/>
      <c r="K124" s="367"/>
      <c r="O124" s="65"/>
      <c r="P124" s="65"/>
      <c r="R124" s="582"/>
    </row>
    <row r="125" spans="1:25" ht="18">
      <c r="E125" s="62"/>
      <c r="G125" s="518"/>
      <c r="H125" s="518"/>
      <c r="I125" s="518">
        <f t="shared" si="45"/>
        <v>0</v>
      </c>
      <c r="J125" s="65"/>
      <c r="K125" s="367"/>
      <c r="O125" s="65"/>
      <c r="P125" s="65"/>
      <c r="R125" s="582"/>
      <c r="V125" s="771">
        <v>44958551</v>
      </c>
    </row>
    <row r="126" spans="1:25" ht="18">
      <c r="E126" s="62"/>
      <c r="G126" s="518"/>
      <c r="H126" s="518"/>
      <c r="I126" s="518"/>
      <c r="J126" s="65"/>
      <c r="K126" s="367"/>
      <c r="O126" s="65"/>
      <c r="P126" s="65"/>
      <c r="R126" s="582"/>
      <c r="V126" s="771">
        <v>175120153</v>
      </c>
    </row>
    <row r="127" spans="1:25">
      <c r="E127" s="62"/>
      <c r="G127" s="65"/>
      <c r="H127" s="65"/>
      <c r="I127" s="65"/>
      <c r="J127" s="65"/>
      <c r="K127" s="367"/>
      <c r="O127" s="65"/>
      <c r="P127" s="65"/>
      <c r="R127" s="582"/>
      <c r="V127" s="771">
        <f>+V126+V125</f>
        <v>220078704</v>
      </c>
    </row>
    <row r="128" spans="1:25">
      <c r="E128" s="62"/>
      <c r="G128" s="65"/>
      <c r="H128" s="65"/>
      <c r="I128" s="65"/>
      <c r="J128" s="65"/>
      <c r="K128" s="367"/>
      <c r="O128" s="65"/>
      <c r="P128" s="65"/>
      <c r="R128" s="582"/>
    </row>
    <row r="129" spans="5:22">
      <c r="E129" s="62"/>
      <c r="G129" s="65"/>
      <c r="H129" s="65"/>
      <c r="I129" s="65">
        <f>+I118</f>
        <v>31166010977.700001</v>
      </c>
      <c r="J129" s="65"/>
      <c r="K129" s="367"/>
      <c r="M129" s="65">
        <f>+M118</f>
        <v>26822450100.991997</v>
      </c>
      <c r="O129" s="65"/>
      <c r="P129" s="65"/>
      <c r="Q129" s="65">
        <f>+Q118</f>
        <v>30458030188.632801</v>
      </c>
      <c r="R129" s="582"/>
      <c r="U129" s="65">
        <f>+U118</f>
        <v>28214806441.31411</v>
      </c>
      <c r="V129" s="771">
        <f>+I129+M129+Q129+U129</f>
        <v>116661297708.63892</v>
      </c>
    </row>
    <row r="130" spans="5:22">
      <c r="E130" s="62"/>
      <c r="G130" s="65"/>
      <c r="H130" s="65"/>
      <c r="I130" s="65"/>
      <c r="J130" s="65"/>
      <c r="K130" s="367"/>
      <c r="O130" s="65"/>
      <c r="P130" s="65"/>
      <c r="R130" s="582"/>
    </row>
    <row r="131" spans="5:22">
      <c r="E131" s="62"/>
      <c r="G131" s="65"/>
      <c r="H131" s="65"/>
      <c r="I131" s="65"/>
      <c r="J131" s="65"/>
      <c r="K131" s="367"/>
      <c r="M131" s="781">
        <v>26822450100.991997</v>
      </c>
      <c r="O131" s="65"/>
      <c r="P131" s="65"/>
      <c r="R131" s="582"/>
    </row>
    <row r="132" spans="5:22">
      <c r="E132" s="62"/>
      <c r="G132" s="65"/>
      <c r="H132" s="65"/>
      <c r="I132" s="65"/>
      <c r="J132" s="65"/>
      <c r="K132" s="367"/>
      <c r="M132" s="804">
        <v>27597145368</v>
      </c>
      <c r="O132" s="65"/>
      <c r="P132" s="65"/>
      <c r="R132" s="582"/>
    </row>
    <row r="133" spans="5:22">
      <c r="E133" s="62"/>
      <c r="G133" s="65"/>
      <c r="H133" s="65"/>
      <c r="I133" s="65"/>
      <c r="J133" s="65"/>
      <c r="K133" s="367"/>
      <c r="M133" s="65">
        <f>+M132-M131</f>
        <v>774695267.00800323</v>
      </c>
    </row>
    <row r="134" spans="5:22">
      <c r="E134" s="62"/>
      <c r="G134" s="65"/>
      <c r="H134" s="65"/>
      <c r="I134" s="65"/>
      <c r="J134" s="65"/>
      <c r="K134" s="367"/>
      <c r="M134" s="65"/>
      <c r="S134" s="688" t="s">
        <v>573</v>
      </c>
    </row>
    <row r="135" spans="5:22">
      <c r="E135" s="62"/>
      <c r="G135" s="65"/>
      <c r="H135" s="65"/>
      <c r="I135" s="65"/>
      <c r="J135" s="65"/>
      <c r="K135" s="367"/>
    </row>
    <row r="136" spans="5:22">
      <c r="E136" s="62"/>
      <c r="G136" s="65"/>
      <c r="H136" s="65"/>
      <c r="I136" s="65"/>
      <c r="J136" s="65"/>
      <c r="K136" s="367"/>
    </row>
    <row r="137" spans="5:22">
      <c r="E137" s="62"/>
      <c r="G137" s="62"/>
      <c r="J137" s="62"/>
    </row>
    <row r="138" spans="5:22">
      <c r="E138" s="62"/>
      <c r="G138" s="62"/>
      <c r="J138" s="62"/>
    </row>
    <row r="139" spans="5:22">
      <c r="E139" s="62"/>
      <c r="G139" s="62"/>
      <c r="J139" s="62"/>
    </row>
    <row r="140" spans="5:22">
      <c r="E140" s="62"/>
      <c r="G140" s="62"/>
      <c r="J140" s="62"/>
    </row>
    <row r="141" spans="5:22">
      <c r="E141" s="62"/>
      <c r="G141" s="62"/>
      <c r="J141" s="62"/>
    </row>
    <row r="142" spans="5:22">
      <c r="E142" s="62"/>
      <c r="G142" s="62"/>
      <c r="J142" s="62"/>
    </row>
    <row r="143" spans="5:22">
      <c r="E143" s="62"/>
      <c r="G143" s="62"/>
      <c r="J143" s="62"/>
    </row>
    <row r="144" spans="5:22">
      <c r="E144" s="62"/>
      <c r="G144" s="62"/>
      <c r="J144" s="62"/>
    </row>
    <row r="145" spans="5:10">
      <c r="E145" s="62"/>
      <c r="G145" s="62"/>
      <c r="J145" s="62"/>
    </row>
    <row r="146" spans="5:10">
      <c r="E146" s="62"/>
      <c r="G146" s="62"/>
      <c r="J146" s="62"/>
    </row>
    <row r="147" spans="5:10">
      <c r="E147" s="62"/>
      <c r="G147" s="62"/>
      <c r="J147" s="62"/>
    </row>
    <row r="148" spans="5:10">
      <c r="E148" s="62"/>
      <c r="G148" s="62"/>
      <c r="J148" s="62"/>
    </row>
    <row r="149" spans="5:10">
      <c r="E149" s="62"/>
      <c r="G149" s="62"/>
      <c r="J149" s="62"/>
    </row>
    <row r="150" spans="5:10">
      <c r="E150" s="62"/>
      <c r="G150" s="62"/>
      <c r="J150" s="62"/>
    </row>
    <row r="151" spans="5:10">
      <c r="E151" s="62"/>
      <c r="G151" s="62"/>
      <c r="J151" s="62"/>
    </row>
    <row r="152" spans="5:10">
      <c r="E152" s="62"/>
      <c r="G152" s="62"/>
    </row>
    <row r="153" spans="5:10">
      <c r="E153" s="62"/>
      <c r="G153" s="62"/>
    </row>
    <row r="154" spans="5:10">
      <c r="E154" s="62"/>
      <c r="G154" s="62"/>
    </row>
    <row r="155" spans="5:10">
      <c r="E155" s="62"/>
      <c r="G155" s="62"/>
    </row>
    <row r="156" spans="5:10">
      <c r="E156" s="62"/>
      <c r="G156" s="62"/>
    </row>
    <row r="157" spans="5:10">
      <c r="E157" s="62"/>
      <c r="G157" s="62"/>
    </row>
    <row r="158" spans="5:10">
      <c r="E158" s="62"/>
      <c r="G158" s="62"/>
    </row>
    <row r="159" spans="5:10">
      <c r="E159" s="62"/>
      <c r="G159" s="62"/>
    </row>
    <row r="160" spans="5:10">
      <c r="E160" s="62"/>
      <c r="G160" s="62"/>
    </row>
    <row r="161" spans="5:7">
      <c r="E161" s="62"/>
      <c r="G161" s="62"/>
    </row>
    <row r="162" spans="5:7">
      <c r="E162" s="62"/>
      <c r="G162" s="62"/>
    </row>
    <row r="163" spans="5:7">
      <c r="E163" s="62"/>
      <c r="G163" s="62"/>
    </row>
    <row r="164" spans="5:7">
      <c r="E164" s="62"/>
      <c r="G164" s="62"/>
    </row>
    <row r="165" spans="5:7">
      <c r="E165" s="62"/>
      <c r="G165" s="62"/>
    </row>
    <row r="166" spans="5:7">
      <c r="E166" s="62"/>
      <c r="G166" s="62"/>
    </row>
    <row r="167" spans="5:7">
      <c r="E167" s="62"/>
      <c r="G167" s="62"/>
    </row>
    <row r="168" spans="5:7">
      <c r="E168" s="62"/>
      <c r="G168" s="62"/>
    </row>
    <row r="169" spans="5:7">
      <c r="E169" s="62"/>
      <c r="G169" s="62"/>
    </row>
    <row r="170" spans="5:7">
      <c r="E170" s="62"/>
      <c r="G170" s="62"/>
    </row>
    <row r="171" spans="5:7">
      <c r="E171" s="62"/>
      <c r="G171" s="62"/>
    </row>
    <row r="172" spans="5:7">
      <c r="E172" s="62"/>
      <c r="G172" s="62"/>
    </row>
    <row r="173" spans="5:7">
      <c r="E173" s="62"/>
      <c r="G173" s="62"/>
    </row>
    <row r="174" spans="5:7">
      <c r="E174" s="62"/>
      <c r="G174" s="62"/>
    </row>
    <row r="175" spans="5:7">
      <c r="E175" s="62"/>
      <c r="G175" s="62"/>
    </row>
    <row r="176" spans="5:7">
      <c r="E176" s="62"/>
      <c r="G176" s="62"/>
    </row>
    <row r="177" spans="5:7">
      <c r="E177" s="62"/>
      <c r="G177" s="62"/>
    </row>
    <row r="178" spans="5:7">
      <c r="E178" s="62"/>
      <c r="G178" s="62"/>
    </row>
    <row r="179" spans="5:7">
      <c r="E179" s="62"/>
      <c r="G179" s="62"/>
    </row>
    <row r="180" spans="5:7">
      <c r="E180" s="62"/>
      <c r="G180" s="62"/>
    </row>
    <row r="181" spans="5:7">
      <c r="E181" s="62"/>
      <c r="G181" s="62"/>
    </row>
    <row r="182" spans="5:7">
      <c r="E182" s="62"/>
      <c r="G182" s="62"/>
    </row>
    <row r="183" spans="5:7">
      <c r="E183" s="62"/>
      <c r="G183" s="62"/>
    </row>
    <row r="184" spans="5:7">
      <c r="E184" s="62"/>
      <c r="G184" s="62"/>
    </row>
    <row r="185" spans="5:7">
      <c r="E185" s="62"/>
      <c r="G185" s="62"/>
    </row>
    <row r="186" spans="5:7">
      <c r="E186" s="62"/>
      <c r="G186" s="62"/>
    </row>
    <row r="187" spans="5:7">
      <c r="E187" s="62"/>
      <c r="G187" s="62"/>
    </row>
    <row r="188" spans="5:7">
      <c r="E188" s="62"/>
      <c r="G188" s="62"/>
    </row>
    <row r="189" spans="5:7">
      <c r="E189" s="62"/>
      <c r="G189" s="62"/>
    </row>
    <row r="190" spans="5:7">
      <c r="E190" s="62"/>
      <c r="G190" s="62"/>
    </row>
    <row r="191" spans="5:7">
      <c r="E191" s="62"/>
      <c r="G191" s="62"/>
    </row>
    <row r="192" spans="5:7">
      <c r="E192" s="62"/>
      <c r="G192" s="62"/>
    </row>
    <row r="193" spans="5:7">
      <c r="E193" s="62"/>
      <c r="G193" s="62"/>
    </row>
    <row r="194" spans="5:7">
      <c r="E194" s="62"/>
      <c r="G194" s="62"/>
    </row>
    <row r="195" spans="5:7">
      <c r="E195" s="62"/>
      <c r="G195" s="62"/>
    </row>
    <row r="196" spans="5:7">
      <c r="E196" s="62"/>
      <c r="G196" s="62"/>
    </row>
    <row r="197" spans="5:7">
      <c r="E197" s="62"/>
      <c r="G197" s="62"/>
    </row>
    <row r="198" spans="5:7">
      <c r="E198" s="62"/>
      <c r="G198" s="62"/>
    </row>
    <row r="199" spans="5:7">
      <c r="E199" s="62"/>
      <c r="G199" s="62"/>
    </row>
    <row r="200" spans="5:7">
      <c r="E200" s="62"/>
      <c r="G200" s="62"/>
    </row>
    <row r="201" spans="5:7">
      <c r="E201" s="62"/>
      <c r="G201" s="62"/>
    </row>
    <row r="202" spans="5:7">
      <c r="E202" s="62"/>
      <c r="G202" s="62"/>
    </row>
    <row r="203" spans="5:7">
      <c r="E203" s="62"/>
      <c r="G203" s="62"/>
    </row>
    <row r="204" spans="5:7">
      <c r="E204" s="62"/>
      <c r="G204" s="62"/>
    </row>
    <row r="205" spans="5:7">
      <c r="E205" s="62"/>
      <c r="G205" s="62"/>
    </row>
    <row r="206" spans="5:7">
      <c r="E206" s="62"/>
      <c r="G206" s="62"/>
    </row>
    <row r="207" spans="5:7">
      <c r="E207" s="62"/>
      <c r="G207" s="62"/>
    </row>
    <row r="208" spans="5:7">
      <c r="E208" s="62"/>
      <c r="G208" s="62"/>
    </row>
    <row r="209" spans="5:7">
      <c r="E209" s="62"/>
      <c r="G209" s="62"/>
    </row>
    <row r="210" spans="5:7">
      <c r="E210" s="62"/>
      <c r="G210" s="62"/>
    </row>
    <row r="211" spans="5:7">
      <c r="E211" s="62"/>
      <c r="G211" s="62"/>
    </row>
    <row r="212" spans="5:7">
      <c r="E212" s="62"/>
      <c r="G212" s="62"/>
    </row>
    <row r="213" spans="5:7">
      <c r="E213" s="62"/>
      <c r="G213" s="62"/>
    </row>
  </sheetData>
  <mergeCells count="14">
    <mergeCell ref="A118:D118"/>
    <mergeCell ref="A1:W1"/>
    <mergeCell ref="A2:U2"/>
    <mergeCell ref="C3:E3"/>
    <mergeCell ref="F3:G3"/>
    <mergeCell ref="H3:I3"/>
    <mergeCell ref="J3:K3"/>
    <mergeCell ref="L3:M3"/>
    <mergeCell ref="N3:O3"/>
    <mergeCell ref="P3:Q3"/>
    <mergeCell ref="R3:S3"/>
    <mergeCell ref="T3:U3"/>
    <mergeCell ref="V3:W3"/>
    <mergeCell ref="A3:A4"/>
  </mergeCells>
  <conditionalFormatting sqref="D94">
    <cfRule type="colorScale" priority="1">
      <colorScale>
        <cfvo type="min"/>
        <cfvo type="percentile" val="50"/>
        <cfvo type="max"/>
        <color rgb="FFF8696B"/>
        <color rgb="FFFCFCFF"/>
        <color rgb="FF63BE7B"/>
      </colorScale>
    </cfRule>
  </conditionalFormatting>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workbookViewId="0">
      <selection sqref="A1:B1"/>
    </sheetView>
  </sheetViews>
  <sheetFormatPr baseColWidth="10" defaultRowHeight="12.75"/>
  <cols>
    <col min="1" max="1" width="47.42578125" customWidth="1"/>
    <col min="2" max="2" width="84.140625" customWidth="1"/>
  </cols>
  <sheetData>
    <row r="1" spans="1:2" ht="14.25" thickBot="1">
      <c r="A1" s="940" t="s">
        <v>28</v>
      </c>
      <c r="B1" s="940"/>
    </row>
    <row r="2" spans="1:2" ht="27" customHeight="1">
      <c r="A2" s="936" t="s">
        <v>29</v>
      </c>
      <c r="B2" s="937"/>
    </row>
    <row r="3" spans="1:2" ht="24.75" customHeight="1" thickBot="1">
      <c r="A3" s="938" t="s">
        <v>30</v>
      </c>
      <c r="B3" s="939"/>
    </row>
    <row r="4" spans="1:2">
      <c r="A4" s="8" t="s">
        <v>31</v>
      </c>
      <c r="B4" s="8" t="s">
        <v>32</v>
      </c>
    </row>
    <row r="5" spans="1:2" ht="36.75">
      <c r="A5" s="9" t="s">
        <v>120</v>
      </c>
      <c r="B5" s="10" t="s">
        <v>74</v>
      </c>
    </row>
    <row r="6" spans="1:2" ht="27.75">
      <c r="A6" s="9" t="s">
        <v>33</v>
      </c>
      <c r="B6" s="10" t="s">
        <v>75</v>
      </c>
    </row>
    <row r="7" spans="1:2" ht="21" customHeight="1">
      <c r="A7" s="9" t="s">
        <v>34</v>
      </c>
      <c r="B7" s="10" t="s">
        <v>76</v>
      </c>
    </row>
    <row r="8" spans="1:2" ht="45" customHeight="1">
      <c r="A8" s="9" t="s">
        <v>79</v>
      </c>
      <c r="B8" s="159" t="s">
        <v>61</v>
      </c>
    </row>
    <row r="9" spans="1:2" ht="54" customHeight="1">
      <c r="A9" s="163" t="s">
        <v>62</v>
      </c>
      <c r="B9" s="10" t="s">
        <v>77</v>
      </c>
    </row>
    <row r="10" spans="1:2" ht="21" customHeight="1">
      <c r="A10" s="160" t="s">
        <v>341</v>
      </c>
      <c r="B10" s="161" t="s">
        <v>342</v>
      </c>
    </row>
    <row r="11" spans="1:2" ht="40.5" customHeight="1">
      <c r="A11" s="9" t="s">
        <v>78</v>
      </c>
      <c r="B11" s="10" t="s">
        <v>345</v>
      </c>
    </row>
    <row r="12" spans="1:2" ht="36.75" customHeight="1">
      <c r="A12" s="163" t="s">
        <v>35</v>
      </c>
      <c r="B12" s="162" t="s">
        <v>80</v>
      </c>
    </row>
    <row r="13" spans="1:2" ht="21.75" customHeight="1">
      <c r="A13" s="163" t="s">
        <v>56</v>
      </c>
      <c r="B13" s="10" t="s">
        <v>81</v>
      </c>
    </row>
    <row r="14" spans="1:2" ht="18.75">
      <c r="A14" s="9" t="s">
        <v>36</v>
      </c>
      <c r="B14" s="10" t="s">
        <v>60</v>
      </c>
    </row>
    <row r="15" spans="1:2" ht="18.75">
      <c r="A15" s="9" t="s">
        <v>37</v>
      </c>
      <c r="B15" s="10" t="s">
        <v>63</v>
      </c>
    </row>
    <row r="16" spans="1:2" ht="18.75">
      <c r="A16" s="9" t="s">
        <v>38</v>
      </c>
      <c r="B16" s="10" t="s">
        <v>82</v>
      </c>
    </row>
    <row r="17" spans="1:2" ht="36.75">
      <c r="A17" s="9" t="s">
        <v>39</v>
      </c>
      <c r="B17" s="10" t="s">
        <v>12</v>
      </c>
    </row>
    <row r="18" spans="1:2" ht="18.75">
      <c r="A18" s="9" t="s">
        <v>40</v>
      </c>
      <c r="B18" s="10" t="s">
        <v>41</v>
      </c>
    </row>
    <row r="19" spans="1:2" ht="18.75">
      <c r="A19" s="9" t="s">
        <v>42</v>
      </c>
      <c r="B19" s="10" t="s">
        <v>83</v>
      </c>
    </row>
    <row r="20" spans="1:2" ht="25.5" customHeight="1">
      <c r="A20" s="9" t="s">
        <v>43</v>
      </c>
      <c r="B20" s="10" t="s">
        <v>64</v>
      </c>
    </row>
    <row r="21" spans="1:2" ht="25.5" customHeight="1">
      <c r="A21" s="9" t="s">
        <v>44</v>
      </c>
      <c r="B21" s="10" t="s">
        <v>65</v>
      </c>
    </row>
    <row r="22" spans="1:2" ht="21" customHeight="1">
      <c r="A22" s="9" t="s">
        <v>45</v>
      </c>
      <c r="B22" s="10" t="s">
        <v>66</v>
      </c>
    </row>
    <row r="23" spans="1:2" ht="84" customHeight="1" thickBot="1">
      <c r="A23" s="164" t="s">
        <v>85</v>
      </c>
      <c r="B23" s="11" t="s">
        <v>6</v>
      </c>
    </row>
  </sheetData>
  <mergeCells count="3">
    <mergeCell ref="A2:B2"/>
    <mergeCell ref="A3:B3"/>
    <mergeCell ref="A1:B1"/>
  </mergeCells>
  <phoneticPr fontId="21"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B1"/>
    </sheetView>
  </sheetViews>
  <sheetFormatPr baseColWidth="10" defaultRowHeight="12.75"/>
  <cols>
    <col min="1" max="1" width="33.5703125" customWidth="1"/>
    <col min="2" max="2" width="72.140625" customWidth="1"/>
  </cols>
  <sheetData>
    <row r="1" spans="1:2" ht="14.25" thickBot="1">
      <c r="A1" s="940" t="s">
        <v>46</v>
      </c>
      <c r="B1" s="940"/>
    </row>
    <row r="2" spans="1:2" ht="13.5" customHeight="1">
      <c r="A2" s="936" t="s">
        <v>29</v>
      </c>
      <c r="B2" s="937"/>
    </row>
    <row r="3" spans="1:2" ht="14.25" thickBot="1">
      <c r="A3" s="938" t="s">
        <v>47</v>
      </c>
      <c r="B3" s="939"/>
    </row>
    <row r="4" spans="1:2" ht="13.5" thickBot="1">
      <c r="A4" s="6" t="s">
        <v>31</v>
      </c>
      <c r="B4" s="7" t="s">
        <v>32</v>
      </c>
    </row>
    <row r="5" spans="1:2" ht="26.25" thickBot="1">
      <c r="A5" s="14" t="s">
        <v>14</v>
      </c>
      <c r="B5" s="15" t="s">
        <v>15</v>
      </c>
    </row>
    <row r="6" spans="1:2" ht="30" customHeight="1" thickBot="1">
      <c r="A6" s="14" t="s">
        <v>122</v>
      </c>
      <c r="B6" s="15" t="s">
        <v>124</v>
      </c>
    </row>
    <row r="7" spans="1:2" ht="64.5" thickBot="1">
      <c r="A7" s="13" t="s">
        <v>123</v>
      </c>
      <c r="B7" s="16" t="s">
        <v>67</v>
      </c>
    </row>
    <row r="8" spans="1:2" ht="39" thickBot="1">
      <c r="A8" s="13" t="s">
        <v>13</v>
      </c>
      <c r="B8" s="16" t="s">
        <v>7</v>
      </c>
    </row>
    <row r="9" spans="1:2" ht="64.5" thickBot="1">
      <c r="A9" s="13" t="s">
        <v>48</v>
      </c>
      <c r="B9" s="16" t="s">
        <v>8</v>
      </c>
    </row>
    <row r="10" spans="1:2" ht="64.5" thickBot="1">
      <c r="A10" s="13" t="s">
        <v>49</v>
      </c>
      <c r="B10" s="16" t="s">
        <v>9</v>
      </c>
    </row>
    <row r="11" spans="1:2" ht="68.25" customHeight="1" thickBot="1">
      <c r="A11" s="13" t="s">
        <v>50</v>
      </c>
      <c r="B11" s="16" t="s">
        <v>10</v>
      </c>
    </row>
    <row r="12" spans="1:2" ht="26.25" thickBot="1">
      <c r="A12" s="13" t="s">
        <v>25</v>
      </c>
      <c r="B12" s="16" t="s">
        <v>11</v>
      </c>
    </row>
    <row r="13" spans="1:2" ht="32.25" customHeight="1" thickBot="1">
      <c r="A13" s="13" t="s">
        <v>26</v>
      </c>
      <c r="B13" s="16" t="s">
        <v>121</v>
      </c>
    </row>
    <row r="14" spans="1:2" ht="47.25" customHeight="1" thickBot="1">
      <c r="A14" s="13" t="s">
        <v>51</v>
      </c>
      <c r="B14" s="16" t="s">
        <v>52</v>
      </c>
    </row>
    <row r="15" spans="1:2" ht="26.25" thickBot="1">
      <c r="A15" s="13" t="s">
        <v>27</v>
      </c>
      <c r="B15" s="16" t="s">
        <v>16</v>
      </c>
    </row>
    <row r="16" spans="1:2">
      <c r="B16" s="12"/>
    </row>
  </sheetData>
  <mergeCells count="3">
    <mergeCell ref="A2:B2"/>
    <mergeCell ref="A3:B3"/>
    <mergeCell ref="A1:B1"/>
  </mergeCells>
  <phoneticPr fontId="21"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heetViews>
  <sheetFormatPr baseColWidth="10" defaultRowHeight="12.75"/>
  <sheetData>
    <row r="4" spans="4:5">
      <c r="D4" t="s">
        <v>141</v>
      </c>
      <c r="E4">
        <v>57</v>
      </c>
    </row>
    <row r="5" spans="4:5">
      <c r="D5" t="s">
        <v>167</v>
      </c>
      <c r="E5">
        <v>70</v>
      </c>
    </row>
    <row r="6" spans="4:5">
      <c r="D6" t="s">
        <v>136</v>
      </c>
      <c r="E6">
        <v>47</v>
      </c>
    </row>
    <row r="7" spans="4:5">
      <c r="D7" t="s">
        <v>156</v>
      </c>
      <c r="E7">
        <v>67</v>
      </c>
    </row>
    <row r="8" spans="4:5">
      <c r="D8" t="s">
        <v>147</v>
      </c>
      <c r="E8">
        <v>14</v>
      </c>
    </row>
    <row r="9" spans="4:5">
      <c r="D9" t="s">
        <v>143</v>
      </c>
      <c r="E9">
        <v>48</v>
      </c>
    </row>
    <row r="10" spans="4:5">
      <c r="D10" t="s">
        <v>149</v>
      </c>
      <c r="E10">
        <v>18</v>
      </c>
    </row>
    <row r="11" spans="4:5">
      <c r="D11" t="s">
        <v>150</v>
      </c>
      <c r="E11">
        <v>32</v>
      </c>
    </row>
    <row r="12" spans="4:5">
      <c r="D12" t="s">
        <v>138</v>
      </c>
      <c r="E12">
        <v>32</v>
      </c>
    </row>
    <row r="13" spans="4:5">
      <c r="D13" t="s">
        <v>151</v>
      </c>
      <c r="E13">
        <v>78</v>
      </c>
    </row>
    <row r="14" spans="4:5">
      <c r="D14" t="s">
        <v>168</v>
      </c>
      <c r="E14">
        <v>47</v>
      </c>
    </row>
    <row r="15" spans="4:5">
      <c r="D15" t="s">
        <v>169</v>
      </c>
      <c r="E15">
        <v>45</v>
      </c>
    </row>
    <row r="16" spans="4:5">
      <c r="D16" t="s">
        <v>170</v>
      </c>
      <c r="E16">
        <v>99</v>
      </c>
    </row>
    <row r="17" spans="4:5">
      <c r="D17" t="s">
        <v>137</v>
      </c>
      <c r="E17">
        <v>60</v>
      </c>
    </row>
    <row r="18" spans="4:5">
      <c r="E18">
        <f>AVERAGE(E4:E17,E4:E17)</f>
        <v>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workbookViewId="0"/>
  </sheetViews>
  <sheetFormatPr baseColWidth="10" defaultRowHeight="12.75"/>
  <cols>
    <col min="4" max="4" width="21.42578125" customWidth="1"/>
    <col min="5" max="5" width="14.5703125" customWidth="1"/>
    <col min="6" max="6" width="27.85546875" customWidth="1"/>
    <col min="7" max="7" width="21" style="151" customWidth="1"/>
    <col min="8" max="8" width="23.140625" customWidth="1"/>
    <col min="9" max="9" width="24.5703125" customWidth="1"/>
  </cols>
  <sheetData>
    <row r="1" spans="4:9" ht="29.25" customHeight="1">
      <c r="D1" s="154" t="s">
        <v>337</v>
      </c>
      <c r="E1" s="156" t="s">
        <v>338</v>
      </c>
      <c r="F1" s="154" t="s">
        <v>322</v>
      </c>
      <c r="G1" s="156" t="s">
        <v>339</v>
      </c>
      <c r="H1" s="169" t="s">
        <v>346</v>
      </c>
      <c r="I1" s="169" t="s">
        <v>347</v>
      </c>
    </row>
    <row r="2" spans="4:9" ht="51">
      <c r="D2" s="948" t="str">
        <f>+'Anexo 1 Matriz SINA Inf Gestión'!B5</f>
        <v>PROGRAMA 1 Ordenamiento y administración del recurso hídrico y las cuencas Hidrográficas</v>
      </c>
      <c r="E2" s="945">
        <v>70.865913783143426</v>
      </c>
      <c r="F2" s="152" t="s">
        <v>323</v>
      </c>
      <c r="G2" s="153">
        <v>65</v>
      </c>
      <c r="H2" s="941">
        <v>64</v>
      </c>
      <c r="I2" s="153">
        <v>65</v>
      </c>
    </row>
    <row r="3" spans="4:9" ht="38.25">
      <c r="D3" s="950"/>
      <c r="E3" s="946"/>
      <c r="F3" s="152" t="s">
        <v>324</v>
      </c>
      <c r="G3" s="153">
        <v>84</v>
      </c>
      <c r="H3" s="941"/>
      <c r="I3" s="168">
        <v>65</v>
      </c>
    </row>
    <row r="4" spans="4:9" ht="41.25" customHeight="1">
      <c r="D4" s="949"/>
      <c r="E4" s="947"/>
      <c r="F4" s="152" t="s">
        <v>325</v>
      </c>
      <c r="G4" s="153">
        <v>64</v>
      </c>
      <c r="H4" s="941"/>
      <c r="I4" s="153">
        <v>64</v>
      </c>
    </row>
    <row r="5" spans="4:9" ht="38.25" customHeight="1">
      <c r="D5" s="948" t="str">
        <f>+'Anexo 1 Matriz SINA Inf Gestión'!B33</f>
        <v>PROGRAMA No. 2  BIODIVERSIDAD: FUENTE DE VIDA</v>
      </c>
      <c r="E5" s="945">
        <v>25.946640500887767</v>
      </c>
      <c r="F5" s="152" t="s">
        <v>326</v>
      </c>
      <c r="G5" s="153">
        <v>67</v>
      </c>
      <c r="H5" s="942">
        <v>29</v>
      </c>
      <c r="I5" s="153">
        <v>67</v>
      </c>
    </row>
    <row r="6" spans="4:9" ht="25.5">
      <c r="D6" s="950"/>
      <c r="E6" s="946"/>
      <c r="F6" s="152" t="s">
        <v>327</v>
      </c>
      <c r="G6" s="153">
        <v>0</v>
      </c>
      <c r="H6" s="942"/>
      <c r="I6" s="153">
        <v>0</v>
      </c>
    </row>
    <row r="7" spans="4:9" ht="38.25">
      <c r="D7" s="950"/>
      <c r="E7" s="946"/>
      <c r="F7" s="152" t="s">
        <v>333</v>
      </c>
      <c r="G7" s="153">
        <v>7</v>
      </c>
      <c r="H7" s="942"/>
      <c r="I7" s="168">
        <v>19</v>
      </c>
    </row>
    <row r="8" spans="4:9" ht="38.25">
      <c r="D8" s="949"/>
      <c r="E8" s="947"/>
      <c r="F8" s="152" t="s">
        <v>334</v>
      </c>
      <c r="G8" s="153">
        <v>30</v>
      </c>
      <c r="H8" s="942"/>
      <c r="I8" s="153">
        <v>30</v>
      </c>
    </row>
    <row r="9" spans="4:9" ht="25.5" customHeight="1">
      <c r="D9" s="948" t="str">
        <f>+'Anexo 1 Matriz SINA Inf Gestión'!B55</f>
        <v>PROGRAMA No. 3  ADAPTACIÓN PARA EL CRECIMIENTO VERDE</v>
      </c>
      <c r="E9" s="945">
        <v>46.477840998893633</v>
      </c>
      <c r="F9" s="152" t="s">
        <v>328</v>
      </c>
      <c r="G9" s="153">
        <v>55</v>
      </c>
      <c r="H9" s="942">
        <v>47</v>
      </c>
      <c r="I9" s="153">
        <v>55</v>
      </c>
    </row>
    <row r="10" spans="4:9" ht="45.75" customHeight="1">
      <c r="D10" s="949"/>
      <c r="E10" s="947"/>
      <c r="F10" s="152" t="s">
        <v>329</v>
      </c>
      <c r="G10" s="153">
        <v>38</v>
      </c>
      <c r="H10" s="942"/>
      <c r="I10" s="168">
        <v>39</v>
      </c>
    </row>
    <row r="11" spans="4:9" ht="38.25" customHeight="1">
      <c r="D11" s="948" t="str">
        <f>+'Anexo 1 Matriz SINA Inf Gestión'!B69</f>
        <v xml:space="preserve">PROGRAMA No. 4    CUIDA TU NATURALEZA </v>
      </c>
      <c r="E11" s="948">
        <v>55</v>
      </c>
      <c r="F11" s="152" t="s">
        <v>330</v>
      </c>
      <c r="G11" s="153">
        <v>66</v>
      </c>
      <c r="H11" s="942">
        <v>57</v>
      </c>
      <c r="I11" s="153">
        <v>68</v>
      </c>
    </row>
    <row r="12" spans="4:9" ht="38.25">
      <c r="D12" s="949"/>
      <c r="E12" s="949"/>
      <c r="F12" s="152" t="s">
        <v>331</v>
      </c>
      <c r="G12" s="153">
        <v>44</v>
      </c>
      <c r="H12" s="942"/>
      <c r="I12" s="168">
        <v>46</v>
      </c>
    </row>
    <row r="13" spans="4:9" ht="38.25">
      <c r="D13" s="155" t="e">
        <f>+'Anexo 1 Matriz SINA Inf Gestión'!#REF!</f>
        <v>#REF!</v>
      </c>
      <c r="E13" s="155">
        <v>54</v>
      </c>
      <c r="F13" s="152" t="s">
        <v>332</v>
      </c>
      <c r="G13" s="153">
        <v>54</v>
      </c>
      <c r="H13" s="153">
        <v>54</v>
      </c>
      <c r="I13" s="153">
        <v>54</v>
      </c>
    </row>
    <row r="14" spans="4:9" ht="51">
      <c r="D14" s="948" t="str">
        <f>+'Anexo 1 Matriz SINA Inf Gestión'!B100</f>
        <v>PROGRAMA No. 6  EDUCACIÓN CAMINO DE PAZ</v>
      </c>
      <c r="E14" s="945">
        <v>88.835714285714289</v>
      </c>
      <c r="F14" s="152" t="s">
        <v>335</v>
      </c>
      <c r="G14" s="153">
        <v>100</v>
      </c>
      <c r="H14" s="943">
        <v>89</v>
      </c>
      <c r="I14" s="153">
        <v>100</v>
      </c>
    </row>
    <row r="15" spans="4:9" ht="25.5">
      <c r="D15" s="949"/>
      <c r="E15" s="947"/>
      <c r="F15" s="152" t="s">
        <v>336</v>
      </c>
      <c r="G15" s="153">
        <v>78</v>
      </c>
      <c r="H15" s="944"/>
      <c r="I15" s="153">
        <v>78</v>
      </c>
    </row>
    <row r="18" spans="4:5" ht="15.75">
      <c r="D18" s="157" t="s">
        <v>340</v>
      </c>
      <c r="E18" s="158">
        <f>+'Anexo 1 Matriz SINA Inf Gestión'!K118</f>
        <v>99.245021463440196</v>
      </c>
    </row>
  </sheetData>
  <mergeCells count="15">
    <mergeCell ref="D2:D4"/>
    <mergeCell ref="D5:D8"/>
    <mergeCell ref="D9:D10"/>
    <mergeCell ref="D11:D12"/>
    <mergeCell ref="D14:D15"/>
    <mergeCell ref="E2:E4"/>
    <mergeCell ref="E5:E8"/>
    <mergeCell ref="E9:E10"/>
    <mergeCell ref="E11:E12"/>
    <mergeCell ref="E14:E15"/>
    <mergeCell ref="H2:H4"/>
    <mergeCell ref="H5:H8"/>
    <mergeCell ref="H9:H10"/>
    <mergeCell ref="H11:H12"/>
    <mergeCell ref="H14:H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235"/>
  <sheetViews>
    <sheetView topLeftCell="B4" zoomScale="64" zoomScaleNormal="64" workbookViewId="0">
      <pane xSplit="1" ySplit="1" topLeftCell="D117" activePane="bottomRight" state="frozen"/>
      <selection activeCell="G53" sqref="G53"/>
      <selection pane="topRight" activeCell="G53" sqref="G53"/>
      <selection pane="bottomLeft" activeCell="G53" sqref="G53"/>
      <selection pane="bottomRight" activeCell="Q120" sqref="Q120"/>
    </sheetView>
  </sheetViews>
  <sheetFormatPr baseColWidth="10" defaultRowHeight="18"/>
  <cols>
    <col min="1" max="1" width="5.7109375" style="29" hidden="1" customWidth="1"/>
    <col min="2" max="2" width="50.7109375" style="29" customWidth="1"/>
    <col min="3" max="3" width="17" style="29" customWidth="1"/>
    <col min="4" max="4" width="15.42578125" style="29" customWidth="1"/>
    <col min="5" max="5" width="16.42578125" style="29" customWidth="1"/>
    <col min="6" max="6" width="23.85546875" style="131" customWidth="1"/>
    <col min="7" max="7" width="17.5703125" style="165" hidden="1" customWidth="1"/>
    <col min="8" max="8" width="16.7109375" style="29" hidden="1" customWidth="1"/>
    <col min="9" max="9" width="14.42578125" style="31" customWidth="1"/>
    <col min="10" max="10" width="12" style="58" customWidth="1"/>
    <col min="11" max="11" width="15.7109375" style="338" customWidth="1"/>
    <col min="12" max="12" width="18.42578125" style="29" hidden="1" customWidth="1"/>
    <col min="13" max="13" width="28.42578125" style="668" customWidth="1"/>
    <col min="14" max="14" width="23.5703125" style="670" customWidth="1"/>
    <col min="15" max="15" width="15.5703125" style="29" customWidth="1"/>
    <col min="16" max="16" width="27.7109375" style="30" customWidth="1"/>
    <col min="17" max="17" width="32.5703125" style="30" customWidth="1"/>
    <col min="18" max="18" width="17.5703125" style="150" customWidth="1"/>
    <col min="19" max="19" width="37.42578125" style="29" customWidth="1"/>
    <col min="20" max="16384" width="11.42578125" style="29"/>
  </cols>
  <sheetData>
    <row r="1" spans="1:19" s="28" customFormat="1" ht="49.5" customHeight="1" thickBot="1">
      <c r="A1" s="27"/>
      <c r="B1" s="824" t="s">
        <v>456</v>
      </c>
      <c r="C1" s="825"/>
      <c r="D1" s="825"/>
      <c r="E1" s="825"/>
      <c r="F1" s="825"/>
      <c r="G1" s="825"/>
      <c r="H1" s="825"/>
      <c r="I1" s="825"/>
      <c r="J1" s="825"/>
      <c r="K1" s="825"/>
      <c r="L1" s="825"/>
      <c r="M1" s="825"/>
      <c r="N1" s="825"/>
      <c r="O1" s="825"/>
      <c r="P1" s="825"/>
      <c r="Q1" s="825"/>
      <c r="R1" s="825"/>
      <c r="S1" s="826"/>
    </row>
    <row r="2" spans="1:19" s="28" customFormat="1" ht="21.75" customHeight="1">
      <c r="A2" s="74"/>
      <c r="B2" s="831" t="s">
        <v>565</v>
      </c>
      <c r="C2" s="832"/>
      <c r="D2" s="832"/>
      <c r="E2" s="832"/>
      <c r="F2" s="832"/>
      <c r="G2" s="832"/>
      <c r="H2" s="832"/>
      <c r="I2" s="832"/>
      <c r="J2" s="832"/>
      <c r="K2" s="832"/>
      <c r="L2" s="832"/>
      <c r="M2" s="832"/>
      <c r="N2" s="832"/>
      <c r="O2" s="832"/>
      <c r="P2" s="832"/>
      <c r="Q2" s="832"/>
      <c r="R2" s="832"/>
      <c r="S2" s="833"/>
    </row>
    <row r="3" spans="1:19" ht="33" customHeight="1">
      <c r="A3" s="59"/>
      <c r="B3" s="827" t="s">
        <v>457</v>
      </c>
      <c r="C3" s="829" t="s">
        <v>161</v>
      </c>
      <c r="D3" s="830"/>
      <c r="E3" s="830"/>
      <c r="F3" s="830"/>
      <c r="G3" s="830"/>
      <c r="H3" s="830"/>
      <c r="I3" s="830"/>
      <c r="J3" s="830"/>
      <c r="K3" s="830"/>
      <c r="L3" s="555"/>
      <c r="M3" s="829" t="s">
        <v>162</v>
      </c>
      <c r="N3" s="830"/>
      <c r="O3" s="830"/>
      <c r="P3" s="830"/>
      <c r="Q3" s="830"/>
      <c r="R3" s="834"/>
      <c r="S3" s="835" t="s">
        <v>98</v>
      </c>
    </row>
    <row r="4" spans="1:19" ht="173.25" customHeight="1" thickBot="1">
      <c r="A4" s="59"/>
      <c r="B4" s="828"/>
      <c r="C4" s="334" t="s">
        <v>24</v>
      </c>
      <c r="D4" s="334" t="s">
        <v>71</v>
      </c>
      <c r="E4" s="334" t="s">
        <v>73</v>
      </c>
      <c r="F4" s="335" t="s">
        <v>53</v>
      </c>
      <c r="G4" s="602" t="s">
        <v>343</v>
      </c>
      <c r="H4" s="602" t="s">
        <v>344</v>
      </c>
      <c r="I4" s="334" t="s">
        <v>68</v>
      </c>
      <c r="J4" s="334" t="s">
        <v>55</v>
      </c>
      <c r="K4" s="337" t="s">
        <v>54</v>
      </c>
      <c r="L4" s="602" t="s">
        <v>70</v>
      </c>
      <c r="M4" s="665" t="s">
        <v>164</v>
      </c>
      <c r="N4" s="665" t="s">
        <v>72</v>
      </c>
      <c r="O4" s="334" t="s">
        <v>57</v>
      </c>
      <c r="P4" s="334" t="s">
        <v>69</v>
      </c>
      <c r="Q4" s="334" t="s">
        <v>58</v>
      </c>
      <c r="R4" s="334" t="s">
        <v>59</v>
      </c>
      <c r="S4" s="835"/>
    </row>
    <row r="5" spans="1:19" ht="71.25" customHeight="1">
      <c r="A5" s="59"/>
      <c r="B5" s="382" t="s">
        <v>534</v>
      </c>
      <c r="C5" s="336"/>
      <c r="D5" s="336"/>
      <c r="E5" s="336"/>
      <c r="F5" s="381">
        <f>AVERAGE(F6,F19,F30)</f>
        <v>100</v>
      </c>
      <c r="G5" s="381"/>
      <c r="H5" s="381"/>
      <c r="I5" s="381">
        <f>AVERAGE(I6,I19,I30)</f>
        <v>740.21805555555557</v>
      </c>
      <c r="J5" s="381">
        <f>AVERAGE(J6,J19,J30)</f>
        <v>1082.1371111111109</v>
      </c>
      <c r="K5" s="381">
        <f>AVERAGE(K6,K19,K30)</f>
        <v>99.318233813772579</v>
      </c>
      <c r="L5" s="504"/>
      <c r="M5" s="777">
        <f>+M6+M19+M30</f>
        <v>10311549938.624001</v>
      </c>
      <c r="N5" s="777">
        <f>+N6+N19+N30</f>
        <v>10229154169.116001</v>
      </c>
      <c r="O5" s="381">
        <f>+(N5/M5)*100</f>
        <v>99.200937104524229</v>
      </c>
      <c r="P5" s="524">
        <f>+P6+P19+P30</f>
        <v>50080413184.8088</v>
      </c>
      <c r="Q5" s="524">
        <f>+Q6+Q19+Q30</f>
        <v>49471615785.313004</v>
      </c>
      <c r="R5" s="381">
        <f>+(Q5/P5)*100</f>
        <v>98.784360270253387</v>
      </c>
      <c r="S5" s="507"/>
    </row>
    <row r="6" spans="1:19" ht="111.75" customHeight="1">
      <c r="A6" s="59"/>
      <c r="B6" s="383" t="s">
        <v>546</v>
      </c>
      <c r="C6" s="331"/>
      <c r="D6" s="331"/>
      <c r="E6" s="331"/>
      <c r="F6" s="331">
        <f>AVERAGE(F7:F18)</f>
        <v>100</v>
      </c>
      <c r="G6" s="331"/>
      <c r="H6" s="331"/>
      <c r="I6" s="331">
        <f>AVERAGE(I7:I18)</f>
        <v>30.354166666666668</v>
      </c>
      <c r="J6" s="331">
        <f>AVERAGE(J7:J18)</f>
        <v>29.733333333333334</v>
      </c>
      <c r="K6" s="331">
        <f>+(J6/I6)*100</f>
        <v>97.954701441317766</v>
      </c>
      <c r="L6" s="331"/>
      <c r="M6" s="331">
        <f>SUM(M7:M18)</f>
        <v>1727333482</v>
      </c>
      <c r="N6" s="331">
        <f>SUM(N7:N18)</f>
        <v>1698582659.596</v>
      </c>
      <c r="O6" s="331">
        <f>+N6/M6*100</f>
        <v>98.335537248388732</v>
      </c>
      <c r="P6" s="331">
        <f>SUM(P7:P18)</f>
        <v>12386526354</v>
      </c>
      <c r="Q6" s="331">
        <f>SUM(Q7:Q18)</f>
        <v>12357775630.595999</v>
      </c>
      <c r="R6" s="331">
        <f>+(Q6/P6)*100</f>
        <v>99.767887117160043</v>
      </c>
      <c r="S6" s="506"/>
    </row>
    <row r="7" spans="1:19" ht="108.75" customHeight="1">
      <c r="A7" s="59"/>
      <c r="B7" s="384" t="s">
        <v>364</v>
      </c>
      <c r="C7" s="385" t="s">
        <v>402</v>
      </c>
      <c r="D7" s="639">
        <f>+'[2]MATRIZ GENERAL CONSOLIDADA'!T7</f>
        <v>14</v>
      </c>
      <c r="E7" s="639">
        <f>+'MATRIZ GENERAL CONSOLIDADA'!V7</f>
        <v>14</v>
      </c>
      <c r="F7" s="639">
        <f>+(E7/D7)*100</f>
        <v>100</v>
      </c>
      <c r="G7" s="377"/>
      <c r="H7" s="377"/>
      <c r="I7" s="386">
        <f>+'MATRIZ GENERAL CONSOLIDADA'!D7</f>
        <v>25</v>
      </c>
      <c r="J7" s="377">
        <f>+'MATRIZ GENERAL CONSOLIDADA'!F7</f>
        <v>25</v>
      </c>
      <c r="K7" s="377">
        <f>+J7/I7*100</f>
        <v>100</v>
      </c>
      <c r="L7" s="388"/>
      <c r="M7" s="666">
        <f>+'MATRIZ GENERAL CONSOLIDADA'!U7</f>
        <v>0</v>
      </c>
      <c r="N7" s="669">
        <f>+'MATRIZ GENERAL CONSOLIDADA'!W7</f>
        <v>0</v>
      </c>
      <c r="O7" s="377">
        <v>0</v>
      </c>
      <c r="P7" s="377">
        <f>+'MATRIZ GENERAL CONSOLIDADA'!E7</f>
        <v>0</v>
      </c>
      <c r="Q7" s="377">
        <f>+'MATRIZ GENERAL CONSOLIDADA'!G7</f>
        <v>0</v>
      </c>
      <c r="R7" s="506">
        <v>0</v>
      </c>
      <c r="S7" s="822" t="s">
        <v>620</v>
      </c>
    </row>
    <row r="8" spans="1:19" ht="176.25" customHeight="1">
      <c r="A8" s="59"/>
      <c r="B8" s="389" t="s">
        <v>368</v>
      </c>
      <c r="C8" s="390" t="s">
        <v>127</v>
      </c>
      <c r="D8" s="639">
        <f>+'[2]MATRIZ GENERAL CONSOLIDADA'!T8</f>
        <v>1</v>
      </c>
      <c r="E8" s="639">
        <f>+'MATRIZ GENERAL CONSOLIDADA'!V8</f>
        <v>1</v>
      </c>
      <c r="F8" s="639">
        <f t="shared" ref="F8:F11" si="0">+(E8/D8)*100</f>
        <v>100</v>
      </c>
      <c r="G8" s="377"/>
      <c r="H8" s="377"/>
      <c r="I8" s="386">
        <f>+'MATRIZ GENERAL CONSOLIDADA'!D8</f>
        <v>2.25</v>
      </c>
      <c r="J8" s="377">
        <f>+'MATRIZ GENERAL CONSOLIDADA'!F8</f>
        <v>2.25</v>
      </c>
      <c r="K8" s="377">
        <f t="shared" ref="K8:K18" si="1">+J8/I8*100</f>
        <v>100</v>
      </c>
      <c r="L8" s="388"/>
      <c r="M8" s="666">
        <f>+'MATRIZ GENERAL CONSOLIDADA'!U8</f>
        <v>0</v>
      </c>
      <c r="N8" s="669">
        <f>+'MATRIZ GENERAL CONSOLIDADA'!W8</f>
        <v>0</v>
      </c>
      <c r="O8" s="377" t="s">
        <v>518</v>
      </c>
      <c r="P8" s="377">
        <f>+'MATRIZ GENERAL CONSOLIDADA'!E8</f>
        <v>834632289</v>
      </c>
      <c r="Q8" s="377">
        <f>+'MATRIZ GENERAL CONSOLIDADA'!G8</f>
        <v>834632289</v>
      </c>
      <c r="R8" s="506">
        <v>0</v>
      </c>
      <c r="S8" s="823"/>
    </row>
    <row r="9" spans="1:19" ht="130.5" customHeight="1">
      <c r="A9" s="59"/>
      <c r="B9" s="391" t="s">
        <v>361</v>
      </c>
      <c r="C9" s="385" t="s">
        <v>402</v>
      </c>
      <c r="D9" s="639">
        <f>+'[2]MATRIZ GENERAL CONSOLIDADA'!T9</f>
        <v>100</v>
      </c>
      <c r="E9" s="639">
        <f>+'MATRIZ GENERAL CONSOLIDADA'!V9</f>
        <v>100</v>
      </c>
      <c r="F9" s="639">
        <f t="shared" si="0"/>
        <v>100</v>
      </c>
      <c r="G9" s="377"/>
      <c r="H9" s="377"/>
      <c r="I9" s="386">
        <f>+'MATRIZ GENERAL CONSOLIDADA'!D9</f>
        <v>65</v>
      </c>
      <c r="J9" s="377">
        <f>+'MATRIZ GENERAL CONSOLIDADA'!F9</f>
        <v>65</v>
      </c>
      <c r="K9" s="377">
        <f t="shared" si="1"/>
        <v>100</v>
      </c>
      <c r="L9" s="388"/>
      <c r="M9" s="666">
        <f>+'MATRIZ GENERAL CONSOLIDADA'!U9</f>
        <v>0</v>
      </c>
      <c r="N9" s="669">
        <f>+'MATRIZ GENERAL CONSOLIDADA'!W9</f>
        <v>0</v>
      </c>
      <c r="O9" s="377">
        <v>0</v>
      </c>
      <c r="P9" s="377">
        <f>+'MATRIZ GENERAL CONSOLIDADA'!E9</f>
        <v>0</v>
      </c>
      <c r="Q9" s="377">
        <f>+'MATRIZ GENERAL CONSOLIDADA'!G9</f>
        <v>0</v>
      </c>
      <c r="R9" s="506">
        <v>0</v>
      </c>
      <c r="S9" s="822" t="s">
        <v>622</v>
      </c>
    </row>
    <row r="10" spans="1:19" ht="133.5" customHeight="1">
      <c r="A10" s="59"/>
      <c r="B10" s="392" t="s">
        <v>361</v>
      </c>
      <c r="C10" s="390" t="s">
        <v>132</v>
      </c>
      <c r="D10" s="639">
        <f>+'[2]MATRIZ GENERAL CONSOLIDADA'!T10</f>
        <v>2</v>
      </c>
      <c r="E10" s="639">
        <f>+'MATRIZ GENERAL CONSOLIDADA'!V10</f>
        <v>2</v>
      </c>
      <c r="F10" s="639">
        <f t="shared" si="0"/>
        <v>100</v>
      </c>
      <c r="G10" s="377"/>
      <c r="H10" s="377"/>
      <c r="I10" s="386">
        <f>+'MATRIZ GENERAL CONSOLIDADA'!D10</f>
        <v>10</v>
      </c>
      <c r="J10" s="377">
        <f>+'MATRIZ GENERAL CONSOLIDADA'!F10</f>
        <v>10</v>
      </c>
      <c r="K10" s="377">
        <f t="shared" si="1"/>
        <v>100</v>
      </c>
      <c r="L10" s="388"/>
      <c r="M10" s="666">
        <f>+'MATRIZ GENERAL CONSOLIDADA'!U10</f>
        <v>0</v>
      </c>
      <c r="N10" s="669">
        <f>+'MATRIZ GENERAL CONSOLIDADA'!W10</f>
        <v>0</v>
      </c>
      <c r="O10" s="377" t="s">
        <v>518</v>
      </c>
      <c r="P10" s="377">
        <f>+'MATRIZ GENERAL CONSOLIDADA'!E10</f>
        <v>1547556715</v>
      </c>
      <c r="Q10" s="377">
        <f>+'MATRIZ GENERAL CONSOLIDADA'!G10</f>
        <v>1547556715</v>
      </c>
      <c r="R10" s="506">
        <v>0</v>
      </c>
      <c r="S10" s="823"/>
    </row>
    <row r="11" spans="1:19" ht="126" customHeight="1">
      <c r="A11" s="59"/>
      <c r="B11" s="393" t="s">
        <v>366</v>
      </c>
      <c r="C11" s="394" t="s">
        <v>1</v>
      </c>
      <c r="D11" s="639">
        <f>+'[2]MATRIZ GENERAL CONSOLIDADA'!T11</f>
        <v>100</v>
      </c>
      <c r="E11" s="639">
        <f>+'MATRIZ GENERAL CONSOLIDADA'!V11</f>
        <v>100</v>
      </c>
      <c r="F11" s="639">
        <f t="shared" si="0"/>
        <v>100</v>
      </c>
      <c r="G11" s="377"/>
      <c r="H11" s="377"/>
      <c r="I11" s="386">
        <f>+'MATRIZ GENERAL CONSOLIDADA'!D11</f>
        <v>100</v>
      </c>
      <c r="J11" s="377">
        <f>+'MATRIZ GENERAL CONSOLIDADA'!F11</f>
        <v>92.75</v>
      </c>
      <c r="K11" s="377">
        <f>+J11/I11*100</f>
        <v>92.75</v>
      </c>
      <c r="L11" s="388"/>
      <c r="M11" s="666">
        <f>+'MATRIZ GENERAL CONSOLIDADA'!U11</f>
        <v>0</v>
      </c>
      <c r="N11" s="669">
        <f>+'MATRIZ GENERAL CONSOLIDADA'!W11</f>
        <v>0</v>
      </c>
      <c r="O11" s="377">
        <v>0</v>
      </c>
      <c r="P11" s="377">
        <f>+'MATRIZ GENERAL CONSOLIDADA'!E11</f>
        <v>0</v>
      </c>
      <c r="Q11" s="377">
        <f>+'MATRIZ GENERAL CONSOLIDADA'!G11</f>
        <v>0</v>
      </c>
      <c r="R11" s="506">
        <v>0</v>
      </c>
      <c r="S11" s="822" t="s">
        <v>598</v>
      </c>
    </row>
    <row r="12" spans="1:19" ht="238.5" customHeight="1">
      <c r="A12" s="59"/>
      <c r="B12" s="389" t="s">
        <v>365</v>
      </c>
      <c r="C12" s="394" t="s">
        <v>507</v>
      </c>
      <c r="D12" s="639">
        <f>+'[2]MATRIZ GENERAL CONSOLIDADA'!T12</f>
        <v>3</v>
      </c>
      <c r="E12" s="662">
        <f>+'MATRIZ GENERAL CONSOLIDADA'!V12</f>
        <v>3</v>
      </c>
      <c r="F12" s="639">
        <f>+(E12/D12)*100</f>
        <v>100</v>
      </c>
      <c r="G12" s="377"/>
      <c r="H12" s="377"/>
      <c r="I12" s="386">
        <f>+'MATRIZ GENERAL CONSOLIDADA'!D12</f>
        <v>3</v>
      </c>
      <c r="J12" s="523">
        <f>+'MATRIZ GENERAL CONSOLIDADA'!F12</f>
        <v>2.8</v>
      </c>
      <c r="K12" s="377">
        <f>+J12/I12*100</f>
        <v>93.333333333333329</v>
      </c>
      <c r="L12" s="388"/>
      <c r="M12" s="666">
        <f>+'MATRIZ GENERAL CONSOLIDADA'!U12</f>
        <v>231000000</v>
      </c>
      <c r="N12" s="669">
        <f>+'MATRIZ GENERAL CONSOLIDADA'!W12</f>
        <v>230275301.10799998</v>
      </c>
      <c r="O12" s="377">
        <f>+N12/M12*100</f>
        <v>99.686277535930728</v>
      </c>
      <c r="P12" s="377">
        <f>+'MATRIZ GENERAL CONSOLIDADA'!E12</f>
        <v>4101907065</v>
      </c>
      <c r="Q12" s="377">
        <f>+'MATRIZ GENERAL CONSOLIDADA'!G12</f>
        <v>4101182466.1079998</v>
      </c>
      <c r="R12" s="506">
        <f t="shared" ref="R12:R17" si="2">+Q12/P12*100</f>
        <v>99.982335072918076</v>
      </c>
      <c r="S12" s="823"/>
    </row>
    <row r="13" spans="1:19" ht="123" customHeight="1">
      <c r="A13" s="59"/>
      <c r="B13" s="384" t="s">
        <v>367</v>
      </c>
      <c r="C13" s="394" t="s">
        <v>1</v>
      </c>
      <c r="D13" s="639">
        <f>+'[2]MATRIZ GENERAL CONSOLIDADA'!T13</f>
        <v>0</v>
      </c>
      <c r="E13" s="639" t="s">
        <v>518</v>
      </c>
      <c r="F13" s="639" t="s">
        <v>518</v>
      </c>
      <c r="G13" s="377"/>
      <c r="H13" s="377"/>
      <c r="I13" s="386">
        <f>+'MATRIZ GENERAL CONSOLIDADA'!D13</f>
        <v>100</v>
      </c>
      <c r="J13" s="377">
        <f>+'MATRIZ GENERAL CONSOLIDADA'!F13</f>
        <v>100</v>
      </c>
      <c r="K13" s="377">
        <f>+J13/I13*100</f>
        <v>100</v>
      </c>
      <c r="L13" s="388"/>
      <c r="M13" s="666">
        <f>+'MATRIZ GENERAL CONSOLIDADA'!U13</f>
        <v>0</v>
      </c>
      <c r="N13" s="669">
        <f>+'MATRIZ GENERAL CONSOLIDADA'!W13</f>
        <v>0</v>
      </c>
      <c r="O13" s="377" t="s">
        <v>518</v>
      </c>
      <c r="P13" s="377">
        <f>+'MATRIZ GENERAL CONSOLIDADA'!E13</f>
        <v>0</v>
      </c>
      <c r="Q13" s="377">
        <f>+'MATRIZ GENERAL CONSOLIDADA'!G13</f>
        <v>0</v>
      </c>
      <c r="R13" s="506">
        <v>0</v>
      </c>
      <c r="S13" s="822" t="s">
        <v>588</v>
      </c>
    </row>
    <row r="14" spans="1:19" ht="144.75" customHeight="1">
      <c r="A14" s="59"/>
      <c r="B14" s="395" t="s">
        <v>369</v>
      </c>
      <c r="C14" s="385" t="s">
        <v>378</v>
      </c>
      <c r="D14" s="639">
        <f>+'[2]MATRIZ GENERAL CONSOLIDADA'!T14</f>
        <v>0</v>
      </c>
      <c r="E14" s="639" t="s">
        <v>518</v>
      </c>
      <c r="F14" s="639" t="s">
        <v>518</v>
      </c>
      <c r="G14" s="377"/>
      <c r="H14" s="377"/>
      <c r="I14" s="386">
        <f>+'MATRIZ GENERAL CONSOLIDADA'!D14</f>
        <v>6</v>
      </c>
      <c r="J14" s="377">
        <f>+'MATRIZ GENERAL CONSOLIDADA'!F14</f>
        <v>6</v>
      </c>
      <c r="K14" s="377">
        <f t="shared" si="1"/>
        <v>100</v>
      </c>
      <c r="L14" s="388"/>
      <c r="M14" s="666">
        <f>+'MATRIZ GENERAL CONSOLIDADA'!U14</f>
        <v>0</v>
      </c>
      <c r="N14" s="669">
        <f>+'MATRIZ GENERAL CONSOLIDADA'!W14</f>
        <v>0</v>
      </c>
      <c r="O14" s="377" t="s">
        <v>518</v>
      </c>
      <c r="P14" s="377">
        <f>+'MATRIZ GENERAL CONSOLIDADA'!E14</f>
        <v>166990717</v>
      </c>
      <c r="Q14" s="377">
        <f>+'MATRIZ GENERAL CONSOLIDADA'!G14</f>
        <v>166990717</v>
      </c>
      <c r="R14" s="506">
        <v>0</v>
      </c>
      <c r="S14" s="823"/>
    </row>
    <row r="15" spans="1:19" ht="200.25" customHeight="1">
      <c r="A15" s="59"/>
      <c r="B15" s="395" t="s">
        <v>363</v>
      </c>
      <c r="C15" s="386" t="s">
        <v>377</v>
      </c>
      <c r="D15" s="639">
        <f>+'[2]MATRIZ GENERAL CONSOLIDADA'!T15</f>
        <v>1</v>
      </c>
      <c r="E15" s="639">
        <f>+'MATRIZ GENERAL CONSOLIDADA'!V15</f>
        <v>1</v>
      </c>
      <c r="F15" s="639">
        <f t="shared" ref="F15" si="3">+(E15/D15)*100</f>
        <v>100</v>
      </c>
      <c r="G15" s="377"/>
      <c r="H15" s="377"/>
      <c r="I15" s="386">
        <f>+'MATRIZ GENERAL CONSOLIDADA'!D15</f>
        <v>1</v>
      </c>
      <c r="J15" s="377">
        <f>+'MATRIZ GENERAL CONSOLIDADA'!F15</f>
        <v>1</v>
      </c>
      <c r="K15" s="377">
        <f>+J15/I15*100</f>
        <v>100</v>
      </c>
      <c r="L15" s="388"/>
      <c r="M15" s="666">
        <f>+'MATRIZ GENERAL CONSOLIDADA'!U15</f>
        <v>250100000</v>
      </c>
      <c r="N15" s="669">
        <f>+'MATRIZ GENERAL CONSOLIDADA'!W15</f>
        <v>250088000</v>
      </c>
      <c r="O15" s="377">
        <f t="shared" ref="O15" si="4">+(N15/M15)*100</f>
        <v>99.995201919232301</v>
      </c>
      <c r="P15" s="377">
        <f>+'MATRIZ GENERAL CONSOLIDADA'!E15</f>
        <v>782754904</v>
      </c>
      <c r="Q15" s="377">
        <f>+'MATRIZ GENERAL CONSOLIDADA'!G15</f>
        <v>782742904</v>
      </c>
      <c r="R15" s="506">
        <f t="shared" si="2"/>
        <v>99.998466953073219</v>
      </c>
      <c r="S15" s="377" t="s">
        <v>599</v>
      </c>
    </row>
    <row r="16" spans="1:19" ht="140.25" customHeight="1">
      <c r="A16" s="59"/>
      <c r="B16" s="395" t="s">
        <v>370</v>
      </c>
      <c r="C16" s="386" t="s">
        <v>492</v>
      </c>
      <c r="D16" s="639">
        <f>+'[2]MATRIZ GENERAL CONSOLIDADA'!T16</f>
        <v>37</v>
      </c>
      <c r="E16" s="639">
        <f>+'MATRIZ GENERAL CONSOLIDADA'!V16</f>
        <v>37</v>
      </c>
      <c r="F16" s="639">
        <f>+(E16/D16)*100</f>
        <v>100</v>
      </c>
      <c r="G16" s="377"/>
      <c r="H16" s="377"/>
      <c r="I16" s="386">
        <f>+'MATRIZ GENERAL CONSOLIDADA'!D16</f>
        <v>37</v>
      </c>
      <c r="J16" s="377">
        <f>+'MATRIZ GENERAL CONSOLIDADA'!F16</f>
        <v>37</v>
      </c>
      <c r="K16" s="377">
        <f t="shared" si="1"/>
        <v>100</v>
      </c>
      <c r="L16" s="388"/>
      <c r="M16" s="666">
        <f>+'MATRIZ GENERAL CONSOLIDADA'!U16</f>
        <v>1034551238</v>
      </c>
      <c r="N16" s="669">
        <f>+'MATRIZ GENERAL CONSOLIDADA'!W16</f>
        <v>1006554513.744</v>
      </c>
      <c r="O16" s="377">
        <f>+(N16/M16)*100</f>
        <v>97.29382912825821</v>
      </c>
      <c r="P16" s="377">
        <f>+'MATRIZ GENERAL CONSOLIDADA'!E16</f>
        <v>3442998455</v>
      </c>
      <c r="Q16" s="377">
        <f>+'MATRIZ GENERAL CONSOLIDADA'!G16</f>
        <v>3415001729.744</v>
      </c>
      <c r="R16" s="506">
        <f t="shared" si="2"/>
        <v>99.186850484485618</v>
      </c>
      <c r="S16" s="377"/>
    </row>
    <row r="17" spans="1:20" ht="269.25" customHeight="1">
      <c r="A17" s="59"/>
      <c r="B17" s="395" t="s">
        <v>371</v>
      </c>
      <c r="C17" s="394" t="s">
        <v>372</v>
      </c>
      <c r="D17" s="639">
        <f>+'[2]MATRIZ GENERAL CONSOLIDADA'!T17</f>
        <v>5</v>
      </c>
      <c r="E17" s="639">
        <f>+'MATRIZ GENERAL CONSOLIDADA'!V17</f>
        <v>5</v>
      </c>
      <c r="F17" s="639">
        <f>+(E17/D17)*100</f>
        <v>100</v>
      </c>
      <c r="G17" s="377"/>
      <c r="H17" s="377"/>
      <c r="I17" s="386">
        <f>+'MATRIZ GENERAL CONSOLIDADA'!D17</f>
        <v>13</v>
      </c>
      <c r="J17" s="377">
        <f>+'MATRIZ GENERAL CONSOLIDADA'!F17</f>
        <v>13</v>
      </c>
      <c r="K17" s="377">
        <f>+J17/I17*100</f>
        <v>100</v>
      </c>
      <c r="L17" s="388"/>
      <c r="M17" s="666">
        <f>+'MATRIZ GENERAL CONSOLIDADA'!U17</f>
        <v>211682244</v>
      </c>
      <c r="N17" s="669">
        <f>+'MATRIZ GENERAL CONSOLIDADA'!W17</f>
        <v>211664844.74400002</v>
      </c>
      <c r="O17" s="377">
        <f>+(N17/M17)*100</f>
        <v>99.99178048395973</v>
      </c>
      <c r="P17" s="377">
        <f>+'MATRIZ GENERAL CONSOLIDADA'!E17</f>
        <v>566249899</v>
      </c>
      <c r="Q17" s="377">
        <f>+'MATRIZ GENERAL CONSOLIDADA'!G17</f>
        <v>566232499.74399996</v>
      </c>
      <c r="R17" s="506">
        <f t="shared" si="2"/>
        <v>99.996927283160531</v>
      </c>
      <c r="S17" s="377" t="s">
        <v>600</v>
      </c>
    </row>
    <row r="18" spans="1:20" s="167" customFormat="1" ht="153.75" customHeight="1">
      <c r="A18" s="166"/>
      <c r="B18" s="395" t="s">
        <v>373</v>
      </c>
      <c r="C18" s="390" t="s">
        <v>192</v>
      </c>
      <c r="D18" s="639">
        <f>+'[2]MATRIZ GENERAL CONSOLIDADA'!T18</f>
        <v>0</v>
      </c>
      <c r="E18" s="639" t="s">
        <v>518</v>
      </c>
      <c r="F18" s="639" t="s">
        <v>518</v>
      </c>
      <c r="G18" s="377"/>
      <c r="H18" s="377"/>
      <c r="I18" s="386">
        <f>+'MATRIZ GENERAL CONSOLIDADA'!D18</f>
        <v>2</v>
      </c>
      <c r="J18" s="377">
        <f>+'MATRIZ GENERAL CONSOLIDADA'!F18</f>
        <v>2</v>
      </c>
      <c r="K18" s="377">
        <f t="shared" si="1"/>
        <v>100</v>
      </c>
      <c r="L18" s="388"/>
      <c r="M18" s="666">
        <f>+'MATRIZ GENERAL CONSOLIDADA'!U18</f>
        <v>0</v>
      </c>
      <c r="N18" s="669">
        <f>+'MATRIZ GENERAL CONSOLIDADA'!W18</f>
        <v>0</v>
      </c>
      <c r="O18" s="377" t="s">
        <v>518</v>
      </c>
      <c r="P18" s="377">
        <f>+'MATRIZ GENERAL CONSOLIDADA'!E18</f>
        <v>943436310</v>
      </c>
      <c r="Q18" s="377">
        <f>+'MATRIZ GENERAL CONSOLIDADA'!G18</f>
        <v>943436310</v>
      </c>
      <c r="R18" s="506">
        <v>0</v>
      </c>
      <c r="S18" s="377" t="s">
        <v>589</v>
      </c>
    </row>
    <row r="19" spans="1:20" ht="62.25" customHeight="1">
      <c r="A19" s="59"/>
      <c r="B19" s="333" t="s">
        <v>535</v>
      </c>
      <c r="C19" s="332"/>
      <c r="D19" s="332"/>
      <c r="E19" s="640"/>
      <c r="F19" s="640">
        <f>AVERAGE(F20:F29)</f>
        <v>100</v>
      </c>
      <c r="G19" s="396"/>
      <c r="H19" s="396"/>
      <c r="I19" s="396">
        <f>AVERAGE(I20:I29)</f>
        <v>2189.3000000000002</v>
      </c>
      <c r="J19" s="396">
        <f>AVERAGE(J20:J29)</f>
        <v>3215.6779999999999</v>
      </c>
      <c r="K19" s="396">
        <f>AVERAGE(K20:K29)</f>
        <v>100</v>
      </c>
      <c r="L19" s="396"/>
      <c r="M19" s="331">
        <f>SUM(M20:M29)</f>
        <v>7450417535.1240005</v>
      </c>
      <c r="N19" s="331">
        <f>SUM(N20:N29)</f>
        <v>7396818892.5200005</v>
      </c>
      <c r="O19" s="331">
        <f>+N19/M19*100</f>
        <v>99.280595451847958</v>
      </c>
      <c r="P19" s="331">
        <f>SUM(P20:P29)</f>
        <v>31436715759.320999</v>
      </c>
      <c r="Q19" s="405">
        <f>SUM(Q20:Q29)</f>
        <v>30856715387.717003</v>
      </c>
      <c r="R19" s="331">
        <f>+(Q19/P19)*100</f>
        <v>98.155022375605427</v>
      </c>
      <c r="S19" s="525"/>
    </row>
    <row r="20" spans="1:20" ht="128.25" customHeight="1">
      <c r="A20" s="59"/>
      <c r="B20" s="393" t="s">
        <v>484</v>
      </c>
      <c r="C20" s="385" t="s">
        <v>179</v>
      </c>
      <c r="D20" s="645">
        <f>+'[2]MATRIZ GENERAL CONSOLIDADA'!T20</f>
        <v>100</v>
      </c>
      <c r="E20" s="639">
        <f>+'MATRIZ GENERAL CONSOLIDADA'!V20</f>
        <v>100</v>
      </c>
      <c r="F20" s="639">
        <f>+(E20/D20)*100</f>
        <v>100</v>
      </c>
      <c r="G20" s="572"/>
      <c r="H20" s="377"/>
      <c r="I20" s="386">
        <f>+'MATRIZ GENERAL CONSOLIDADA'!D20</f>
        <v>100</v>
      </c>
      <c r="J20" s="377">
        <f>+'MATRIZ GENERAL CONSOLIDADA'!F20</f>
        <v>100</v>
      </c>
      <c r="K20" s="377">
        <f>+J20/I20*100</f>
        <v>100</v>
      </c>
      <c r="L20" s="388"/>
      <c r="M20" s="666">
        <f>+'MATRIZ GENERAL CONSOLIDADA'!U20</f>
        <v>0</v>
      </c>
      <c r="N20" s="669">
        <f>+'MATRIZ GENERAL CONSOLIDADA'!W20</f>
        <v>0</v>
      </c>
      <c r="O20" s="377">
        <v>0</v>
      </c>
      <c r="P20" s="377">
        <f>+'MATRIZ GENERAL CONSOLIDADA'!E20</f>
        <v>0</v>
      </c>
      <c r="Q20" s="377">
        <f>+'MATRIZ GENERAL CONSOLIDADA'!G20</f>
        <v>0</v>
      </c>
      <c r="R20" s="506">
        <v>0</v>
      </c>
      <c r="S20" s="822" t="s">
        <v>602</v>
      </c>
    </row>
    <row r="21" spans="1:20" ht="128.25" customHeight="1">
      <c r="A21" s="59"/>
      <c r="B21" s="389" t="s">
        <v>485</v>
      </c>
      <c r="C21" s="390" t="s">
        <v>486</v>
      </c>
      <c r="D21" s="645">
        <f>+'[2]MATRIZ GENERAL CONSOLIDADA'!T21</f>
        <v>5</v>
      </c>
      <c r="E21" s="639">
        <f>+'MATRIZ GENERAL CONSOLIDADA'!V21</f>
        <v>5</v>
      </c>
      <c r="F21" s="639">
        <f>+(E21/D21)*100</f>
        <v>100</v>
      </c>
      <c r="G21" s="572"/>
      <c r="H21" s="377"/>
      <c r="I21" s="386">
        <f>+'MATRIZ GENERAL CONSOLIDADA'!D21</f>
        <v>5</v>
      </c>
      <c r="J21" s="377">
        <f>+'MATRIZ GENERAL CONSOLIDADA'!F21</f>
        <v>5</v>
      </c>
      <c r="K21" s="377">
        <f>+J21/I21*100</f>
        <v>100</v>
      </c>
      <c r="L21" s="388"/>
      <c r="M21" s="666">
        <f>+'MATRIZ GENERAL CONSOLIDADA'!U21</f>
        <v>4583646865</v>
      </c>
      <c r="N21" s="669">
        <f>+'MATRIZ GENERAL CONSOLIDADA'!W21</f>
        <v>4545611006.184</v>
      </c>
      <c r="O21" s="377">
        <f t="shared" ref="O21:O28" si="5">+(N21/M21)*100</f>
        <v>99.170183481924937</v>
      </c>
      <c r="P21" s="787">
        <f>+'MATRIZ GENERAL CONSOLIDADA'!E21</f>
        <v>15044153969.360001</v>
      </c>
      <c r="Q21" s="377">
        <f>+'MATRIZ GENERAL CONSOLIDADA'!G21</f>
        <v>14960665796.544001</v>
      </c>
      <c r="R21" s="506">
        <f t="shared" ref="R21:R83" si="6">+(Q21/P21)*100</f>
        <v>99.445045743442677</v>
      </c>
      <c r="S21" s="823"/>
      <c r="T21" s="788"/>
    </row>
    <row r="22" spans="1:20" ht="150" customHeight="1">
      <c r="A22" s="59"/>
      <c r="B22" s="393" t="s">
        <v>374</v>
      </c>
      <c r="C22" s="385" t="s">
        <v>402</v>
      </c>
      <c r="D22" s="645">
        <f>+'[2]MATRIZ GENERAL CONSOLIDADA'!T22</f>
        <v>25</v>
      </c>
      <c r="E22" s="639">
        <f>+'MATRIZ GENERAL CONSOLIDADA'!V22</f>
        <v>25</v>
      </c>
      <c r="F22" s="639">
        <f>+(E22/D22)*100</f>
        <v>100</v>
      </c>
      <c r="G22" s="572"/>
      <c r="H22" s="377"/>
      <c r="I22" s="386">
        <f>+'MATRIZ GENERAL CONSOLIDADA'!D22</f>
        <v>100</v>
      </c>
      <c r="J22" s="377">
        <f>+'MATRIZ GENERAL CONSOLIDADA'!F22</f>
        <v>100</v>
      </c>
      <c r="K22" s="377">
        <f>+J22/I22*100</f>
        <v>100</v>
      </c>
      <c r="L22" s="388"/>
      <c r="M22" s="666">
        <f>+'MATRIZ GENERAL CONSOLIDADA'!U22</f>
        <v>0</v>
      </c>
      <c r="N22" s="669">
        <f>+'MATRIZ GENERAL CONSOLIDADA'!W22</f>
        <v>0</v>
      </c>
      <c r="O22" s="377">
        <v>0</v>
      </c>
      <c r="P22" s="377">
        <f>+'MATRIZ GENERAL CONSOLIDADA'!E22</f>
        <v>0</v>
      </c>
      <c r="Q22" s="377">
        <f>+'MATRIZ GENERAL CONSOLIDADA'!G22</f>
        <v>0</v>
      </c>
      <c r="R22" s="506">
        <v>0</v>
      </c>
      <c r="S22" s="822" t="s">
        <v>601</v>
      </c>
    </row>
    <row r="23" spans="1:20" ht="134.25" customHeight="1">
      <c r="A23" s="59"/>
      <c r="B23" s="397" t="s">
        <v>547</v>
      </c>
      <c r="C23" s="398" t="s">
        <v>453</v>
      </c>
      <c r="D23" s="645">
        <f>+'[2]MATRIZ GENERAL CONSOLIDADA'!T23</f>
        <v>100</v>
      </c>
      <c r="E23" s="639">
        <f>+'MATRIZ GENERAL CONSOLIDADA'!V23</f>
        <v>161.69999999999999</v>
      </c>
      <c r="F23" s="639">
        <v>100</v>
      </c>
      <c r="G23" s="572"/>
      <c r="H23" s="377"/>
      <c r="I23" s="386">
        <f>+'MATRIZ GENERAL CONSOLIDADA'!D23</f>
        <v>400</v>
      </c>
      <c r="J23" s="377">
        <f>+'MATRIZ GENERAL CONSOLIDADA'!F23</f>
        <v>461.7</v>
      </c>
      <c r="K23" s="377">
        <v>100</v>
      </c>
      <c r="L23" s="388"/>
      <c r="M23" s="666">
        <f>+'MATRIZ GENERAL CONSOLIDADA'!U23</f>
        <v>203177336</v>
      </c>
      <c r="N23" s="669">
        <f>+'MATRIZ GENERAL CONSOLIDADA'!W23</f>
        <v>203167329.704</v>
      </c>
      <c r="O23" s="377">
        <f t="shared" si="5"/>
        <v>99.995075092430582</v>
      </c>
      <c r="P23" s="377">
        <f>+'MATRIZ GENERAL CONSOLIDADA'!E23</f>
        <v>759170561</v>
      </c>
      <c r="Q23" s="377">
        <f>+'MATRIZ GENERAL CONSOLIDADA'!G23</f>
        <v>734846432.704</v>
      </c>
      <c r="R23" s="506">
        <f t="shared" si="6"/>
        <v>96.795960019319025</v>
      </c>
      <c r="S23" s="823"/>
    </row>
    <row r="24" spans="1:20" ht="150.75" customHeight="1">
      <c r="A24" s="59"/>
      <c r="B24" s="399" t="str">
        <f>+'MATRIZ GENERAL CONSOLIDADA'!A24</f>
        <v>Áreas reforestadas gestionadas para la protección de cuencas abastecedoras.</v>
      </c>
      <c r="C24" s="400" t="s">
        <v>453</v>
      </c>
      <c r="D24" s="645">
        <f>+'[2]MATRIZ GENERAL CONSOLIDADA'!T24</f>
        <v>20</v>
      </c>
      <c r="E24" s="639">
        <f>+'MATRIZ GENERAL CONSOLIDADA'!V24</f>
        <v>20</v>
      </c>
      <c r="F24" s="639">
        <f t="shared" ref="F24:F29" si="7">+(E24/D24)*100</f>
        <v>100</v>
      </c>
      <c r="G24" s="572"/>
      <c r="H24" s="377"/>
      <c r="I24" s="386">
        <f>+'MATRIZ GENERAL CONSOLIDADA'!D24</f>
        <v>100</v>
      </c>
      <c r="J24" s="377">
        <f>+'MATRIZ GENERAL CONSOLIDADA'!F24</f>
        <v>117</v>
      </c>
      <c r="K24" s="377">
        <v>100</v>
      </c>
      <c r="L24" s="388"/>
      <c r="M24" s="666">
        <f>+'MATRIZ GENERAL CONSOLIDADA'!U24</f>
        <v>161190277</v>
      </c>
      <c r="N24" s="669">
        <f>+'MATRIZ GENERAL CONSOLIDADA'!W24</f>
        <v>161189884.36399999</v>
      </c>
      <c r="O24" s="377">
        <f t="shared" si="5"/>
        <v>99.999756414588205</v>
      </c>
      <c r="P24" s="377">
        <f>+'MATRIZ GENERAL CONSOLIDADA'!E24</f>
        <v>1248578830</v>
      </c>
      <c r="Q24" s="377">
        <f>+'MATRIZ GENERAL CONSOLIDADA'!G24</f>
        <v>1217457964.3640001</v>
      </c>
      <c r="R24" s="506">
        <f t="shared" si="6"/>
        <v>97.507496932652629</v>
      </c>
      <c r="S24" s="377" t="s">
        <v>603</v>
      </c>
      <c r="T24" s="788"/>
    </row>
    <row r="25" spans="1:20" ht="150.75" customHeight="1">
      <c r="A25" s="59"/>
      <c r="B25" s="399" t="s">
        <v>359</v>
      </c>
      <c r="C25" s="401" t="s">
        <v>453</v>
      </c>
      <c r="D25" s="645">
        <f>+'[2]MATRIZ GENERAL CONSOLIDADA'!T25</f>
        <v>141</v>
      </c>
      <c r="E25" s="639">
        <f>+'MATRIZ GENERAL CONSOLIDADA'!V25</f>
        <v>141</v>
      </c>
      <c r="F25" s="639">
        <f>+(E25/D25)*100</f>
        <v>100</v>
      </c>
      <c r="G25" s="572"/>
      <c r="H25" s="377"/>
      <c r="I25" s="386">
        <f>+'MATRIZ GENERAL CONSOLIDADA'!D25</f>
        <v>489</v>
      </c>
      <c r="J25" s="377">
        <f>+'MATRIZ GENERAL CONSOLIDADA'!F25</f>
        <v>489</v>
      </c>
      <c r="K25" s="377">
        <f>+J25/I25*100</f>
        <v>100</v>
      </c>
      <c r="L25" s="388"/>
      <c r="M25" s="666">
        <f>+'MATRIZ GENERAL CONSOLIDADA'!U25</f>
        <v>140162361.51999998</v>
      </c>
      <c r="N25" s="669">
        <f>+'MATRIZ GENERAL CONSOLIDADA'!W25</f>
        <v>140160404.68400002</v>
      </c>
      <c r="O25" s="377">
        <f t="shared" si="5"/>
        <v>99.998603879116516</v>
      </c>
      <c r="P25" s="377">
        <f>+'MATRIZ GENERAL CONSOLIDADA'!E25</f>
        <v>486929498.00899994</v>
      </c>
      <c r="Q25" s="377">
        <f>+'MATRIZ GENERAL CONSOLIDADA'!G25</f>
        <v>486795199.17299998</v>
      </c>
      <c r="R25" s="506">
        <f>+(Q25/P25)*100</f>
        <v>99.972419244151538</v>
      </c>
      <c r="S25" s="377" t="s">
        <v>604</v>
      </c>
      <c r="T25" s="788"/>
    </row>
    <row r="26" spans="1:20" ht="114" customHeight="1">
      <c r="A26" s="59"/>
      <c r="B26" s="399" t="s">
        <v>508</v>
      </c>
      <c r="C26" s="401" t="s">
        <v>453</v>
      </c>
      <c r="D26" s="645">
        <f>+'[2]MATRIZ GENERAL CONSOLIDADA'!T26</f>
        <v>500</v>
      </c>
      <c r="E26" s="639">
        <f>+'MATRIZ GENERAL CONSOLIDADA'!V26</f>
        <v>500</v>
      </c>
      <c r="F26" s="639">
        <f t="shared" si="7"/>
        <v>100</v>
      </c>
      <c r="G26" s="572"/>
      <c r="H26" s="377"/>
      <c r="I26" s="386">
        <f>+'MATRIZ GENERAL CONSOLIDADA'!D26</f>
        <v>4963</v>
      </c>
      <c r="J26" s="377">
        <f>+'MATRIZ GENERAL CONSOLIDADA'!F26</f>
        <v>14307</v>
      </c>
      <c r="K26" s="377">
        <v>100</v>
      </c>
      <c r="L26" s="388"/>
      <c r="M26" s="666">
        <f>+'MATRIZ GENERAL CONSOLIDADA'!U26</f>
        <v>993667911</v>
      </c>
      <c r="N26" s="669">
        <f>+'MATRIZ GENERAL CONSOLIDADA'!W26</f>
        <v>988906638</v>
      </c>
      <c r="O26" s="377">
        <f t="shared" si="5"/>
        <v>99.520838607416792</v>
      </c>
      <c r="P26" s="377">
        <f>+'MATRIZ GENERAL CONSOLIDADA'!E26</f>
        <v>7197815867.3479996</v>
      </c>
      <c r="Q26" s="377">
        <f>+'MATRIZ GENERAL CONSOLIDADA'!G26</f>
        <v>6768168316.3479996</v>
      </c>
      <c r="R26" s="506">
        <f t="shared" si="6"/>
        <v>94.030862154323188</v>
      </c>
      <c r="S26" s="377" t="s">
        <v>605</v>
      </c>
    </row>
    <row r="27" spans="1:20" ht="73.5" customHeight="1">
      <c r="A27" s="59"/>
      <c r="B27" s="399" t="s">
        <v>362</v>
      </c>
      <c r="C27" s="401" t="s">
        <v>453</v>
      </c>
      <c r="D27" s="639">
        <f>+'[2]MATRIZ GENERAL CONSOLIDADA'!T27</f>
        <v>1963</v>
      </c>
      <c r="E27" s="639">
        <f>+'MATRIZ GENERAL CONSOLIDADA'!V27</f>
        <v>1963</v>
      </c>
      <c r="F27" s="639">
        <f t="shared" si="7"/>
        <v>100</v>
      </c>
      <c r="G27" s="572"/>
      <c r="H27" s="377"/>
      <c r="I27" s="386">
        <f>+'MATRIZ GENERAL CONSOLIDADA'!D27</f>
        <v>14536</v>
      </c>
      <c r="J27" s="377">
        <f>+'MATRIZ GENERAL CONSOLIDADA'!F27</f>
        <v>14536</v>
      </c>
      <c r="K27" s="377">
        <v>100</v>
      </c>
      <c r="L27" s="388"/>
      <c r="M27" s="666">
        <f>+'MATRIZ GENERAL CONSOLIDADA'!U27</f>
        <v>851740037</v>
      </c>
      <c r="N27" s="669">
        <f>+'MATRIZ GENERAL CONSOLIDADA'!W27</f>
        <v>840950882.76800001</v>
      </c>
      <c r="O27" s="377">
        <f t="shared" si="5"/>
        <v>98.733280841182292</v>
      </c>
      <c r="P27" s="377">
        <f>+'MATRIZ GENERAL CONSOLIDADA'!E27</f>
        <v>5319436527</v>
      </c>
      <c r="Q27" s="377">
        <f>+'MATRIZ GENERAL CONSOLIDADA'!G27</f>
        <v>5308519012.7679996</v>
      </c>
      <c r="R27" s="506">
        <f t="shared" si="6"/>
        <v>99.794761829066175</v>
      </c>
      <c r="S27" s="377"/>
    </row>
    <row r="28" spans="1:20" ht="73.5" customHeight="1">
      <c r="A28" s="59"/>
      <c r="B28" s="402" t="s">
        <v>360</v>
      </c>
      <c r="C28" s="401" t="s">
        <v>453</v>
      </c>
      <c r="D28" s="645">
        <f>+'[2]MATRIZ GENERAL CONSOLIDADA'!T28</f>
        <v>200</v>
      </c>
      <c r="E28" s="639">
        <f>+'MATRIZ GENERAL CONSOLIDADA'!V28</f>
        <v>814</v>
      </c>
      <c r="F28" s="639">
        <v>100</v>
      </c>
      <c r="G28" s="572"/>
      <c r="H28" s="377"/>
      <c r="I28" s="386">
        <f>+'MATRIZ GENERAL CONSOLIDADA'!D28</f>
        <v>1100</v>
      </c>
      <c r="J28" s="377">
        <f>+'MATRIZ GENERAL CONSOLIDADA'!F28</f>
        <v>1941.08</v>
      </c>
      <c r="K28" s="377">
        <v>100</v>
      </c>
      <c r="L28" s="388"/>
      <c r="M28" s="666">
        <f>+'MATRIZ GENERAL CONSOLIDADA'!U28</f>
        <v>516832747.60399997</v>
      </c>
      <c r="N28" s="669">
        <f>+'MATRIZ GENERAL CONSOLIDADA'!W28</f>
        <v>516832746.81599998</v>
      </c>
      <c r="O28" s="377">
        <f t="shared" si="5"/>
        <v>99.999999847532877</v>
      </c>
      <c r="P28" s="377">
        <f>+'MATRIZ GENERAL CONSOLIDADA'!E28</f>
        <v>1380630506.6040001</v>
      </c>
      <c r="Q28" s="377">
        <f>+'MATRIZ GENERAL CONSOLIDADA'!G28</f>
        <v>1380262665.816</v>
      </c>
      <c r="R28" s="506">
        <f t="shared" si="6"/>
        <v>99.973357043304446</v>
      </c>
      <c r="S28" s="377"/>
    </row>
    <row r="29" spans="1:20" ht="73.5" customHeight="1">
      <c r="A29" s="59"/>
      <c r="B29" s="395" t="s">
        <v>479</v>
      </c>
      <c r="C29" s="385" t="s">
        <v>402</v>
      </c>
      <c r="D29" s="645">
        <f>+'[2]MATRIZ GENERAL CONSOLIDADA'!T29</f>
        <v>30</v>
      </c>
      <c r="E29" s="639">
        <f>+'MATRIZ GENERAL CONSOLIDADA'!V29</f>
        <v>30</v>
      </c>
      <c r="F29" s="639">
        <f t="shared" si="7"/>
        <v>100</v>
      </c>
      <c r="G29" s="572"/>
      <c r="H29" s="377"/>
      <c r="I29" s="386">
        <f>+'MATRIZ GENERAL CONSOLIDADA'!D29</f>
        <v>100</v>
      </c>
      <c r="J29" s="377">
        <f>+'MATRIZ GENERAL CONSOLIDADA'!F29</f>
        <v>100</v>
      </c>
      <c r="K29" s="377">
        <f>+J29/I29*100</f>
        <v>100</v>
      </c>
      <c r="L29" s="388"/>
      <c r="M29" s="666">
        <f>+'MATRIZ GENERAL CONSOLIDADA'!U29</f>
        <v>0</v>
      </c>
      <c r="N29" s="669">
        <f>+'MATRIZ GENERAL CONSOLIDADA'!W29</f>
        <v>0</v>
      </c>
      <c r="O29" s="377">
        <v>0</v>
      </c>
      <c r="P29" s="377">
        <f>+'MATRIZ GENERAL CONSOLIDADA'!E29</f>
        <v>0</v>
      </c>
      <c r="Q29" s="377">
        <f>+'MATRIZ GENERAL CONSOLIDADA'!G29</f>
        <v>0</v>
      </c>
      <c r="R29" s="506">
        <v>0</v>
      </c>
      <c r="S29" s="377"/>
    </row>
    <row r="30" spans="1:20" ht="30">
      <c r="A30" s="59"/>
      <c r="B30" s="333" t="s">
        <v>516</v>
      </c>
      <c r="C30" s="403"/>
      <c r="D30" s="404"/>
      <c r="E30" s="640"/>
      <c r="F30" s="647">
        <f>AVERAGE(F31:F32)</f>
        <v>100</v>
      </c>
      <c r="G30" s="522"/>
      <c r="H30" s="396"/>
      <c r="I30" s="396">
        <f>AVERAGE(I31:I32)</f>
        <v>1</v>
      </c>
      <c r="J30" s="522">
        <f>AVERAGE(J31:J32)</f>
        <v>1</v>
      </c>
      <c r="K30" s="331">
        <f>+(J30/I30)*100</f>
        <v>100</v>
      </c>
      <c r="L30" s="331"/>
      <c r="M30" s="331">
        <f>SUM(M31:M32)</f>
        <v>1133798921.5</v>
      </c>
      <c r="N30" s="331">
        <f>SUM(N31:N32)</f>
        <v>1133752617</v>
      </c>
      <c r="O30" s="331">
        <f>+N30/M30*100</f>
        <v>99.995915986589694</v>
      </c>
      <c r="P30" s="331">
        <f>SUM(P31:P32)</f>
        <v>6257171071.4877996</v>
      </c>
      <c r="Q30" s="406">
        <f>SUM(Q31:Q32)</f>
        <v>6257124767</v>
      </c>
      <c r="R30" s="331">
        <f>+(Q30/P30)*100</f>
        <v>99.999259977276139</v>
      </c>
      <c r="S30" s="41"/>
    </row>
    <row r="31" spans="1:20" ht="171" customHeight="1">
      <c r="A31" s="59"/>
      <c r="B31" s="395" t="s">
        <v>375</v>
      </c>
      <c r="C31" s="394" t="s">
        <v>376</v>
      </c>
      <c r="D31" s="645">
        <f>+'[2]MATRIZ GENERAL CONSOLIDADA'!P31</f>
        <v>1</v>
      </c>
      <c r="E31" s="639">
        <f>+'MATRIZ GENERAL CONSOLIDADA'!V31</f>
        <v>1</v>
      </c>
      <c r="F31" s="639">
        <f>+(E31/D31)*100</f>
        <v>100</v>
      </c>
      <c r="G31" s="572"/>
      <c r="H31" s="377"/>
      <c r="I31" s="386">
        <f>+'MATRIZ GENERAL CONSOLIDADA'!D31</f>
        <v>1</v>
      </c>
      <c r="J31" s="521">
        <f>+'MATRIZ GENERAL CONSOLIDADA'!F31</f>
        <v>1</v>
      </c>
      <c r="K31" s="506">
        <f>+(J31/I31)*100</f>
        <v>100</v>
      </c>
      <c r="L31" s="388"/>
      <c r="M31" s="666">
        <f>+'MATRIZ GENERAL CONSOLIDADA'!U31</f>
        <v>1018593817.1</v>
      </c>
      <c r="N31" s="666">
        <f>+'MATRIZ GENERAL CONSOLIDADA'!W31</f>
        <v>1018593817</v>
      </c>
      <c r="O31" s="377">
        <f t="shared" ref="O31:O32" si="8">+(N31/M31)*100</f>
        <v>99.999999990182545</v>
      </c>
      <c r="P31" s="377">
        <f>+'MATRIZ GENERAL CONSOLIDADA'!E31</f>
        <v>5565382158.0878</v>
      </c>
      <c r="Q31" s="377">
        <f>+'MATRIZ GENERAL CONSOLIDADA'!G31</f>
        <v>5565382158</v>
      </c>
      <c r="R31" s="506">
        <f t="shared" si="6"/>
        <v>99.999999998422396</v>
      </c>
      <c r="S31" s="377" t="s">
        <v>619</v>
      </c>
    </row>
    <row r="32" spans="1:20" ht="45" customHeight="1" thickBot="1">
      <c r="A32" s="59"/>
      <c r="B32" s="395" t="s">
        <v>480</v>
      </c>
      <c r="C32" s="394" t="s">
        <v>512</v>
      </c>
      <c r="D32" s="645">
        <f>+'[2]MATRIZ GENERAL CONSOLIDADA'!P32</f>
        <v>1</v>
      </c>
      <c r="E32" s="639">
        <f>+'MATRIZ GENERAL CONSOLIDADA'!V32</f>
        <v>1</v>
      </c>
      <c r="F32" s="639">
        <f>+(E32/D32)*100</f>
        <v>100</v>
      </c>
      <c r="G32" s="572"/>
      <c r="H32" s="377"/>
      <c r="I32" s="386">
        <f>+'MATRIZ GENERAL CONSOLIDADA'!D32</f>
        <v>1</v>
      </c>
      <c r="J32" s="521">
        <f>+'MATRIZ GENERAL CONSOLIDADA'!F32</f>
        <v>1</v>
      </c>
      <c r="K32" s="506">
        <f>+(J32/I32)*100</f>
        <v>100</v>
      </c>
      <c r="L32" s="388"/>
      <c r="M32" s="666">
        <f>+'MATRIZ GENERAL CONSOLIDADA'!U32</f>
        <v>115205104.40000001</v>
      </c>
      <c r="N32" s="666">
        <f>+'MATRIZ GENERAL CONSOLIDADA'!W32</f>
        <v>115158800</v>
      </c>
      <c r="O32" s="377">
        <f t="shared" si="8"/>
        <v>99.959806989246559</v>
      </c>
      <c r="P32" s="377">
        <f>+'MATRIZ GENERAL CONSOLIDADA'!E32</f>
        <v>691788913.39999998</v>
      </c>
      <c r="Q32" s="377">
        <f>+'MATRIZ GENERAL CONSOLIDADA'!G32</f>
        <v>691742609</v>
      </c>
      <c r="R32" s="506">
        <f t="shared" si="6"/>
        <v>99.993306570963625</v>
      </c>
      <c r="S32" s="377" t="s">
        <v>621</v>
      </c>
    </row>
    <row r="33" spans="1:19" ht="59.25" customHeight="1">
      <c r="A33" s="59"/>
      <c r="B33" s="407" t="s">
        <v>458</v>
      </c>
      <c r="C33" s="408"/>
      <c r="D33" s="408"/>
      <c r="E33" s="641"/>
      <c r="F33" s="648">
        <f>AVERAGE(F34,F46)</f>
        <v>96.515512140826019</v>
      </c>
      <c r="G33" s="546"/>
      <c r="H33" s="546"/>
      <c r="I33" s="409">
        <f>AVERAGE(I34,I46)</f>
        <v>34026.400000000001</v>
      </c>
      <c r="J33" s="409">
        <f>AVERAGE(J34,J46)</f>
        <v>33201.026211904762</v>
      </c>
      <c r="K33" s="381">
        <f>AVERAGE(K34,K46)</f>
        <v>96.192055609438853</v>
      </c>
      <c r="L33" s="504"/>
      <c r="M33" s="504">
        <f>+M34+M46</f>
        <v>4596082932.7000008</v>
      </c>
      <c r="N33" s="504">
        <f>+N34+N46</f>
        <v>4496737847.6399994</v>
      </c>
      <c r="O33" s="411">
        <f>+N33/M33*100</f>
        <v>97.838483628021905</v>
      </c>
      <c r="P33" s="411">
        <f>+P34+P46</f>
        <v>11273038714.176001</v>
      </c>
      <c r="Q33" s="411">
        <f>+Q34+Q46</f>
        <v>11152005631.136</v>
      </c>
      <c r="R33" s="381">
        <f t="shared" si="6"/>
        <v>98.926349087333477</v>
      </c>
      <c r="S33" s="377"/>
    </row>
    <row r="34" spans="1:19" ht="64.5" customHeight="1">
      <c r="A34" s="59"/>
      <c r="B34" s="333" t="s">
        <v>459</v>
      </c>
      <c r="C34" s="412"/>
      <c r="D34" s="332"/>
      <c r="E34" s="640"/>
      <c r="F34" s="640">
        <f>AVERAGE(F35:F44)</f>
        <v>93.031024281652023</v>
      </c>
      <c r="G34" s="396"/>
      <c r="H34" s="396"/>
      <c r="I34" s="396">
        <f>AVERAGE(I35:I44)</f>
        <v>22769.8</v>
      </c>
      <c r="J34" s="396">
        <f>AVERAGE(J35:J44)</f>
        <v>20951.351999999999</v>
      </c>
      <c r="K34" s="505">
        <f>+(J34/I34)*100</f>
        <v>92.01377262865725</v>
      </c>
      <c r="L34" s="505"/>
      <c r="M34" s="331">
        <f>SUM(M35:M45)</f>
        <v>1671872928</v>
      </c>
      <c r="N34" s="331">
        <f>SUM(N35:N45)</f>
        <v>1611204407.632</v>
      </c>
      <c r="O34" s="331">
        <f>+N34/M34*100</f>
        <v>96.371224191028944</v>
      </c>
      <c r="P34" s="331">
        <f>SUM(P35:P45)</f>
        <v>4237697475</v>
      </c>
      <c r="Q34" s="406">
        <f>SUM(Q35:Q45)</f>
        <v>4177028956.1279998</v>
      </c>
      <c r="R34" s="331">
        <f>+(Q34/P34)*100</f>
        <v>98.568361256793096</v>
      </c>
      <c r="S34" s="377"/>
    </row>
    <row r="35" spans="1:19" ht="108.75" customHeight="1">
      <c r="A35" s="59"/>
      <c r="B35" s="384" t="s">
        <v>482</v>
      </c>
      <c r="C35" s="386" t="s">
        <v>1</v>
      </c>
      <c r="D35" s="645">
        <f>+'MATRIZ GENERAL CONSOLIDADA'!T35</f>
        <v>30</v>
      </c>
      <c r="E35" s="639">
        <f>+'MATRIZ GENERAL CONSOLIDADA'!V35</f>
        <v>21.86</v>
      </c>
      <c r="F35" s="639">
        <f>+(E35/D35)*100</f>
        <v>72.866666666666674</v>
      </c>
      <c r="G35" s="572"/>
      <c r="H35" s="377"/>
      <c r="I35" s="386">
        <f>+'MATRIZ GENERAL CONSOLIDADA'!D35</f>
        <v>100</v>
      </c>
      <c r="J35" s="377">
        <f>+'MATRIZ GENERAL CONSOLIDADA'!F35</f>
        <v>91.86</v>
      </c>
      <c r="K35" s="377">
        <f>+(J35/I35)*100</f>
        <v>91.86</v>
      </c>
      <c r="L35" s="388"/>
      <c r="M35" s="666">
        <f>+'MATRIZ GENERAL CONSOLIDADA'!U35</f>
        <v>0</v>
      </c>
      <c r="N35" s="666">
        <f>+'MATRIZ GENERAL CONSOLIDADA'!W35</f>
        <v>0</v>
      </c>
      <c r="O35" s="377">
        <v>0</v>
      </c>
      <c r="P35" s="377">
        <f>+'MATRIZ GENERAL CONSOLIDADA'!E35</f>
        <v>0</v>
      </c>
      <c r="Q35" s="377">
        <f>+'MATRIZ GENERAL CONSOLIDADA'!G35</f>
        <v>0</v>
      </c>
      <c r="R35" s="506">
        <v>0</v>
      </c>
      <c r="S35" s="822" t="s">
        <v>617</v>
      </c>
    </row>
    <row r="36" spans="1:19" ht="233.25" customHeight="1">
      <c r="A36" s="59"/>
      <c r="B36" s="389" t="s">
        <v>381</v>
      </c>
      <c r="C36" s="401" t="s">
        <v>453</v>
      </c>
      <c r="D36" s="645">
        <f>+'MATRIZ GENERAL CONSOLIDADA'!T36</f>
        <v>70451</v>
      </c>
      <c r="E36" s="639">
        <f>+'MATRIZ GENERAL CONSOLIDADA'!V36</f>
        <v>50289</v>
      </c>
      <c r="F36" s="662">
        <f>+(E36/D36)*100</f>
        <v>71.381527586549524</v>
      </c>
      <c r="G36" s="572"/>
      <c r="H36" s="377"/>
      <c r="I36" s="386">
        <f>+'MATRIZ GENERAL CONSOLIDADA'!D36</f>
        <v>227184</v>
      </c>
      <c r="J36" s="377">
        <f>+'MATRIZ GENERAL CONSOLIDADA'!F36</f>
        <v>209008.36</v>
      </c>
      <c r="K36" s="377">
        <f>+(J36/I36)*100</f>
        <v>91.999595041904357</v>
      </c>
      <c r="L36" s="388"/>
      <c r="M36" s="666">
        <f>+'MATRIZ GENERAL CONSOLIDADA'!U36</f>
        <v>0</v>
      </c>
      <c r="N36" s="666">
        <f>+'MATRIZ GENERAL CONSOLIDADA'!W36</f>
        <v>0</v>
      </c>
      <c r="O36" s="377" t="s">
        <v>518</v>
      </c>
      <c r="P36" s="377">
        <f>+'MATRIZ GENERAL CONSOLIDADA'!E36</f>
        <v>1366192207</v>
      </c>
      <c r="Q36" s="377">
        <f>+'MATRIZ GENERAL CONSOLIDADA'!G36</f>
        <v>1366192207.0999999</v>
      </c>
      <c r="R36" s="506">
        <f t="shared" si="6"/>
        <v>100.00000000731961</v>
      </c>
      <c r="S36" s="823"/>
    </row>
    <row r="37" spans="1:19" ht="135" customHeight="1">
      <c r="A37" s="59"/>
      <c r="B37" s="414" t="s">
        <v>382</v>
      </c>
      <c r="C37" s="386" t="s">
        <v>487</v>
      </c>
      <c r="D37" s="645">
        <f>+'MATRIZ GENERAL CONSOLIDADA'!T37</f>
        <v>50</v>
      </c>
      <c r="E37" s="639">
        <f>+'MATRIZ GENERAL CONSOLIDADA'!V37</f>
        <v>50</v>
      </c>
      <c r="F37" s="639">
        <f>+(E37/D37)*100</f>
        <v>100</v>
      </c>
      <c r="G37" s="572"/>
      <c r="H37" s="377"/>
      <c r="I37" s="386">
        <f>+'MATRIZ GENERAL CONSOLIDADA'!D37</f>
        <v>100</v>
      </c>
      <c r="J37" s="377">
        <f>+'MATRIZ GENERAL CONSOLIDADA'!F37</f>
        <v>100</v>
      </c>
      <c r="K37" s="377">
        <f t="shared" ref="K37:K42" si="9">+(J37/I37)*100</f>
        <v>100</v>
      </c>
      <c r="L37" s="388"/>
      <c r="M37" s="666">
        <f>+'MATRIZ GENERAL CONSOLIDADA'!U37</f>
        <v>0</v>
      </c>
      <c r="N37" s="666">
        <f>+'MATRIZ GENERAL CONSOLIDADA'!W37</f>
        <v>0</v>
      </c>
      <c r="O37" s="377">
        <v>0</v>
      </c>
      <c r="P37" s="377">
        <f>+'MATRIZ GENERAL CONSOLIDADA'!E37</f>
        <v>49279933</v>
      </c>
      <c r="Q37" s="377">
        <f>+'MATRIZ GENERAL CONSOLIDADA'!G37</f>
        <v>49279933.395999998</v>
      </c>
      <c r="R37" s="506">
        <f t="shared" si="6"/>
        <v>100.00000080357252</v>
      </c>
      <c r="S37" s="377" t="s">
        <v>606</v>
      </c>
    </row>
    <row r="38" spans="1:19" ht="84.75" customHeight="1">
      <c r="A38" s="59"/>
      <c r="B38" s="414" t="s">
        <v>383</v>
      </c>
      <c r="C38" s="394" t="s">
        <v>509</v>
      </c>
      <c r="D38" s="645">
        <f>+'MATRIZ GENERAL CONSOLIDADA'!T38</f>
        <v>30</v>
      </c>
      <c r="E38" s="639">
        <f>+'MATRIZ GENERAL CONSOLIDADA'!V38</f>
        <v>30</v>
      </c>
      <c r="F38" s="639">
        <f>+(E38/D38)*100</f>
        <v>100</v>
      </c>
      <c r="G38" s="572"/>
      <c r="H38" s="377"/>
      <c r="I38" s="386">
        <v>100</v>
      </c>
      <c r="J38" s="377">
        <v>100</v>
      </c>
      <c r="K38" s="377">
        <f t="shared" si="9"/>
        <v>100</v>
      </c>
      <c r="L38" s="388"/>
      <c r="M38" s="666">
        <f>+'MATRIZ GENERAL CONSOLIDADA'!U38</f>
        <v>115182886</v>
      </c>
      <c r="N38" s="666">
        <f>+'MATRIZ GENERAL CONSOLIDADA'!W38</f>
        <v>114654332</v>
      </c>
      <c r="O38" s="377">
        <f>+(N38/M38)*100</f>
        <v>99.541117592764607</v>
      </c>
      <c r="P38" s="377">
        <f>+'MATRIZ GENERAL CONSOLIDADA'!E38</f>
        <v>296338658</v>
      </c>
      <c r="Q38" s="377">
        <f>+'MATRIZ GENERAL CONSOLIDADA'!G38</f>
        <v>295810105</v>
      </c>
      <c r="R38" s="506">
        <f t="shared" si="6"/>
        <v>99.821638862925539</v>
      </c>
      <c r="S38" s="377"/>
    </row>
    <row r="39" spans="1:19" ht="54" customHeight="1">
      <c r="A39" s="59"/>
      <c r="B39" s="414" t="s">
        <v>384</v>
      </c>
      <c r="C39" s="415" t="s">
        <v>189</v>
      </c>
      <c r="D39" s="645">
        <f>+'MATRIZ GENERAL CONSOLIDADA'!T39</f>
        <v>3</v>
      </c>
      <c r="E39" s="639">
        <f>+'MATRIZ GENERAL CONSOLIDADA'!V39</f>
        <v>3</v>
      </c>
      <c r="F39" s="639">
        <f>+(E39/D39)*100</f>
        <v>100</v>
      </c>
      <c r="G39" s="572"/>
      <c r="H39" s="377"/>
      <c r="I39" s="386">
        <f>+'MATRIZ GENERAL CONSOLIDADA'!D39</f>
        <v>3</v>
      </c>
      <c r="J39" s="523">
        <f>+'MATRIZ GENERAL CONSOLIDADA'!F39</f>
        <v>2.7</v>
      </c>
      <c r="K39" s="377">
        <f t="shared" si="9"/>
        <v>90</v>
      </c>
      <c r="L39" s="388"/>
      <c r="M39" s="666">
        <f>+'MATRIZ GENERAL CONSOLIDADA'!U39</f>
        <v>40080000</v>
      </c>
      <c r="N39" s="666">
        <f>+'MATRIZ GENERAL CONSOLIDADA'!W39</f>
        <v>40080000</v>
      </c>
      <c r="O39" s="377">
        <f>+(N39/M39)*100</f>
        <v>100</v>
      </c>
      <c r="P39" s="377">
        <f>+'MATRIZ GENERAL CONSOLIDADA'!E39</f>
        <v>115380000</v>
      </c>
      <c r="Q39" s="377">
        <f>+'MATRIZ GENERAL CONSOLIDADA'!G39</f>
        <v>115380000</v>
      </c>
      <c r="R39" s="506">
        <f t="shared" si="6"/>
        <v>100</v>
      </c>
      <c r="S39" s="377"/>
    </row>
    <row r="40" spans="1:19" ht="241.5" customHeight="1">
      <c r="A40" s="59"/>
      <c r="B40" s="414" t="str">
        <f>+'MATRIZ GENERAL CONSOLIDADA'!A40</f>
        <v>Investigación, Conocimiento y/o Manejo de Áreas de Importancia estratégica  y de la Biodiversidad</v>
      </c>
      <c r="C40" s="394" t="str">
        <f>+'MATRIZ GENERAL CONSOLIDADA'!C40</f>
        <v>Áreas estratégicas</v>
      </c>
      <c r="D40" s="645">
        <f>+'MATRIZ GENERAL CONSOLIDADA'!T40</f>
        <v>2</v>
      </c>
      <c r="E40" s="774">
        <f>+'MATRIZ GENERAL CONSOLIDADA'!V40</f>
        <v>2</v>
      </c>
      <c r="F40" s="639">
        <f t="shared" ref="F40:F44" si="10">+(E40/D40)*100</f>
        <v>100</v>
      </c>
      <c r="G40" s="572"/>
      <c r="H40" s="377"/>
      <c r="I40" s="386">
        <f>+'MATRIZ GENERAL CONSOLIDADA'!D40</f>
        <v>7</v>
      </c>
      <c r="J40" s="760">
        <f>+'MATRIZ GENERAL CONSOLIDADA'!F40</f>
        <v>7</v>
      </c>
      <c r="K40" s="377">
        <f t="shared" si="9"/>
        <v>100</v>
      </c>
      <c r="L40" s="388"/>
      <c r="M40" s="377">
        <f>+'MATRIZ GENERAL CONSOLIDADA'!U40</f>
        <v>1476355832</v>
      </c>
      <c r="N40" s="666">
        <f>+'MATRIZ GENERAL CONSOLIDADA'!W40</f>
        <v>1450446075.632</v>
      </c>
      <c r="O40" s="377">
        <f>+(N40/M40)*100</f>
        <v>98.245019540248606</v>
      </c>
      <c r="P40" s="377">
        <f>+'MATRIZ GENERAL CONSOLIDADA'!E40</f>
        <v>2270845778</v>
      </c>
      <c r="Q40" s="377">
        <f>+'MATRIZ GENERAL CONSOLIDADA'!G40</f>
        <v>2244936021.632</v>
      </c>
      <c r="R40" s="506">
        <f t="shared" si="6"/>
        <v>98.85902615584844</v>
      </c>
      <c r="S40" s="377" t="s">
        <v>618</v>
      </c>
    </row>
    <row r="41" spans="1:19" ht="55.5" customHeight="1">
      <c r="A41" s="59"/>
      <c r="B41" s="393" t="s">
        <v>379</v>
      </c>
      <c r="C41" s="394" t="s">
        <v>1</v>
      </c>
      <c r="D41" s="645">
        <f>+'MATRIZ GENERAL CONSOLIDADA'!T41</f>
        <v>0</v>
      </c>
      <c r="E41" s="639" t="s">
        <v>518</v>
      </c>
      <c r="F41" s="639" t="s">
        <v>518</v>
      </c>
      <c r="G41" s="572"/>
      <c r="H41" s="377"/>
      <c r="I41" s="386">
        <f>+'MATRIZ GENERAL CONSOLIDADA'!D41</f>
        <v>100</v>
      </c>
      <c r="J41" s="377">
        <f>+'MATRIZ GENERAL CONSOLIDADA'!F41</f>
        <v>99.6</v>
      </c>
      <c r="K41" s="377">
        <f t="shared" si="9"/>
        <v>99.6</v>
      </c>
      <c r="L41" s="388"/>
      <c r="M41" s="377">
        <f>+'MATRIZ GENERAL CONSOLIDADA'!U41</f>
        <v>0</v>
      </c>
      <c r="N41" s="666">
        <f>+'MATRIZ GENERAL CONSOLIDADA'!W41</f>
        <v>0</v>
      </c>
      <c r="O41" s="377">
        <v>0</v>
      </c>
      <c r="P41" s="377">
        <f>+'MATRIZ GENERAL CONSOLIDADA'!E41</f>
        <v>0</v>
      </c>
      <c r="Q41" s="377">
        <f>+'MATRIZ GENERAL CONSOLIDADA'!G41</f>
        <v>0</v>
      </c>
      <c r="R41" s="506">
        <v>0</v>
      </c>
      <c r="S41" s="822" t="s">
        <v>590</v>
      </c>
    </row>
    <row r="42" spans="1:19" ht="30" customHeight="1">
      <c r="A42" s="59"/>
      <c r="B42" s="389" t="s">
        <v>385</v>
      </c>
      <c r="C42" s="394" t="s">
        <v>132</v>
      </c>
      <c r="D42" s="645">
        <f>+'MATRIZ GENERAL CONSOLIDADA'!T42</f>
        <v>0</v>
      </c>
      <c r="E42" s="639" t="s">
        <v>518</v>
      </c>
      <c r="F42" s="639" t="s">
        <v>518</v>
      </c>
      <c r="G42" s="572"/>
      <c r="H42" s="377"/>
      <c r="I42" s="386">
        <f>+'MATRIZ GENERAL CONSOLIDADA'!D42</f>
        <v>3</v>
      </c>
      <c r="J42" s="377">
        <f>+'MATRIZ GENERAL CONSOLIDADA'!F42</f>
        <v>3</v>
      </c>
      <c r="K42" s="377">
        <f t="shared" si="9"/>
        <v>100</v>
      </c>
      <c r="L42" s="388"/>
      <c r="M42" s="377">
        <f>+'MATRIZ GENERAL CONSOLIDADA'!U42</f>
        <v>0</v>
      </c>
      <c r="N42" s="666">
        <f>+'MATRIZ GENERAL CONSOLIDADA'!W42</f>
        <v>0</v>
      </c>
      <c r="O42" s="377">
        <v>0</v>
      </c>
      <c r="P42" s="377">
        <f>+'MATRIZ GENERAL CONSOLIDADA'!E42</f>
        <v>36144000</v>
      </c>
      <c r="Q42" s="377">
        <f>+'MATRIZ GENERAL CONSOLIDADA'!G42</f>
        <v>36144000</v>
      </c>
      <c r="R42" s="506">
        <f t="shared" si="6"/>
        <v>100</v>
      </c>
      <c r="S42" s="823"/>
    </row>
    <row r="43" spans="1:19" ht="30" customHeight="1">
      <c r="A43" s="59"/>
      <c r="B43" s="393" t="s">
        <v>380</v>
      </c>
      <c r="C43" s="394" t="s">
        <v>1</v>
      </c>
      <c r="D43" s="645">
        <f>+'MATRIZ GENERAL CONSOLIDADA'!T43</f>
        <v>100</v>
      </c>
      <c r="E43" s="639">
        <f>+'MATRIZ GENERAL CONSOLIDADA'!V43</f>
        <v>100</v>
      </c>
      <c r="F43" s="639">
        <f t="shared" si="10"/>
        <v>100</v>
      </c>
      <c r="G43" s="572"/>
      <c r="H43" s="377"/>
      <c r="I43" s="386">
        <f>+'MATRIZ GENERAL CONSOLIDADA'!D43</f>
        <v>100</v>
      </c>
      <c r="J43" s="377">
        <f>+'MATRIZ GENERAL CONSOLIDADA'!F43</f>
        <v>100</v>
      </c>
      <c r="K43" s="377">
        <f>+(J43/I43)*100</f>
        <v>100</v>
      </c>
      <c r="L43" s="388"/>
      <c r="M43" s="377">
        <f>+'MATRIZ GENERAL CONSOLIDADA'!U43</f>
        <v>0</v>
      </c>
      <c r="N43" s="666">
        <f>+'MATRIZ GENERAL CONSOLIDADA'!W43</f>
        <v>0</v>
      </c>
      <c r="O43" s="377">
        <v>0</v>
      </c>
      <c r="P43" s="377">
        <f>+'MATRIZ GENERAL CONSOLIDADA'!E43</f>
        <v>0</v>
      </c>
      <c r="Q43" s="377">
        <f>+'MATRIZ GENERAL CONSOLIDADA'!G43</f>
        <v>0</v>
      </c>
      <c r="R43" s="506">
        <v>0</v>
      </c>
      <c r="S43" s="822" t="s">
        <v>591</v>
      </c>
    </row>
    <row r="44" spans="1:19" ht="42.75" customHeight="1">
      <c r="A44" s="59"/>
      <c r="B44" s="389" t="s">
        <v>386</v>
      </c>
      <c r="C44" s="394" t="s">
        <v>387</v>
      </c>
      <c r="D44" s="645">
        <f>+'MATRIZ GENERAL CONSOLIDADA'!T44</f>
        <v>1</v>
      </c>
      <c r="E44" s="639">
        <f>+'MATRIZ GENERAL CONSOLIDADA'!V44</f>
        <v>1</v>
      </c>
      <c r="F44" s="639">
        <f t="shared" si="10"/>
        <v>100</v>
      </c>
      <c r="G44" s="572"/>
      <c r="H44" s="377"/>
      <c r="I44" s="386">
        <f>+'MATRIZ GENERAL CONSOLIDADA'!D44</f>
        <v>1</v>
      </c>
      <c r="J44" s="377">
        <f>+'MATRIZ GENERAL CONSOLIDADA'!F44</f>
        <v>1</v>
      </c>
      <c r="K44" s="377">
        <f>+(J44/I44)*100</f>
        <v>100</v>
      </c>
      <c r="L44" s="388"/>
      <c r="M44" s="377">
        <f>+'MATRIZ GENERAL CONSOLIDADA'!U44</f>
        <v>40254210</v>
      </c>
      <c r="N44" s="666">
        <f>+'MATRIZ GENERAL CONSOLIDADA'!W44</f>
        <v>6024000</v>
      </c>
      <c r="O44" s="377">
        <f>+(N44/M44)*100</f>
        <v>14.964894355149436</v>
      </c>
      <c r="P44" s="377">
        <f>+'MATRIZ GENERAL CONSOLIDADA'!E44</f>
        <v>48893429</v>
      </c>
      <c r="Q44" s="377">
        <f>+'MATRIZ GENERAL CONSOLIDADA'!G44</f>
        <v>14663219</v>
      </c>
      <c r="R44" s="506">
        <f>+(Q44/P44)*100</f>
        <v>29.990162890804818</v>
      </c>
      <c r="S44" s="823"/>
    </row>
    <row r="45" spans="1:19" ht="30" customHeight="1">
      <c r="A45" s="59"/>
      <c r="B45" s="414" t="s">
        <v>514</v>
      </c>
      <c r="C45" s="394" t="s">
        <v>515</v>
      </c>
      <c r="D45" s="645" t="s">
        <v>518</v>
      </c>
      <c r="E45" s="639" t="s">
        <v>518</v>
      </c>
      <c r="F45" s="639" t="s">
        <v>518</v>
      </c>
      <c r="G45" s="572"/>
      <c r="H45" s="377"/>
      <c r="I45" s="386" t="s">
        <v>518</v>
      </c>
      <c r="J45" s="377" t="s">
        <v>518</v>
      </c>
      <c r="K45" s="377" t="s">
        <v>518</v>
      </c>
      <c r="L45" s="388"/>
      <c r="M45" s="666">
        <f>+'MATRIZ GENERAL CONSOLIDADA'!U45</f>
        <v>0</v>
      </c>
      <c r="N45" s="666">
        <f>+'MATRIZ GENERAL CONSOLIDADA'!W45</f>
        <v>0</v>
      </c>
      <c r="O45" s="377" t="s">
        <v>518</v>
      </c>
      <c r="P45" s="377">
        <f>+'MATRIZ GENERAL CONSOLIDADA'!E45</f>
        <v>54623470</v>
      </c>
      <c r="Q45" s="377">
        <f>+'MATRIZ GENERAL CONSOLIDADA'!G45</f>
        <v>54623470</v>
      </c>
      <c r="R45" s="506">
        <f t="shared" si="6"/>
        <v>100</v>
      </c>
      <c r="S45" s="377"/>
    </row>
    <row r="46" spans="1:19" ht="63.75" customHeight="1">
      <c r="A46" s="59"/>
      <c r="B46" s="333" t="s">
        <v>536</v>
      </c>
      <c r="C46" s="332"/>
      <c r="D46" s="332"/>
      <c r="E46" s="640"/>
      <c r="F46" s="640">
        <f>AVERAGE(F47:F53)</f>
        <v>100</v>
      </c>
      <c r="G46" s="396"/>
      <c r="H46" s="396"/>
      <c r="I46" s="396">
        <f>AVERAGE(I47:I53)</f>
        <v>45283</v>
      </c>
      <c r="J46" s="396">
        <f>AVERAGE(J47:J53)</f>
        <v>45450.700423809525</v>
      </c>
      <c r="K46" s="331">
        <f>+(J46/I46)*100</f>
        <v>100.37033859022044</v>
      </c>
      <c r="L46" s="331"/>
      <c r="M46" s="331">
        <f>SUM(M48:M54)</f>
        <v>2924210004.7000003</v>
      </c>
      <c r="N46" s="331">
        <f>SUM(N48:N54)</f>
        <v>2885533440.0079999</v>
      </c>
      <c r="O46" s="331">
        <f>+(N46/M46)*100</f>
        <v>98.677367062220682</v>
      </c>
      <c r="P46" s="331">
        <f>SUM(P47:P54)</f>
        <v>7035341239.1760006</v>
      </c>
      <c r="Q46" s="406">
        <f>SUM(Q47:Q54)</f>
        <v>6974976675.0080004</v>
      </c>
      <c r="R46" s="331">
        <f>+(Q46/P46)*100</f>
        <v>99.141981005386597</v>
      </c>
      <c r="S46" s="377"/>
    </row>
    <row r="47" spans="1:19" ht="111.75" customHeight="1">
      <c r="A47" s="59"/>
      <c r="B47" s="393" t="s">
        <v>388</v>
      </c>
      <c r="C47" s="386" t="s">
        <v>1</v>
      </c>
      <c r="D47" s="639">
        <f>+'MATRIZ GENERAL CONSOLIDADA'!T47</f>
        <v>100</v>
      </c>
      <c r="E47" s="639">
        <f>+'MATRIZ GENERAL CONSOLIDADA'!V47</f>
        <v>100</v>
      </c>
      <c r="F47" s="639">
        <f>+(E47/D47)*100</f>
        <v>100</v>
      </c>
      <c r="G47" s="572"/>
      <c r="H47" s="377"/>
      <c r="I47" s="386">
        <f>+'MATRIZ GENERAL CONSOLIDADA'!D47</f>
        <v>100</v>
      </c>
      <c r="J47" s="416">
        <f>+'MATRIZ GENERAL CONSOLIDADA'!F47</f>
        <v>100</v>
      </c>
      <c r="K47" s="377">
        <f t="shared" ref="K47:K53" si="11">+(J47/I47)*100</f>
        <v>100</v>
      </c>
      <c r="L47" s="388"/>
      <c r="M47" s="667">
        <f>+'MATRIZ GENERAL CONSOLIDADA'!U47</f>
        <v>0</v>
      </c>
      <c r="N47" s="667">
        <f>+'MATRIZ GENERAL CONSOLIDADA'!W47</f>
        <v>0</v>
      </c>
      <c r="O47" s="377">
        <v>0</v>
      </c>
      <c r="P47" s="377">
        <f>+'MATRIZ GENERAL CONSOLIDADA'!E47</f>
        <v>0</v>
      </c>
      <c r="Q47" s="377">
        <f>+'MATRIZ GENERAL CONSOLIDADA'!G47</f>
        <v>0</v>
      </c>
      <c r="R47" s="506">
        <v>0</v>
      </c>
      <c r="S47" s="822" t="s">
        <v>607</v>
      </c>
    </row>
    <row r="48" spans="1:19" ht="78" customHeight="1">
      <c r="A48" s="59"/>
      <c r="B48" s="389" t="str">
        <f>+'MATRIZ GENERAL CONSOLIDADA'!A48</f>
        <v xml:space="preserve">Áreas protegidas registradas con planes de manejo en ejcución </v>
      </c>
      <c r="C48" s="401" t="s">
        <v>453</v>
      </c>
      <c r="D48" s="639">
        <f>+'MATRIZ GENERAL CONSOLIDADA'!T48</f>
        <v>99948</v>
      </c>
      <c r="E48" s="639">
        <f>+'MATRIZ GENERAL CONSOLIDADA'!V48</f>
        <v>99948</v>
      </c>
      <c r="F48" s="639">
        <f>+(E48/D48)*100</f>
        <v>100</v>
      </c>
      <c r="G48" s="572"/>
      <c r="H48" s="377"/>
      <c r="I48" s="386">
        <f>+'MATRIZ GENERAL CONSOLIDADA'!D48</f>
        <v>99948</v>
      </c>
      <c r="J48" s="416">
        <f>+'MATRIZ GENERAL CONSOLIDADA'!F48</f>
        <v>101257.66666666667</v>
      </c>
      <c r="K48" s="377">
        <v>100</v>
      </c>
      <c r="L48" s="388"/>
      <c r="M48" s="667">
        <f>+'MATRIZ GENERAL CONSOLIDADA'!U48</f>
        <v>146880180.40000001</v>
      </c>
      <c r="N48" s="667">
        <f>+'MATRIZ GENERAL CONSOLIDADA'!W48</f>
        <v>146880180</v>
      </c>
      <c r="O48" s="603" t="s">
        <v>518</v>
      </c>
      <c r="P48" s="377">
        <f>+'MATRIZ GENERAL CONSOLIDADA'!E48</f>
        <v>1797198377.4000001</v>
      </c>
      <c r="Q48" s="377">
        <f>+'MATRIZ GENERAL CONSOLIDADA'!G48</f>
        <v>1797198377</v>
      </c>
      <c r="R48" s="506">
        <f t="shared" si="6"/>
        <v>99.99999997774313</v>
      </c>
      <c r="S48" s="838"/>
    </row>
    <row r="49" spans="1:20" ht="78" customHeight="1">
      <c r="A49" s="59"/>
      <c r="B49" s="389" t="str">
        <f>+'MATRIZ GENERAL CONSOLIDADA'!A49</f>
        <v xml:space="preserve">Áreas protegidas inscritas con planes de manejo en ejcución </v>
      </c>
      <c r="C49" s="401" t="s">
        <v>453</v>
      </c>
      <c r="D49" s="639">
        <f>+'MATRIZ GENERAL CONSOLIDADA'!T49</f>
        <v>216462</v>
      </c>
      <c r="E49" s="639">
        <f>+'MATRIZ GENERAL CONSOLIDADA'!V49</f>
        <v>216462</v>
      </c>
      <c r="F49" s="639">
        <f>+(E49/D49)*100</f>
        <v>100</v>
      </c>
      <c r="G49" s="572"/>
      <c r="H49" s="377"/>
      <c r="I49" s="386">
        <f>+'MATRIZ GENERAL CONSOLIDADA'!D49</f>
        <v>216462</v>
      </c>
      <c r="J49" s="416">
        <f>+'MATRIZ GENERAL CONSOLIDADA'!F49</f>
        <v>216326.78630000001</v>
      </c>
      <c r="K49" s="377">
        <f t="shared" si="11"/>
        <v>99.937534671212504</v>
      </c>
      <c r="L49" s="388"/>
      <c r="M49" s="667">
        <f>+'MATRIZ GENERAL CONSOLIDADA'!U49</f>
        <v>2406123543.3000002</v>
      </c>
      <c r="N49" s="667">
        <f>+'MATRIZ GENERAL CONSOLIDADA'!W49</f>
        <v>2398861471.0079999</v>
      </c>
      <c r="O49" s="377">
        <f>+N49/M49*100</f>
        <v>99.698183731578467</v>
      </c>
      <c r="P49" s="377">
        <f>+'MATRIZ GENERAL CONSOLIDADA'!E49</f>
        <v>4140767973.6199999</v>
      </c>
      <c r="Q49" s="377">
        <f>+'MATRIZ GENERAL CONSOLIDADA'!G49</f>
        <v>4133505901.3280001</v>
      </c>
      <c r="R49" s="506">
        <f t="shared" si="6"/>
        <v>99.824620158910989</v>
      </c>
      <c r="S49" s="823"/>
      <c r="T49" s="788"/>
    </row>
    <row r="50" spans="1:20" ht="56.25" customHeight="1">
      <c r="A50" s="59"/>
      <c r="B50" s="393" t="s">
        <v>548</v>
      </c>
      <c r="C50" s="386" t="s">
        <v>1</v>
      </c>
      <c r="D50" s="639">
        <f>+'MATRIZ GENERAL CONSOLIDADA'!T50</f>
        <v>25</v>
      </c>
      <c r="E50" s="639">
        <f>+'MATRIZ GENERAL CONSOLIDADA'!V50</f>
        <v>25</v>
      </c>
      <c r="F50" s="639">
        <f t="shared" ref="F50:F53" si="12">+(E50/D50)*100</f>
        <v>100</v>
      </c>
      <c r="G50" s="572"/>
      <c r="H50" s="377"/>
      <c r="I50" s="386">
        <f>+'MATRIZ GENERAL CONSOLIDADA'!D50</f>
        <v>100</v>
      </c>
      <c r="J50" s="416">
        <f>+'MATRIZ GENERAL CONSOLIDADA'!F50</f>
        <v>99.7</v>
      </c>
      <c r="K50" s="377">
        <f t="shared" si="11"/>
        <v>99.7</v>
      </c>
      <c r="L50" s="388"/>
      <c r="M50" s="667">
        <f>+'MATRIZ GENERAL CONSOLIDADA'!U50</f>
        <v>0</v>
      </c>
      <c r="N50" s="667">
        <f>+'MATRIZ GENERAL CONSOLIDADA'!W50</f>
        <v>0</v>
      </c>
      <c r="O50" s="377">
        <v>0</v>
      </c>
      <c r="P50" s="377">
        <f>+'MATRIZ GENERAL CONSOLIDADA'!E50</f>
        <v>0</v>
      </c>
      <c r="Q50" s="377">
        <f>+'MATRIZ GENERAL CONSOLIDADA'!G50</f>
        <v>0</v>
      </c>
      <c r="R50" s="506">
        <v>0</v>
      </c>
      <c r="S50" s="839"/>
    </row>
    <row r="51" spans="1:20" ht="314.25" customHeight="1">
      <c r="A51" s="59"/>
      <c r="B51" s="389" t="s">
        <v>391</v>
      </c>
      <c r="C51" s="394" t="s">
        <v>187</v>
      </c>
      <c r="D51" s="639">
        <f>+'MATRIZ GENERAL CONSOLIDADA'!T51</f>
        <v>267</v>
      </c>
      <c r="E51" s="639">
        <f>+'MATRIZ GENERAL CONSOLIDADA'!V51</f>
        <v>267</v>
      </c>
      <c r="F51" s="639">
        <f t="shared" si="12"/>
        <v>100</v>
      </c>
      <c r="G51" s="572"/>
      <c r="H51" s="377"/>
      <c r="I51" s="386">
        <f>+'MATRIZ GENERAL CONSOLIDADA'!D51</f>
        <v>267</v>
      </c>
      <c r="J51" s="416">
        <f>+'MATRIZ GENERAL CONSOLIDADA'!F51</f>
        <v>266.75</v>
      </c>
      <c r="K51" s="377">
        <f t="shared" si="11"/>
        <v>99.906367041198507</v>
      </c>
      <c r="L51" s="388"/>
      <c r="M51" s="667">
        <f>+'MATRIZ GENERAL CONSOLIDADA'!U51</f>
        <v>153492929</v>
      </c>
      <c r="N51" s="667">
        <f>+'MATRIZ GENERAL CONSOLIDADA'!W51</f>
        <v>123424801</v>
      </c>
      <c r="O51" s="377">
        <f>+N51/M51*100</f>
        <v>80.410740614637703</v>
      </c>
      <c r="P51" s="377">
        <f>+'MATRIZ GENERAL CONSOLIDADA'!E51</f>
        <v>554955922.65600002</v>
      </c>
      <c r="Q51" s="377">
        <f>+'MATRIZ GENERAL CONSOLIDADA'!G51</f>
        <v>503199795.18000019</v>
      </c>
      <c r="R51" s="506">
        <f t="shared" si="6"/>
        <v>90.673830954304123</v>
      </c>
      <c r="S51" s="840"/>
      <c r="T51" s="788"/>
    </row>
    <row r="52" spans="1:20" ht="107.25" customHeight="1">
      <c r="A52" s="59"/>
      <c r="B52" s="393" t="s">
        <v>390</v>
      </c>
      <c r="C52" s="394" t="s">
        <v>179</v>
      </c>
      <c r="D52" s="639">
        <f>+'MATRIZ GENERAL CONSOLIDADA'!T52</f>
        <v>100</v>
      </c>
      <c r="E52" s="639">
        <f>+'MATRIZ GENERAL CONSOLIDADA'!V52</f>
        <v>100</v>
      </c>
      <c r="F52" s="639">
        <f t="shared" si="12"/>
        <v>100</v>
      </c>
      <c r="G52" s="572"/>
      <c r="H52" s="377"/>
      <c r="I52" s="386">
        <f>+'MATRIZ GENERAL CONSOLIDADA'!D52</f>
        <v>100</v>
      </c>
      <c r="J52" s="416">
        <f>+'MATRIZ GENERAL CONSOLIDADA'!F52</f>
        <v>100</v>
      </c>
      <c r="K52" s="377">
        <f t="shared" si="11"/>
        <v>100</v>
      </c>
      <c r="L52" s="388"/>
      <c r="M52" s="667">
        <f>+'MATRIZ GENERAL CONSOLIDADA'!U52</f>
        <v>0</v>
      </c>
      <c r="N52" s="667">
        <f>+'MATRIZ GENERAL CONSOLIDADA'!W52</f>
        <v>0</v>
      </c>
      <c r="O52" s="377">
        <v>0</v>
      </c>
      <c r="P52" s="377">
        <f>+'MATRIZ GENERAL CONSOLIDADA'!E52</f>
        <v>0</v>
      </c>
      <c r="Q52" s="377">
        <f>+'MATRIZ GENERAL CONSOLIDADA'!G52</f>
        <v>0</v>
      </c>
      <c r="R52" s="506">
        <v>0</v>
      </c>
      <c r="S52" s="822" t="s">
        <v>623</v>
      </c>
    </row>
    <row r="53" spans="1:20" ht="107.25" customHeight="1">
      <c r="A53" s="59"/>
      <c r="B53" s="389" t="s">
        <v>455</v>
      </c>
      <c r="C53" s="385" t="s">
        <v>387</v>
      </c>
      <c r="D53" s="639">
        <f>+'MATRIZ GENERAL CONSOLIDADA'!T53</f>
        <v>4</v>
      </c>
      <c r="E53" s="662">
        <f>+'MATRIZ GENERAL CONSOLIDADA'!V53</f>
        <v>4</v>
      </c>
      <c r="F53" s="639">
        <f t="shared" si="12"/>
        <v>100</v>
      </c>
      <c r="G53" s="572"/>
      <c r="H53" s="377"/>
      <c r="I53" s="386">
        <f>+'MATRIZ GENERAL CONSOLIDADA'!D53</f>
        <v>4</v>
      </c>
      <c r="J53" s="762">
        <f>+'MATRIZ GENERAL CONSOLIDADA'!F53</f>
        <v>4</v>
      </c>
      <c r="K53" s="377">
        <f t="shared" si="11"/>
        <v>100</v>
      </c>
      <c r="L53" s="388"/>
      <c r="M53" s="667">
        <f>+'MATRIZ GENERAL CONSOLIDADA'!U53</f>
        <v>131812080</v>
      </c>
      <c r="N53" s="667">
        <f>+'MATRIZ GENERAL CONSOLIDADA'!W53</f>
        <v>130465716</v>
      </c>
      <c r="O53" s="377">
        <f>+N53/M53*100</f>
        <v>98.978573132295608</v>
      </c>
      <c r="P53" s="377">
        <f>+'MATRIZ GENERAL CONSOLIDADA'!E53</f>
        <v>341822518.5</v>
      </c>
      <c r="Q53" s="377">
        <f>+'MATRIZ GENERAL CONSOLIDADA'!G53</f>
        <v>340476154.5</v>
      </c>
      <c r="R53" s="506">
        <f t="shared" si="6"/>
        <v>99.606121912064722</v>
      </c>
      <c r="S53" s="823"/>
      <c r="T53" s="788"/>
    </row>
    <row r="54" spans="1:20" ht="107.25" customHeight="1" thickBot="1">
      <c r="A54" s="59"/>
      <c r="B54" s="414" t="s">
        <v>514</v>
      </c>
      <c r="C54" s="394" t="s">
        <v>550</v>
      </c>
      <c r="D54" s="639">
        <f>+'MATRIZ GENERAL CONSOLIDADA'!T54</f>
        <v>0</v>
      </c>
      <c r="E54" s="639" t="s">
        <v>518</v>
      </c>
      <c r="F54" s="639" t="s">
        <v>518</v>
      </c>
      <c r="G54" s="572"/>
      <c r="H54" s="377"/>
      <c r="I54" s="386">
        <f>+'MATRIZ GENERAL CONSOLIDADA'!D54</f>
        <v>0</v>
      </c>
      <c r="J54" s="416">
        <f>+'MATRIZ GENERAL CONSOLIDADA'!F54</f>
        <v>0</v>
      </c>
      <c r="K54" s="377" t="s">
        <v>518</v>
      </c>
      <c r="L54" s="388"/>
      <c r="M54" s="667">
        <f>+'MATRIZ GENERAL CONSOLIDADA'!U54</f>
        <v>85901272</v>
      </c>
      <c r="N54" s="667">
        <f>+'MATRIZ GENERAL CONSOLIDADA'!W54</f>
        <v>85901272</v>
      </c>
      <c r="O54" s="377">
        <f>+N54/M54*100</f>
        <v>100</v>
      </c>
      <c r="P54" s="377">
        <f>+'MATRIZ GENERAL CONSOLIDADA'!E54</f>
        <v>200596447</v>
      </c>
      <c r="Q54" s="377">
        <f>+'MATRIZ GENERAL CONSOLIDADA'!G54</f>
        <v>200596447</v>
      </c>
      <c r="R54" s="506">
        <f t="shared" si="6"/>
        <v>100</v>
      </c>
      <c r="S54" s="377"/>
      <c r="T54" s="788"/>
    </row>
    <row r="55" spans="1:20" ht="66.75" customHeight="1">
      <c r="A55" s="59"/>
      <c r="B55" s="407" t="s">
        <v>460</v>
      </c>
      <c r="C55" s="408"/>
      <c r="D55" s="408"/>
      <c r="E55" s="643"/>
      <c r="F55" s="649">
        <f>AVERAGE(F56,F64)</f>
        <v>100</v>
      </c>
      <c r="G55" s="409"/>
      <c r="H55" s="409"/>
      <c r="I55" s="508">
        <f>AVERAGE(I56,I69,I80)</f>
        <v>30.916666666666668</v>
      </c>
      <c r="J55" s="508">
        <f>AVERAGE(J56,J69,J80)</f>
        <v>30.916666666666668</v>
      </c>
      <c r="K55" s="740">
        <f>AVERAGE(K56,K64)</f>
        <v>100</v>
      </c>
      <c r="L55" s="411"/>
      <c r="M55" s="411">
        <f>+M56+M64</f>
        <v>3393001759.0880003</v>
      </c>
      <c r="N55" s="411">
        <f>+N56+N64</f>
        <v>3366783846.4919996</v>
      </c>
      <c r="O55" s="411">
        <f>+N55/M55*100</f>
        <v>99.227294459079573</v>
      </c>
      <c r="P55" s="526">
        <f>+P56+P64</f>
        <v>20761453587.976002</v>
      </c>
      <c r="Q55" s="526">
        <f>+Q56+Q64</f>
        <v>20595152580.380001</v>
      </c>
      <c r="R55" s="381">
        <f t="shared" si="6"/>
        <v>99.198991501768859</v>
      </c>
      <c r="S55" s="377"/>
    </row>
    <row r="56" spans="1:20" ht="47.25" customHeight="1">
      <c r="A56" s="59"/>
      <c r="B56" s="333" t="s">
        <v>461</v>
      </c>
      <c r="C56" s="412"/>
      <c r="D56" s="332"/>
      <c r="E56" s="640"/>
      <c r="F56" s="640">
        <f>AVERAGE(F57:F62)</f>
        <v>100</v>
      </c>
      <c r="G56" s="396"/>
      <c r="H56" s="396"/>
      <c r="I56" s="396">
        <f>AVERAGE(I57:I62)</f>
        <v>36.916666666666664</v>
      </c>
      <c r="J56" s="396">
        <f>AVERAGE(J57:J62)</f>
        <v>36.916666666666664</v>
      </c>
      <c r="K56" s="520">
        <f>+(J56/I56)*100</f>
        <v>100</v>
      </c>
      <c r="L56" s="331"/>
      <c r="M56" s="331">
        <f>+SUM(M57:M63)</f>
        <v>2843001759.0880003</v>
      </c>
      <c r="N56" s="331">
        <f>+SUM(N57:N63)</f>
        <v>2821240238.4919996</v>
      </c>
      <c r="O56" s="331">
        <f>+N56/M56*100</f>
        <v>99.23455831406234</v>
      </c>
      <c r="P56" s="331">
        <f>SUM(P57:P63)</f>
        <v>18773972582.088001</v>
      </c>
      <c r="Q56" s="406">
        <f>SUM(Q57:Q63)</f>
        <v>18612127966.492001</v>
      </c>
      <c r="R56" s="331">
        <f t="shared" si="6"/>
        <v>99.137930904669503</v>
      </c>
      <c r="S56" s="377"/>
    </row>
    <row r="57" spans="1:20" ht="93.75" customHeight="1">
      <c r="A57" s="59"/>
      <c r="B57" s="384" t="s">
        <v>394</v>
      </c>
      <c r="C57" s="394" t="s">
        <v>1</v>
      </c>
      <c r="D57" s="639">
        <f>+'[2]MATRIZ GENERAL CONSOLIDADA'!T57</f>
        <v>25</v>
      </c>
      <c r="E57" s="639">
        <f>+'MATRIZ GENERAL CONSOLIDADA'!V57</f>
        <v>25</v>
      </c>
      <c r="F57" s="639">
        <f>+(E57/D57)*100</f>
        <v>100</v>
      </c>
      <c r="G57" s="572"/>
      <c r="H57" s="377"/>
      <c r="I57" s="386">
        <f>+'MATRIZ GENERAL CONSOLIDADA'!D57</f>
        <v>100</v>
      </c>
      <c r="J57" s="377">
        <f>+'MATRIZ GENERAL CONSOLIDADA'!F57</f>
        <v>100</v>
      </c>
      <c r="K57" s="377">
        <f t="shared" ref="K57:K62" si="13">+(J57/I57)*100</f>
        <v>100</v>
      </c>
      <c r="L57" s="388"/>
      <c r="M57" s="666">
        <f>+'MATRIZ GENERAL CONSOLIDADA'!U57</f>
        <v>349607558.60000002</v>
      </c>
      <c r="N57" s="666">
        <f>+'MATRIZ GENERAL CONSOLIDADA'!W57</f>
        <v>346589043</v>
      </c>
      <c r="O57" s="377">
        <f>+N57/M57*100</f>
        <v>99.136598873294488</v>
      </c>
      <c r="P57" s="377">
        <f>+'MATRIZ GENERAL CONSOLIDADA'!E57</f>
        <v>888909547.60000002</v>
      </c>
      <c r="Q57" s="377">
        <f>+'MATRIZ GENERAL CONSOLIDADA'!G57</f>
        <v>885467060</v>
      </c>
      <c r="R57" s="506">
        <f t="shared" si="6"/>
        <v>99.612729145581298</v>
      </c>
      <c r="S57" s="377"/>
    </row>
    <row r="58" spans="1:20" ht="93.75" customHeight="1">
      <c r="A58" s="59"/>
      <c r="B58" s="393" t="s">
        <v>395</v>
      </c>
      <c r="C58" s="394" t="s">
        <v>1</v>
      </c>
      <c r="D58" s="639">
        <f>+'[2]MATRIZ GENERAL CONSOLIDADA'!T58</f>
        <v>27</v>
      </c>
      <c r="E58" s="639">
        <f>+'MATRIZ GENERAL CONSOLIDADA'!V58</f>
        <v>27</v>
      </c>
      <c r="F58" s="639">
        <f t="shared" ref="F58:F62" si="14">+(E58/D58)*100</f>
        <v>100</v>
      </c>
      <c r="G58" s="572"/>
      <c r="H58" s="377"/>
      <c r="I58" s="386">
        <f>+'MATRIZ GENERAL CONSOLIDADA'!D58</f>
        <v>100</v>
      </c>
      <c r="J58" s="377">
        <f>+'MATRIZ GENERAL CONSOLIDADA'!F58</f>
        <v>100</v>
      </c>
      <c r="K58" s="377">
        <f t="shared" si="13"/>
        <v>100</v>
      </c>
      <c r="L58" s="388"/>
      <c r="M58" s="666">
        <f>+'MATRIZ GENERAL CONSOLIDADA'!U58</f>
        <v>0</v>
      </c>
      <c r="N58" s="666">
        <f>+'MATRIZ GENERAL CONSOLIDADA'!W58</f>
        <v>0</v>
      </c>
      <c r="O58" s="377">
        <v>0</v>
      </c>
      <c r="P58" s="377">
        <f>+'MATRIZ GENERAL CONSOLIDADA'!E58</f>
        <v>0</v>
      </c>
      <c r="Q58" s="377">
        <f>+'MATRIZ GENERAL CONSOLIDADA'!G58</f>
        <v>0</v>
      </c>
      <c r="R58" s="506">
        <v>0</v>
      </c>
      <c r="S58" s="822" t="s">
        <v>613</v>
      </c>
    </row>
    <row r="59" spans="1:20" ht="57.75" customHeight="1">
      <c r="A59" s="59"/>
      <c r="B59" s="417" t="s">
        <v>396</v>
      </c>
      <c r="C59" s="394" t="s">
        <v>489</v>
      </c>
      <c r="D59" s="639">
        <f>+'[2]MATRIZ GENERAL CONSOLIDADA'!T59</f>
        <v>3</v>
      </c>
      <c r="E59" s="639">
        <f>+'MATRIZ GENERAL CONSOLIDADA'!V59</f>
        <v>3</v>
      </c>
      <c r="F59" s="639">
        <f>+(E59/D59)*100</f>
        <v>100</v>
      </c>
      <c r="G59" s="572"/>
      <c r="H59" s="377"/>
      <c r="I59" s="386">
        <f>+'MATRIZ GENERAL CONSOLIDADA'!D59</f>
        <v>11</v>
      </c>
      <c r="J59" s="377">
        <f>+'MATRIZ GENERAL CONSOLIDADA'!F59</f>
        <v>11</v>
      </c>
      <c r="K59" s="377">
        <f t="shared" si="13"/>
        <v>100</v>
      </c>
      <c r="L59" s="388"/>
      <c r="M59" s="666">
        <f>+'MATRIZ GENERAL CONSOLIDADA'!U59</f>
        <v>287247164</v>
      </c>
      <c r="N59" s="666">
        <f>+'MATRIZ GENERAL CONSOLIDADA'!W59</f>
        <v>269415046.44800001</v>
      </c>
      <c r="O59" s="377">
        <f>+N59/M59*100</f>
        <v>93.79206488806274</v>
      </c>
      <c r="P59" s="377">
        <f>+'MATRIZ GENERAL CONSOLIDADA'!E59</f>
        <v>2491671683</v>
      </c>
      <c r="Q59" s="377">
        <f>+'MATRIZ GENERAL CONSOLIDADA'!G59</f>
        <v>2414398744.448</v>
      </c>
      <c r="R59" s="506">
        <f t="shared" si="6"/>
        <v>96.898751184627884</v>
      </c>
      <c r="S59" s="823"/>
    </row>
    <row r="60" spans="1:20" ht="61.5" customHeight="1">
      <c r="A60" s="59"/>
      <c r="B60" s="418" t="s">
        <v>519</v>
      </c>
      <c r="C60" s="394" t="s">
        <v>397</v>
      </c>
      <c r="D60" s="639">
        <f>+'[2]MATRIZ GENERAL CONSOLIDADA'!T60</f>
        <v>1</v>
      </c>
      <c r="E60" s="639">
        <f>+'MATRIZ GENERAL CONSOLIDADA'!V60</f>
        <v>1</v>
      </c>
      <c r="F60" s="639">
        <f>+(E60/D60)*100</f>
        <v>100</v>
      </c>
      <c r="G60" s="572"/>
      <c r="H60" s="377"/>
      <c r="I60" s="386">
        <f>+'MATRIZ GENERAL CONSOLIDADA'!D60</f>
        <v>1</v>
      </c>
      <c r="J60" s="377">
        <f>+'MATRIZ GENERAL CONSOLIDADA'!F60</f>
        <v>1</v>
      </c>
      <c r="K60" s="377">
        <f t="shared" si="13"/>
        <v>100</v>
      </c>
      <c r="L60" s="388"/>
      <c r="M60" s="666">
        <f>+'MATRIZ GENERAL CONSOLIDADA'!U60</f>
        <v>43241900.487999998</v>
      </c>
      <c r="N60" s="666">
        <f>+'MATRIZ GENERAL CONSOLIDADA'!W60</f>
        <v>43241900</v>
      </c>
      <c r="O60" s="377">
        <f>+N60/M60*100</f>
        <v>99.999998871464953</v>
      </c>
      <c r="P60" s="377">
        <f>+'MATRIZ GENERAL CONSOLIDADA'!E60</f>
        <v>160033113.48800001</v>
      </c>
      <c r="Q60" s="377">
        <f>+'MATRIZ GENERAL CONSOLIDADA'!G60</f>
        <v>159704480</v>
      </c>
      <c r="R60" s="506">
        <f t="shared" si="6"/>
        <v>99.794646569802154</v>
      </c>
      <c r="S60" s="377"/>
    </row>
    <row r="61" spans="1:20" ht="56.25" customHeight="1">
      <c r="A61" s="59"/>
      <c r="B61" s="418" t="s">
        <v>398</v>
      </c>
      <c r="C61" s="394" t="s">
        <v>399</v>
      </c>
      <c r="D61" s="639">
        <f>+'[2]MATRIZ GENERAL CONSOLIDADA'!T61</f>
        <v>2</v>
      </c>
      <c r="E61" s="639">
        <f>+'MATRIZ GENERAL CONSOLIDADA'!V61</f>
        <v>2</v>
      </c>
      <c r="F61" s="639">
        <f>+(E61/D61)*100</f>
        <v>100</v>
      </c>
      <c r="G61" s="572"/>
      <c r="H61" s="377"/>
      <c r="I61" s="386">
        <f>+'MATRIZ GENERAL CONSOLIDADA'!D61</f>
        <v>8</v>
      </c>
      <c r="J61" s="377">
        <f>+'MATRIZ GENERAL CONSOLIDADA'!F61</f>
        <v>8</v>
      </c>
      <c r="K61" s="377">
        <f t="shared" si="13"/>
        <v>100</v>
      </c>
      <c r="L61" s="388"/>
      <c r="M61" s="666">
        <f>+'MATRIZ GENERAL CONSOLIDADA'!U61</f>
        <v>0</v>
      </c>
      <c r="N61" s="666">
        <f>+'MATRIZ GENERAL CONSOLIDADA'!W61</f>
        <v>0</v>
      </c>
      <c r="O61" s="377">
        <v>0</v>
      </c>
      <c r="P61" s="377">
        <f>+'MATRIZ GENERAL CONSOLIDADA'!E61</f>
        <v>0</v>
      </c>
      <c r="Q61" s="377">
        <f>+'MATRIZ GENERAL CONSOLIDADA'!G61</f>
        <v>0</v>
      </c>
      <c r="R61" s="506" t="e">
        <f>+(Q61/P61)*100</f>
        <v>#DIV/0!</v>
      </c>
      <c r="S61" s="377"/>
    </row>
    <row r="62" spans="1:20" ht="102" customHeight="1">
      <c r="A62" s="59"/>
      <c r="B62" s="414" t="s">
        <v>400</v>
      </c>
      <c r="C62" s="394" t="s">
        <v>399</v>
      </c>
      <c r="D62" s="639">
        <f>+'[2]MATRIZ GENERAL CONSOLIDADA'!T62</f>
        <v>2</v>
      </c>
      <c r="E62" s="639">
        <f>+'MATRIZ GENERAL CONSOLIDADA'!V62</f>
        <v>2</v>
      </c>
      <c r="F62" s="639">
        <f t="shared" si="14"/>
        <v>100</v>
      </c>
      <c r="G62" s="572"/>
      <c r="H62" s="377"/>
      <c r="I62" s="386">
        <f>+'MATRIZ GENERAL CONSOLIDADA'!D62</f>
        <v>1.5</v>
      </c>
      <c r="J62" s="377">
        <f>+'MATRIZ GENERAL CONSOLIDADA'!F62</f>
        <v>1.5</v>
      </c>
      <c r="K62" s="377">
        <f t="shared" si="13"/>
        <v>100</v>
      </c>
      <c r="L62" s="388"/>
      <c r="M62" s="666">
        <f>+'MATRIZ GENERAL CONSOLIDADA'!U62</f>
        <v>2104913572</v>
      </c>
      <c r="N62" s="666">
        <f>+'MATRIZ GENERAL CONSOLIDADA'!W62</f>
        <v>2104002685.0439999</v>
      </c>
      <c r="O62" s="377">
        <f>+N62/M62*100</f>
        <v>99.956725683746967</v>
      </c>
      <c r="P62" s="377">
        <f>+'MATRIZ GENERAL CONSOLIDADA'!E62</f>
        <v>15122012618</v>
      </c>
      <c r="Q62" s="377">
        <f>+'MATRIZ GENERAL CONSOLIDADA'!G62</f>
        <v>15042242377.044001</v>
      </c>
      <c r="R62" s="506">
        <f t="shared" si="6"/>
        <v>99.472489258069743</v>
      </c>
      <c r="S62" s="377"/>
    </row>
    <row r="63" spans="1:20" ht="56.25" customHeight="1">
      <c r="A63" s="59"/>
      <c r="B63" s="414" t="s">
        <v>514</v>
      </c>
      <c r="C63" s="394" t="str">
        <f>+'MATRIZ GENERAL CONSOLIDADA'!C54</f>
        <v>Global</v>
      </c>
      <c r="D63" s="639" t="s">
        <v>518</v>
      </c>
      <c r="E63" s="639" t="s">
        <v>518</v>
      </c>
      <c r="F63" s="639" t="s">
        <v>518</v>
      </c>
      <c r="G63" s="386"/>
      <c r="H63" s="377"/>
      <c r="I63" s="386">
        <f>+'MATRIZ GENERAL CONSOLIDADA'!D63</f>
        <v>0</v>
      </c>
      <c r="J63" s="377">
        <f>+'MATRIZ GENERAL CONSOLIDADA'!F63</f>
        <v>0</v>
      </c>
      <c r="K63" s="377" t="s">
        <v>518</v>
      </c>
      <c r="L63" s="388"/>
      <c r="M63" s="666">
        <f>+'MATRIZ GENERAL CONSOLIDADA'!U63</f>
        <v>57991564</v>
      </c>
      <c r="N63" s="666">
        <f>+'MATRIZ GENERAL CONSOLIDADA'!W63</f>
        <v>57991564</v>
      </c>
      <c r="O63" s="377">
        <f>+N63/M63*100</f>
        <v>100</v>
      </c>
      <c r="P63" s="377">
        <f>+'MATRIZ GENERAL CONSOLIDADA'!E63</f>
        <v>111345620</v>
      </c>
      <c r="Q63" s="377">
        <f>+'MATRIZ GENERAL CONSOLIDADA'!G63</f>
        <v>110315305</v>
      </c>
      <c r="R63" s="506">
        <f t="shared" si="6"/>
        <v>99.074669484080289</v>
      </c>
      <c r="S63" s="377"/>
    </row>
    <row r="64" spans="1:20" ht="61.5" customHeight="1">
      <c r="A64" s="59"/>
      <c r="B64" s="333" t="s">
        <v>537</v>
      </c>
      <c r="C64" s="332"/>
      <c r="D64" s="332"/>
      <c r="E64" s="640"/>
      <c r="F64" s="640">
        <f>AVERAGE(F65:F68)</f>
        <v>100</v>
      </c>
      <c r="G64" s="522"/>
      <c r="H64" s="522"/>
      <c r="I64" s="396">
        <f>AVERAGE(I65:I68)</f>
        <v>28.5</v>
      </c>
      <c r="J64" s="396">
        <f>AVERAGE(J65:J68)</f>
        <v>28.5</v>
      </c>
      <c r="K64" s="331">
        <f t="shared" ref="K64:K70" si="15">+(J64/I64)*100</f>
        <v>100</v>
      </c>
      <c r="L64" s="331"/>
      <c r="M64" s="331">
        <f>SUM(M65:M68)</f>
        <v>550000000</v>
      </c>
      <c r="N64" s="331">
        <f>SUM(N65:N68)</f>
        <v>545543608</v>
      </c>
      <c r="O64" s="331">
        <f>+N64/M64*100</f>
        <v>99.189746909090914</v>
      </c>
      <c r="P64" s="331">
        <f>SUM(P65:P68)</f>
        <v>1987481005.888</v>
      </c>
      <c r="Q64" s="406">
        <f>SUM(Q65:Q68)</f>
        <v>1983024613.888</v>
      </c>
      <c r="R64" s="406">
        <f t="shared" si="6"/>
        <v>99.775776876015527</v>
      </c>
      <c r="S64" s="377"/>
    </row>
    <row r="65" spans="1:19" ht="54.75" customHeight="1">
      <c r="A65" s="59"/>
      <c r="B65" s="384" t="s">
        <v>401</v>
      </c>
      <c r="C65" s="394" t="s">
        <v>1</v>
      </c>
      <c r="D65" s="639">
        <f>+'[2]MATRIZ GENERAL CONSOLIDADA'!T65</f>
        <v>20</v>
      </c>
      <c r="E65" s="639">
        <f>+'MATRIZ GENERAL CONSOLIDADA'!V65</f>
        <v>20</v>
      </c>
      <c r="F65" s="639">
        <f t="shared" ref="F65:F115" si="16">+(E65/D65)*100</f>
        <v>100</v>
      </c>
      <c r="G65" s="572"/>
      <c r="H65" s="377"/>
      <c r="I65" s="386">
        <f>+'MATRIZ GENERAL CONSOLIDADA'!D65</f>
        <v>100</v>
      </c>
      <c r="J65" s="377">
        <f>+'MATRIZ GENERAL CONSOLIDADA'!F65</f>
        <v>100</v>
      </c>
      <c r="K65" s="377">
        <f t="shared" si="15"/>
        <v>100</v>
      </c>
      <c r="L65" s="388"/>
      <c r="M65" s="666">
        <f>+'MATRIZ GENERAL CONSOLIDADA'!U65</f>
        <v>0</v>
      </c>
      <c r="N65" s="669">
        <f>+'MATRIZ GENERAL CONSOLIDADA'!W65</f>
        <v>0</v>
      </c>
      <c r="O65" s="377">
        <v>0</v>
      </c>
      <c r="P65" s="377">
        <f>+'MATRIZ GENERAL CONSOLIDADA'!E65</f>
        <v>52999999.508000001</v>
      </c>
      <c r="Q65" s="377">
        <f>+'MATRIZ GENERAL CONSOLIDADA'!G65</f>
        <v>52999999.508000001</v>
      </c>
      <c r="R65" s="506">
        <v>0</v>
      </c>
      <c r="S65" s="822" t="s">
        <v>609</v>
      </c>
    </row>
    <row r="66" spans="1:19" ht="66" customHeight="1">
      <c r="A66" s="59"/>
      <c r="B66" s="397" t="s">
        <v>403</v>
      </c>
      <c r="C66" s="385" t="s">
        <v>130</v>
      </c>
      <c r="D66" s="639">
        <f>+'[2]MATRIZ GENERAL CONSOLIDADA'!T66</f>
        <v>2</v>
      </c>
      <c r="E66" s="639">
        <f>+'MATRIZ GENERAL CONSOLIDADA'!V66</f>
        <v>2</v>
      </c>
      <c r="F66" s="639">
        <f>+(E66/D66)*100</f>
        <v>100</v>
      </c>
      <c r="G66" s="572"/>
      <c r="H66" s="377"/>
      <c r="I66" s="386">
        <f>+'MATRIZ GENERAL CONSOLIDADA'!D66</f>
        <v>8</v>
      </c>
      <c r="J66" s="377">
        <f>+'MATRIZ GENERAL CONSOLIDADA'!F66</f>
        <v>8</v>
      </c>
      <c r="K66" s="377">
        <f t="shared" si="15"/>
        <v>100</v>
      </c>
      <c r="L66" s="388"/>
      <c r="M66" s="666">
        <f>+'MATRIZ GENERAL CONSOLIDADA'!U66</f>
        <v>150000000</v>
      </c>
      <c r="N66" s="669">
        <f>+'MATRIZ GENERAL CONSOLIDADA'!W66</f>
        <v>149999909.19999999</v>
      </c>
      <c r="O66" s="377">
        <v>0</v>
      </c>
      <c r="P66" s="377">
        <f>+'MATRIZ GENERAL CONSOLIDADA'!E66</f>
        <v>419638592.88999999</v>
      </c>
      <c r="Q66" s="377">
        <f>+'MATRIZ GENERAL CONSOLIDADA'!G66</f>
        <v>419638502.08999997</v>
      </c>
      <c r="R66" s="506">
        <f t="shared" si="6"/>
        <v>99.999978362333323</v>
      </c>
      <c r="S66" s="823"/>
    </row>
    <row r="67" spans="1:19" ht="96" customHeight="1">
      <c r="A67" s="59"/>
      <c r="B67" s="395" t="s">
        <v>404</v>
      </c>
      <c r="C67" s="394" t="s">
        <v>406</v>
      </c>
      <c r="D67" s="639" t="s">
        <v>518</v>
      </c>
      <c r="E67" s="639">
        <f>+'MATRIZ GENERAL CONSOLIDADA'!V67</f>
        <v>0</v>
      </c>
      <c r="F67" s="639" t="s">
        <v>518</v>
      </c>
      <c r="G67" s="572"/>
      <c r="H67" s="377"/>
      <c r="I67" s="386">
        <f>+'MATRIZ GENERAL CONSOLIDADA'!D67</f>
        <v>2</v>
      </c>
      <c r="J67" s="377">
        <f>+'MATRIZ GENERAL CONSOLIDADA'!F67</f>
        <v>2</v>
      </c>
      <c r="K67" s="377">
        <f>+(J67/I67)*100</f>
        <v>100</v>
      </c>
      <c r="L67" s="388"/>
      <c r="M67" s="666">
        <f>+'MATRIZ GENERAL CONSOLIDADA'!U67</f>
        <v>0</v>
      </c>
      <c r="N67" s="669">
        <f>+'MATRIZ GENERAL CONSOLIDADA'!W67</f>
        <v>0</v>
      </c>
      <c r="O67" s="377">
        <v>0</v>
      </c>
      <c r="P67" s="377">
        <f>+'MATRIZ GENERAL CONSOLIDADA'!E67</f>
        <v>129896750</v>
      </c>
      <c r="Q67" s="377">
        <f>+'MATRIZ GENERAL CONSOLIDADA'!G67</f>
        <v>129896750</v>
      </c>
      <c r="R67" s="506">
        <f t="shared" si="6"/>
        <v>100</v>
      </c>
      <c r="S67" s="377" t="s">
        <v>608</v>
      </c>
    </row>
    <row r="68" spans="1:19" ht="80.25" customHeight="1" thickBot="1">
      <c r="A68" s="59"/>
      <c r="B68" s="395" t="s">
        <v>405</v>
      </c>
      <c r="C68" s="394" t="s">
        <v>130</v>
      </c>
      <c r="D68" s="639">
        <f>+'[2]MATRIZ GENERAL CONSOLIDADA'!T68</f>
        <v>1</v>
      </c>
      <c r="E68" s="639">
        <f>+'MATRIZ GENERAL CONSOLIDADA'!V68</f>
        <v>1</v>
      </c>
      <c r="F68" s="639">
        <f t="shared" si="16"/>
        <v>100</v>
      </c>
      <c r="G68" s="572"/>
      <c r="H68" s="377"/>
      <c r="I68" s="386">
        <f>+'MATRIZ GENERAL CONSOLIDADA'!D68</f>
        <v>4</v>
      </c>
      <c r="J68" s="377">
        <f>+'MATRIZ GENERAL CONSOLIDADA'!F68</f>
        <v>4</v>
      </c>
      <c r="K68" s="377">
        <f t="shared" si="15"/>
        <v>100</v>
      </c>
      <c r="L68" s="388"/>
      <c r="M68" s="666">
        <f>+'MATRIZ GENERAL CONSOLIDADA'!U68</f>
        <v>400000000</v>
      </c>
      <c r="N68" s="669">
        <f>+'MATRIZ GENERAL CONSOLIDADA'!W68</f>
        <v>395543698.80000001</v>
      </c>
      <c r="O68" s="377">
        <v>0</v>
      </c>
      <c r="P68" s="377">
        <f>+'MATRIZ GENERAL CONSOLIDADA'!E68</f>
        <v>1384945663.49</v>
      </c>
      <c r="Q68" s="377">
        <f>+'MATRIZ GENERAL CONSOLIDADA'!G68</f>
        <v>1380489362.29</v>
      </c>
      <c r="R68" s="506">
        <f t="shared" si="6"/>
        <v>99.678232777106189</v>
      </c>
      <c r="S68" s="377"/>
    </row>
    <row r="69" spans="1:19" ht="51" customHeight="1">
      <c r="A69" s="59"/>
      <c r="B69" s="407" t="s">
        <v>462</v>
      </c>
      <c r="C69" s="408"/>
      <c r="D69" s="408"/>
      <c r="E69" s="641"/>
      <c r="F69" s="641">
        <f>AVERAGE(F70)</f>
        <v>100</v>
      </c>
      <c r="G69" s="409"/>
      <c r="H69" s="409"/>
      <c r="I69" s="409">
        <f>AVERAGE(I70)</f>
        <v>54.833333333333336</v>
      </c>
      <c r="J69" s="409">
        <f>AVERAGE(J70)</f>
        <v>54.833333333333336</v>
      </c>
      <c r="K69" s="411">
        <f t="shared" si="15"/>
        <v>100</v>
      </c>
      <c r="L69" s="411"/>
      <c r="M69" s="411">
        <f>+M70</f>
        <v>1768739349.5569079</v>
      </c>
      <c r="N69" s="411">
        <f>+N70</f>
        <v>1755850232.8600001</v>
      </c>
      <c r="O69" s="411">
        <f>+N69/M69*100</f>
        <v>99.271282300575464</v>
      </c>
      <c r="P69" s="411">
        <f>+P70</f>
        <v>9009289535.3049088</v>
      </c>
      <c r="Q69" s="411">
        <f>+Q70</f>
        <v>8995999030.6079998</v>
      </c>
      <c r="R69" s="381">
        <f t="shared" si="6"/>
        <v>99.852479991404124</v>
      </c>
      <c r="S69" s="377"/>
    </row>
    <row r="70" spans="1:19" ht="63.75" customHeight="1">
      <c r="A70" s="59"/>
      <c r="B70" s="333" t="s">
        <v>463</v>
      </c>
      <c r="C70" s="412"/>
      <c r="D70" s="331"/>
      <c r="E70" s="640"/>
      <c r="F70" s="640">
        <f>AVERAGE(F71:F85)</f>
        <v>100</v>
      </c>
      <c r="G70" s="522"/>
      <c r="H70" s="522"/>
      <c r="I70" s="396">
        <f>AVERAGE(I71:I85)</f>
        <v>54.833333333333336</v>
      </c>
      <c r="J70" s="396">
        <f>AVERAGE(J71:J85)</f>
        <v>54.833333333333336</v>
      </c>
      <c r="K70" s="331">
        <f t="shared" si="15"/>
        <v>100</v>
      </c>
      <c r="L70" s="331"/>
      <c r="M70" s="331">
        <f>SUM(M71:M86)</f>
        <v>1768739349.5569079</v>
      </c>
      <c r="N70" s="331">
        <f>SUM(N71:N86)</f>
        <v>1755850232.8600001</v>
      </c>
      <c r="O70" s="406">
        <f>+N70/M70*100</f>
        <v>99.271282300575464</v>
      </c>
      <c r="P70" s="406">
        <f>SUM(P71:P86)</f>
        <v>9009289535.3049088</v>
      </c>
      <c r="Q70" s="406">
        <f>SUM(Q71:Q86)</f>
        <v>8995999030.6079998</v>
      </c>
      <c r="R70" s="406">
        <f t="shared" si="6"/>
        <v>99.852479991404124</v>
      </c>
      <c r="S70" s="377"/>
    </row>
    <row r="71" spans="1:19" ht="102.75" customHeight="1">
      <c r="A71" s="59"/>
      <c r="B71" s="384" t="s">
        <v>408</v>
      </c>
      <c r="C71" s="394" t="s">
        <v>179</v>
      </c>
      <c r="D71" s="639">
        <f>+'[2]MATRIZ GENERAL CONSOLIDADA'!T71</f>
        <v>100</v>
      </c>
      <c r="E71" s="644">
        <f>+'MATRIZ GENERAL CONSOLIDADA'!V71</f>
        <v>100</v>
      </c>
      <c r="F71" s="639">
        <f>+(E71/D71)*100</f>
        <v>100</v>
      </c>
      <c r="G71" s="572"/>
      <c r="H71" s="377"/>
      <c r="I71" s="386">
        <f>+'MATRIZ GENERAL CONSOLIDADA'!D71</f>
        <v>100</v>
      </c>
      <c r="J71" s="377">
        <f>+'MATRIZ GENERAL CONSOLIDADA'!F71</f>
        <v>100</v>
      </c>
      <c r="K71" s="377">
        <f t="shared" ref="K71:K85" si="17">+(J71/I71)*100</f>
        <v>100</v>
      </c>
      <c r="L71" s="388"/>
      <c r="M71" s="666">
        <f>+'MATRIZ GENERAL CONSOLIDADA'!U71</f>
        <v>0</v>
      </c>
      <c r="N71" s="669">
        <f>+'MATRIZ GENERAL CONSOLIDADA'!W71</f>
        <v>0</v>
      </c>
      <c r="O71" s="377">
        <v>0</v>
      </c>
      <c r="P71" s="377">
        <f>+'MATRIZ GENERAL CONSOLIDADA'!E71</f>
        <v>0</v>
      </c>
      <c r="Q71" s="377">
        <f>+'MATRIZ GENERAL CONSOLIDADA'!G71</f>
        <v>0</v>
      </c>
      <c r="R71" s="506">
        <v>0</v>
      </c>
      <c r="S71" s="377" t="s">
        <v>610</v>
      </c>
    </row>
    <row r="72" spans="1:19" ht="141.75" customHeight="1">
      <c r="A72" s="59"/>
      <c r="B72" s="393" t="s">
        <v>409</v>
      </c>
      <c r="C72" s="394" t="s">
        <v>179</v>
      </c>
      <c r="D72" s="639">
        <f>+'[2]MATRIZ GENERAL CONSOLIDADA'!T72</f>
        <v>100</v>
      </c>
      <c r="E72" s="644">
        <f>+'MATRIZ GENERAL CONSOLIDADA'!V72</f>
        <v>100</v>
      </c>
      <c r="F72" s="639">
        <f t="shared" si="16"/>
        <v>100</v>
      </c>
      <c r="G72" s="572"/>
      <c r="H72" s="377"/>
      <c r="I72" s="386">
        <f>+'MATRIZ GENERAL CONSOLIDADA'!D72</f>
        <v>100</v>
      </c>
      <c r="J72" s="377">
        <f>+'MATRIZ GENERAL CONSOLIDADA'!F72</f>
        <v>100</v>
      </c>
      <c r="K72" s="377">
        <f t="shared" si="17"/>
        <v>100</v>
      </c>
      <c r="L72" s="388"/>
      <c r="M72" s="666">
        <f>+'MATRIZ GENERAL CONSOLIDADA'!U72</f>
        <v>0</v>
      </c>
      <c r="N72" s="669">
        <f>+'MATRIZ GENERAL CONSOLIDADA'!W72</f>
        <v>0</v>
      </c>
      <c r="O72" s="377">
        <v>0</v>
      </c>
      <c r="P72" s="377">
        <f>+'MATRIZ GENERAL CONSOLIDADA'!E72</f>
        <v>13432564</v>
      </c>
      <c r="Q72" s="377">
        <f>+'MATRIZ GENERAL CONSOLIDADA'!G72</f>
        <v>13432564</v>
      </c>
      <c r="R72" s="506">
        <f t="shared" si="6"/>
        <v>100</v>
      </c>
      <c r="S72" s="377" t="s">
        <v>611</v>
      </c>
    </row>
    <row r="73" spans="1:19" ht="111" customHeight="1">
      <c r="A73" s="59"/>
      <c r="B73" s="393" t="s">
        <v>410</v>
      </c>
      <c r="C73" s="394" t="s">
        <v>179</v>
      </c>
      <c r="D73" s="639">
        <f>+'[2]MATRIZ GENERAL CONSOLIDADA'!T73</f>
        <v>100</v>
      </c>
      <c r="E73" s="644">
        <f>+'MATRIZ GENERAL CONSOLIDADA'!V73</f>
        <v>100</v>
      </c>
      <c r="F73" s="639">
        <f t="shared" si="16"/>
        <v>100</v>
      </c>
      <c r="G73" s="572"/>
      <c r="H73" s="377"/>
      <c r="I73" s="386">
        <f>+'MATRIZ GENERAL CONSOLIDADA'!D73</f>
        <v>100</v>
      </c>
      <c r="J73" s="377">
        <f>+'MATRIZ GENERAL CONSOLIDADA'!F73</f>
        <v>100</v>
      </c>
      <c r="K73" s="377">
        <f t="shared" si="17"/>
        <v>100</v>
      </c>
      <c r="L73" s="388"/>
      <c r="M73" s="666">
        <f>+'MATRIZ GENERAL CONSOLIDADA'!U73</f>
        <v>0</v>
      </c>
      <c r="N73" s="669">
        <f>+'MATRIZ GENERAL CONSOLIDADA'!W73</f>
        <v>0</v>
      </c>
      <c r="O73" s="377">
        <v>0</v>
      </c>
      <c r="P73" s="377">
        <f>+'MATRIZ GENERAL CONSOLIDADA'!E73</f>
        <v>0</v>
      </c>
      <c r="Q73" s="377">
        <f>+'MATRIZ GENERAL CONSOLIDADA'!G73</f>
        <v>0</v>
      </c>
      <c r="R73" s="506">
        <v>0</v>
      </c>
      <c r="S73" s="377" t="s">
        <v>612</v>
      </c>
    </row>
    <row r="74" spans="1:19" ht="83.25" customHeight="1">
      <c r="A74" s="59"/>
      <c r="B74" s="384" t="s">
        <v>411</v>
      </c>
      <c r="C74" s="394" t="s">
        <v>179</v>
      </c>
      <c r="D74" s="639">
        <f>+'[2]MATRIZ GENERAL CONSOLIDADA'!T74</f>
        <v>100</v>
      </c>
      <c r="E74" s="644">
        <f>+'MATRIZ GENERAL CONSOLIDADA'!V74</f>
        <v>100</v>
      </c>
      <c r="F74" s="639">
        <f t="shared" si="16"/>
        <v>100</v>
      </c>
      <c r="G74" s="572"/>
      <c r="H74" s="377"/>
      <c r="I74" s="386">
        <f>+'MATRIZ GENERAL CONSOLIDADA'!D74</f>
        <v>100</v>
      </c>
      <c r="J74" s="377">
        <f>+'MATRIZ GENERAL CONSOLIDADA'!F74</f>
        <v>100</v>
      </c>
      <c r="K74" s="377">
        <f t="shared" si="17"/>
        <v>100</v>
      </c>
      <c r="L74" s="388"/>
      <c r="M74" s="666">
        <f>+'MATRIZ GENERAL CONSOLIDADA'!U74</f>
        <v>485190748.05570596</v>
      </c>
      <c r="N74" s="669">
        <f>+'MATRIZ GENERAL CONSOLIDADA'!W74</f>
        <v>482582170.06</v>
      </c>
      <c r="O74" s="377">
        <f>+N74/M74*100</f>
        <v>99.462360317842155</v>
      </c>
      <c r="P74" s="377">
        <f>+'MATRIZ GENERAL CONSOLIDADA'!E74</f>
        <v>2378743199.055706</v>
      </c>
      <c r="Q74" s="377">
        <f>+'MATRIZ GENERAL CONSOLIDADA'!G74</f>
        <v>2376134621.0599999</v>
      </c>
      <c r="R74" s="506">
        <f t="shared" si="6"/>
        <v>99.890337973567654</v>
      </c>
      <c r="S74" s="377"/>
    </row>
    <row r="75" spans="1:19" ht="93.75" customHeight="1">
      <c r="A75" s="59"/>
      <c r="B75" s="384" t="s">
        <v>412</v>
      </c>
      <c r="C75" s="394" t="s">
        <v>490</v>
      </c>
      <c r="D75" s="639">
        <f>+'[2]MATRIZ GENERAL CONSOLIDADA'!T75</f>
        <v>60</v>
      </c>
      <c r="E75" s="644">
        <f>+'MATRIZ GENERAL CONSOLIDADA'!V75</f>
        <v>60</v>
      </c>
      <c r="F75" s="639">
        <f t="shared" si="16"/>
        <v>100</v>
      </c>
      <c r="G75" s="572"/>
      <c r="H75" s="377"/>
      <c r="I75" s="386">
        <f>+'MATRIZ GENERAL CONSOLIDADA'!D75</f>
        <v>60</v>
      </c>
      <c r="J75" s="377">
        <f>+'MATRIZ GENERAL CONSOLIDADA'!F75</f>
        <v>60</v>
      </c>
      <c r="K75" s="377">
        <f t="shared" si="17"/>
        <v>100</v>
      </c>
      <c r="L75" s="388"/>
      <c r="M75" s="666">
        <f>+'MATRIZ GENERAL CONSOLIDADA'!U75</f>
        <v>0</v>
      </c>
      <c r="N75" s="669">
        <f>+'MATRIZ GENERAL CONSOLIDADA'!W75</f>
        <v>0</v>
      </c>
      <c r="O75" s="377">
        <v>0</v>
      </c>
      <c r="P75" s="377">
        <f>+'MATRIZ GENERAL CONSOLIDADA'!E75</f>
        <v>0</v>
      </c>
      <c r="Q75" s="377">
        <f>+'MATRIZ GENERAL CONSOLIDADA'!G75</f>
        <v>0</v>
      </c>
      <c r="R75" s="506">
        <v>0</v>
      </c>
      <c r="S75" s="377"/>
    </row>
    <row r="76" spans="1:19" ht="51.75" customHeight="1">
      <c r="A76" s="59"/>
      <c r="B76" s="384" t="s">
        <v>413</v>
      </c>
      <c r="C76" s="394" t="s">
        <v>179</v>
      </c>
      <c r="D76" s="639">
        <f>+'[2]MATRIZ GENERAL CONSOLIDADA'!T76</f>
        <v>35</v>
      </c>
      <c r="E76" s="644">
        <f>+'MATRIZ GENERAL CONSOLIDADA'!V76</f>
        <v>35</v>
      </c>
      <c r="F76" s="639">
        <f t="shared" si="16"/>
        <v>100</v>
      </c>
      <c r="G76" s="573"/>
      <c r="H76" s="377"/>
      <c r="I76" s="386">
        <f>+'MATRIZ GENERAL CONSOLIDADA'!D76</f>
        <v>27.5</v>
      </c>
      <c r="J76" s="377">
        <f>+'MATRIZ GENERAL CONSOLIDADA'!F76</f>
        <v>27.5</v>
      </c>
      <c r="K76" s="377">
        <f>+(J76/I76)*100</f>
        <v>100</v>
      </c>
      <c r="L76" s="56"/>
      <c r="M76" s="666">
        <f>+'MATRIZ GENERAL CONSOLIDADA'!U76</f>
        <v>147879388.45120201</v>
      </c>
      <c r="N76" s="669">
        <f>+'MATRIZ GENERAL CONSOLIDADA'!W76</f>
        <v>141899063.30399999</v>
      </c>
      <c r="O76" s="377">
        <v>0</v>
      </c>
      <c r="P76" s="377">
        <f>+'MATRIZ GENERAL CONSOLIDADA'!E76</f>
        <v>445191433.45120203</v>
      </c>
      <c r="Q76" s="377">
        <f>+'MATRIZ GENERAL CONSOLIDADA'!G76</f>
        <v>439211108.30400002</v>
      </c>
      <c r="R76" s="506">
        <v>0</v>
      </c>
      <c r="S76" s="377"/>
    </row>
    <row r="77" spans="1:19" ht="56.25" customHeight="1">
      <c r="A77" s="59"/>
      <c r="B77" s="389" t="s">
        <v>414</v>
      </c>
      <c r="C77" s="394" t="s">
        <v>179</v>
      </c>
      <c r="D77" s="639">
        <f>+'[2]MATRIZ GENERAL CONSOLIDADA'!T77</f>
        <v>100</v>
      </c>
      <c r="E77" s="644">
        <f>+'MATRIZ GENERAL CONSOLIDADA'!V77</f>
        <v>100</v>
      </c>
      <c r="F77" s="639">
        <f t="shared" si="16"/>
        <v>100</v>
      </c>
      <c r="G77" s="572"/>
      <c r="H77" s="377"/>
      <c r="I77" s="386">
        <f>+'MATRIZ GENERAL CONSOLIDADA'!D77</f>
        <v>100</v>
      </c>
      <c r="J77" s="377">
        <f>+'MATRIZ GENERAL CONSOLIDADA'!F77</f>
        <v>100</v>
      </c>
      <c r="K77" s="377">
        <f t="shared" si="17"/>
        <v>100</v>
      </c>
      <c r="L77" s="388"/>
      <c r="M77" s="666">
        <f>+'MATRIZ GENERAL CONSOLIDADA'!U77</f>
        <v>49447000.119999997</v>
      </c>
      <c r="N77" s="669">
        <f>+'MATRIZ GENERAL CONSOLIDADA'!W77</f>
        <v>49436960</v>
      </c>
      <c r="O77" s="377">
        <f>+N77/M77*100</f>
        <v>99.979695188837283</v>
      </c>
      <c r="P77" s="377">
        <f>+'MATRIZ GENERAL CONSOLIDADA'!E77</f>
        <v>267780424.62</v>
      </c>
      <c r="Q77" s="377">
        <f>+'MATRIZ GENERAL CONSOLIDADA'!G77</f>
        <v>267770384.5</v>
      </c>
      <c r="R77" s="506">
        <f t="shared" si="6"/>
        <v>99.996250614654059</v>
      </c>
      <c r="S77" s="377"/>
    </row>
    <row r="78" spans="1:19" ht="120.75" customHeight="1">
      <c r="A78" s="59"/>
      <c r="B78" s="399" t="s">
        <v>415</v>
      </c>
      <c r="C78" s="394" t="s">
        <v>181</v>
      </c>
      <c r="D78" s="639">
        <f>+'[2]MATRIZ GENERAL CONSOLIDADA'!T78</f>
        <v>1</v>
      </c>
      <c r="E78" s="644">
        <f>+'MATRIZ GENERAL CONSOLIDADA'!V78</f>
        <v>1</v>
      </c>
      <c r="F78" s="639">
        <f t="shared" si="16"/>
        <v>100</v>
      </c>
      <c r="G78" s="572"/>
      <c r="H78" s="377"/>
      <c r="I78" s="386">
        <f>+'MATRIZ GENERAL CONSOLIDADA'!D78</f>
        <v>1</v>
      </c>
      <c r="J78" s="377">
        <f>+'MATRIZ GENERAL CONSOLIDADA'!F78</f>
        <v>1</v>
      </c>
      <c r="K78" s="377">
        <f t="shared" si="17"/>
        <v>100</v>
      </c>
      <c r="L78" s="388"/>
      <c r="M78" s="666">
        <f>+'MATRIZ GENERAL CONSOLIDADA'!U78</f>
        <v>610307386</v>
      </c>
      <c r="N78" s="669">
        <f>+'MATRIZ GENERAL CONSOLIDADA'!W78</f>
        <v>610137270.24800026</v>
      </c>
      <c r="O78" s="377">
        <f>+N78/M78*100</f>
        <v>99.972126217722078</v>
      </c>
      <c r="P78" s="377">
        <f>+'MATRIZ GENERAL CONSOLIDADA'!E78</f>
        <v>3740683715.7480001</v>
      </c>
      <c r="Q78" s="377">
        <f>+'MATRIZ GENERAL CONSOLIDADA'!G78</f>
        <v>3740112211.9960003</v>
      </c>
      <c r="R78" s="506">
        <f t="shared" si="6"/>
        <v>99.984721944023391</v>
      </c>
      <c r="S78" s="377"/>
    </row>
    <row r="79" spans="1:19" ht="52.5" customHeight="1">
      <c r="A79" s="59"/>
      <c r="B79" s="399" t="s">
        <v>416</v>
      </c>
      <c r="C79" s="394" t="s">
        <v>417</v>
      </c>
      <c r="D79" s="639">
        <f>+'[2]MATRIZ GENERAL CONSOLIDADA'!T79</f>
        <v>1</v>
      </c>
      <c r="E79" s="644">
        <f>+'MATRIZ GENERAL CONSOLIDADA'!V79</f>
        <v>1</v>
      </c>
      <c r="F79" s="644">
        <f t="shared" si="16"/>
        <v>100</v>
      </c>
      <c r="G79" s="572"/>
      <c r="H79" s="377"/>
      <c r="I79" s="386">
        <f>+'MATRIZ GENERAL CONSOLIDADA'!D79</f>
        <v>4</v>
      </c>
      <c r="J79" s="377">
        <f>+'MATRIZ GENERAL CONSOLIDADA'!F79</f>
        <v>4</v>
      </c>
      <c r="K79" s="377">
        <f>+(J79/I79)*100</f>
        <v>100</v>
      </c>
      <c r="L79" s="388"/>
      <c r="M79" s="666">
        <f>+'MATRIZ GENERAL CONSOLIDADA'!U79</f>
        <v>10432858.34</v>
      </c>
      <c r="N79" s="669">
        <f>+'MATRIZ GENERAL CONSOLIDADA'!W79</f>
        <v>10432858</v>
      </c>
      <c r="O79" s="377">
        <v>0</v>
      </c>
      <c r="P79" s="377">
        <f>+'MATRIZ GENERAL CONSOLIDADA'!E79</f>
        <v>273481512.33999997</v>
      </c>
      <c r="Q79" s="377">
        <f>+'MATRIZ GENERAL CONSOLIDADA'!G79</f>
        <v>273481512</v>
      </c>
      <c r="R79" s="506">
        <f t="shared" si="6"/>
        <v>99.999999875677162</v>
      </c>
      <c r="S79" s="377"/>
    </row>
    <row r="80" spans="1:19" ht="38.25" customHeight="1">
      <c r="A80" s="59"/>
      <c r="B80" s="414" t="s">
        <v>418</v>
      </c>
      <c r="C80" s="394" t="s">
        <v>181</v>
      </c>
      <c r="D80" s="639">
        <f>+'[2]MATRIZ GENERAL CONSOLIDADA'!T80</f>
        <v>1</v>
      </c>
      <c r="E80" s="644">
        <f>+'MATRIZ GENERAL CONSOLIDADA'!V80</f>
        <v>1</v>
      </c>
      <c r="F80" s="644">
        <f t="shared" si="16"/>
        <v>100</v>
      </c>
      <c r="G80" s="572"/>
      <c r="H80" s="377"/>
      <c r="I80" s="386">
        <f>+'MATRIZ GENERAL CONSOLIDADA'!D80</f>
        <v>1</v>
      </c>
      <c r="J80" s="377">
        <f>+'MATRIZ GENERAL CONSOLIDADA'!F80</f>
        <v>1</v>
      </c>
      <c r="K80" s="377">
        <f>+(J80/I80)*100</f>
        <v>100</v>
      </c>
      <c r="L80" s="388"/>
      <c r="M80" s="666">
        <f>+'MATRIZ GENERAL CONSOLIDADA'!U80</f>
        <v>16522687.439999999</v>
      </c>
      <c r="N80" s="669">
        <f>+'MATRIZ GENERAL CONSOLIDADA'!W80</f>
        <v>16522687.300000001</v>
      </c>
      <c r="O80" s="377">
        <f>+N80/M80*100</f>
        <v>99.999999152680218</v>
      </c>
      <c r="P80" s="377">
        <f>+'MATRIZ GENERAL CONSOLIDADA'!E80</f>
        <v>80995909.439999998</v>
      </c>
      <c r="Q80" s="377">
        <f>+'MATRIZ GENERAL CONSOLIDADA'!G80</f>
        <v>80995909.299999997</v>
      </c>
      <c r="R80" s="506">
        <f t="shared" si="6"/>
        <v>99.999999827151768</v>
      </c>
      <c r="S80" s="377"/>
    </row>
    <row r="81" spans="1:19" ht="96" customHeight="1">
      <c r="A81" s="59"/>
      <c r="B81" s="399" t="s">
        <v>419</v>
      </c>
      <c r="C81" s="394" t="s">
        <v>191</v>
      </c>
      <c r="D81" s="639">
        <f>+'[2]MATRIZ GENERAL CONSOLIDADA'!T81</f>
        <v>1</v>
      </c>
      <c r="E81" s="644">
        <f>+'MATRIZ GENERAL CONSOLIDADA'!V81</f>
        <v>1</v>
      </c>
      <c r="F81" s="639">
        <f t="shared" si="16"/>
        <v>100</v>
      </c>
      <c r="G81" s="572"/>
      <c r="H81" s="377"/>
      <c r="I81" s="386">
        <f>+'MATRIZ GENERAL CONSOLIDADA'!D81</f>
        <v>1</v>
      </c>
      <c r="J81" s="377">
        <f>+'MATRIZ GENERAL CONSOLIDADA'!F81</f>
        <v>1</v>
      </c>
      <c r="K81" s="377">
        <f>+(J81/I81)*100</f>
        <v>100</v>
      </c>
      <c r="L81" s="388"/>
      <c r="M81" s="666">
        <f>+'MATRIZ GENERAL CONSOLIDADA'!U81</f>
        <v>176979642</v>
      </c>
      <c r="N81" s="669">
        <f>+'MATRIZ GENERAL CONSOLIDADA'!W81</f>
        <v>172859643</v>
      </c>
      <c r="O81" s="377">
        <f>+N81/M81*100</f>
        <v>97.67204919535321</v>
      </c>
      <c r="P81" s="377">
        <f>+'MATRIZ GENERAL CONSOLIDADA'!E81</f>
        <v>828294580.5</v>
      </c>
      <c r="Q81" s="377">
        <f>+'MATRIZ GENERAL CONSOLIDADA'!G81</f>
        <v>824174581.5</v>
      </c>
      <c r="R81" s="506">
        <f t="shared" si="6"/>
        <v>99.502592544126884</v>
      </c>
      <c r="S81" s="377"/>
    </row>
    <row r="82" spans="1:19" ht="117" customHeight="1">
      <c r="A82" s="59"/>
      <c r="B82" s="414" t="s">
        <v>420</v>
      </c>
      <c r="C82" s="394" t="s">
        <v>1</v>
      </c>
      <c r="D82" s="639">
        <f>+'[2]MATRIZ GENERAL CONSOLIDADA'!T82</f>
        <v>100</v>
      </c>
      <c r="E82" s="644">
        <f>+'MATRIZ GENERAL CONSOLIDADA'!V82</f>
        <v>100</v>
      </c>
      <c r="F82" s="639">
        <f t="shared" si="16"/>
        <v>100</v>
      </c>
      <c r="G82" s="572"/>
      <c r="H82" s="377"/>
      <c r="I82" s="386">
        <f>+'MATRIZ GENERAL CONSOLIDADA'!D82</f>
        <v>100</v>
      </c>
      <c r="J82" s="377">
        <f>+'MATRIZ GENERAL CONSOLIDADA'!F82</f>
        <v>100</v>
      </c>
      <c r="K82" s="377">
        <f t="shared" si="17"/>
        <v>100</v>
      </c>
      <c r="L82" s="388"/>
      <c r="M82" s="666">
        <f>+'MATRIZ GENERAL CONSOLIDADA'!U82</f>
        <v>7429600</v>
      </c>
      <c r="N82" s="669">
        <f>+'MATRIZ GENERAL CONSOLIDADA'!W82</f>
        <v>7429600</v>
      </c>
      <c r="O82" s="377">
        <f>+N82/M82*100</f>
        <v>100</v>
      </c>
      <c r="P82" s="377">
        <f>+'MATRIZ GENERAL CONSOLIDADA'!E82</f>
        <v>36417200</v>
      </c>
      <c r="Q82" s="377">
        <f>+'MATRIZ GENERAL CONSOLIDADA'!G82</f>
        <v>36417200</v>
      </c>
      <c r="R82" s="506">
        <f t="shared" si="6"/>
        <v>100</v>
      </c>
      <c r="S82" s="377"/>
    </row>
    <row r="83" spans="1:19" ht="60" customHeight="1">
      <c r="A83" s="59"/>
      <c r="B83" s="414" t="s">
        <v>421</v>
      </c>
      <c r="C83" s="394" t="s">
        <v>180</v>
      </c>
      <c r="D83" s="639">
        <f>+'[2]MATRIZ GENERAL CONSOLIDADA'!T83</f>
        <v>37</v>
      </c>
      <c r="E83" s="644">
        <f>+'MATRIZ GENERAL CONSOLIDADA'!V83</f>
        <v>37</v>
      </c>
      <c r="F83" s="639">
        <f t="shared" si="16"/>
        <v>100</v>
      </c>
      <c r="G83" s="572"/>
      <c r="H83" s="377"/>
      <c r="I83" s="386">
        <f>+'MATRIZ GENERAL CONSOLIDADA'!D83</f>
        <v>37</v>
      </c>
      <c r="J83" s="377">
        <f>+'MATRIZ GENERAL CONSOLIDADA'!F83</f>
        <v>37</v>
      </c>
      <c r="K83" s="377">
        <f t="shared" si="17"/>
        <v>100</v>
      </c>
      <c r="L83" s="388"/>
      <c r="M83" s="377">
        <f>+'MATRIZ GENERAL CONSOLIDADA'!U83</f>
        <v>7429600</v>
      </c>
      <c r="N83" s="639">
        <f>+'MATRIZ GENERAL CONSOLIDADA'!W83</f>
        <v>7429600</v>
      </c>
      <c r="O83" s="377">
        <f>+N83/M83*100</f>
        <v>100</v>
      </c>
      <c r="P83" s="377">
        <f>+'MATRIZ GENERAL CONSOLIDADA'!E83</f>
        <v>36947200</v>
      </c>
      <c r="Q83" s="377">
        <f>+'MATRIZ GENERAL CONSOLIDADA'!G83</f>
        <v>36947200</v>
      </c>
      <c r="R83" s="506">
        <f t="shared" si="6"/>
        <v>100</v>
      </c>
      <c r="S83" s="377"/>
    </row>
    <row r="84" spans="1:19" ht="60" customHeight="1">
      <c r="A84" s="59"/>
      <c r="B84" s="414" t="s">
        <v>0</v>
      </c>
      <c r="C84" s="419" t="s">
        <v>422</v>
      </c>
      <c r="D84" s="639">
        <f>+'[2]MATRIZ GENERAL CONSOLIDADA'!T84</f>
        <v>1</v>
      </c>
      <c r="E84" s="644">
        <f>+'MATRIZ GENERAL CONSOLIDADA'!V84</f>
        <v>1</v>
      </c>
      <c r="F84" s="639">
        <f t="shared" si="16"/>
        <v>100</v>
      </c>
      <c r="G84" s="572"/>
      <c r="H84" s="377"/>
      <c r="I84" s="386">
        <f>+'MATRIZ GENERAL CONSOLIDADA'!D84</f>
        <v>1</v>
      </c>
      <c r="J84" s="377">
        <f>+'MATRIZ GENERAL CONSOLIDADA'!F84</f>
        <v>1</v>
      </c>
      <c r="K84" s="377">
        <f t="shared" si="17"/>
        <v>100</v>
      </c>
      <c r="L84" s="388"/>
      <c r="M84" s="377">
        <f>+'MATRIZ GENERAL CONSOLIDADA'!U84</f>
        <v>154895170.15000001</v>
      </c>
      <c r="N84" s="639">
        <f>+'MATRIZ GENERAL CONSOLIDADA'!W84</f>
        <v>154895112</v>
      </c>
      <c r="O84" s="377">
        <f>+N84/M84*100</f>
        <v>99.999962458480823</v>
      </c>
      <c r="P84" s="377">
        <f>+'MATRIZ GENERAL CONSOLIDADA'!E84</f>
        <v>581465855.14999998</v>
      </c>
      <c r="Q84" s="377">
        <f>+'MATRIZ GENERAL CONSOLIDADA'!G84</f>
        <v>581465797</v>
      </c>
      <c r="R84" s="506">
        <f t="shared" ref="R84:R117" si="18">+(Q84/P84)*100</f>
        <v>99.99998999941279</v>
      </c>
      <c r="S84" s="377"/>
    </row>
    <row r="85" spans="1:19" ht="30">
      <c r="A85" s="59"/>
      <c r="B85" s="414" t="s">
        <v>423</v>
      </c>
      <c r="C85" s="394" t="s">
        <v>1</v>
      </c>
      <c r="D85" s="639">
        <f>+'[2]MATRIZ GENERAL CONSOLIDADA'!T85</f>
        <v>90</v>
      </c>
      <c r="E85" s="644">
        <f>+'MATRIZ GENERAL CONSOLIDADA'!V85</f>
        <v>90</v>
      </c>
      <c r="F85" s="639">
        <f t="shared" si="16"/>
        <v>100</v>
      </c>
      <c r="G85" s="572"/>
      <c r="H85" s="377"/>
      <c r="I85" s="386">
        <f>+'MATRIZ GENERAL CONSOLIDADA'!D85</f>
        <v>90</v>
      </c>
      <c r="J85" s="377">
        <f>+'MATRIZ GENERAL CONSOLIDADA'!F85</f>
        <v>90</v>
      </c>
      <c r="K85" s="377">
        <f t="shared" si="17"/>
        <v>100</v>
      </c>
      <c r="L85" s="388"/>
      <c r="M85" s="377">
        <f>+'MATRIZ GENERAL CONSOLIDADA'!U85</f>
        <v>37148000</v>
      </c>
      <c r="N85" s="639">
        <f>+'MATRIZ GENERAL CONSOLIDADA'!W85</f>
        <v>37148000</v>
      </c>
      <c r="O85" s="377">
        <f t="shared" ref="O85:O86" si="19">+N85/M85*100</f>
        <v>100</v>
      </c>
      <c r="P85" s="377">
        <f>+'MATRIZ GENERAL CONSOLIDADA'!E85</f>
        <v>136928800</v>
      </c>
      <c r="Q85" s="377">
        <f>+'MATRIZ GENERAL CONSOLIDADA'!G85</f>
        <v>136928800</v>
      </c>
      <c r="R85" s="506">
        <f t="shared" si="18"/>
        <v>100</v>
      </c>
      <c r="S85" s="377"/>
    </row>
    <row r="86" spans="1:19" ht="105.75" customHeight="1" thickBot="1">
      <c r="A86" s="59"/>
      <c r="B86" s="414" t="s">
        <v>514</v>
      </c>
      <c r="C86" s="394" t="str">
        <f>+'MATRIZ GENERAL CONSOLIDADA'!C86</f>
        <v>Global</v>
      </c>
      <c r="D86" s="639" t="s">
        <v>518</v>
      </c>
      <c r="E86" s="644" t="s">
        <v>518</v>
      </c>
      <c r="F86" s="639" t="s">
        <v>518</v>
      </c>
      <c r="G86" s="572"/>
      <c r="H86" s="377"/>
      <c r="I86" s="386" t="s">
        <v>518</v>
      </c>
      <c r="J86" s="377" t="s">
        <v>518</v>
      </c>
      <c r="K86" s="377" t="s">
        <v>518</v>
      </c>
      <c r="L86" s="388"/>
      <c r="M86" s="377">
        <f>+'MATRIZ GENERAL CONSOLIDADA'!U86</f>
        <v>65077269</v>
      </c>
      <c r="N86" s="639">
        <f>+'MATRIZ GENERAL CONSOLIDADA'!W86</f>
        <v>65077268.947999999</v>
      </c>
      <c r="O86" s="377">
        <f t="shared" si="19"/>
        <v>99.999999920094979</v>
      </c>
      <c r="P86" s="377">
        <f>+'MATRIZ GENERAL CONSOLIDADA'!E86</f>
        <v>188927141</v>
      </c>
      <c r="Q86" s="377">
        <f>+'MATRIZ GENERAL CONSOLIDADA'!G86</f>
        <v>188927140.94800001</v>
      </c>
      <c r="R86" s="506">
        <f t="shared" si="18"/>
        <v>99.999999972476175</v>
      </c>
      <c r="S86" s="377"/>
    </row>
    <row r="87" spans="1:19" ht="64.5" customHeight="1">
      <c r="A87" s="59"/>
      <c r="B87" s="420" t="s">
        <v>424</v>
      </c>
      <c r="C87" s="411"/>
      <c r="D87" s="411"/>
      <c r="E87" s="641"/>
      <c r="F87" s="641">
        <f>AVERAGE(F88,F95)</f>
        <v>100</v>
      </c>
      <c r="G87" s="410"/>
      <c r="H87" s="410"/>
      <c r="I87" s="410">
        <f>AVERAGE(I88,I95)</f>
        <v>49.073750000000004</v>
      </c>
      <c r="J87" s="410">
        <f>AVERAGE(J88,J95)</f>
        <v>49.073062500000006</v>
      </c>
      <c r="K87" s="411">
        <f>+(J87/I87)*100</f>
        <v>99.998599047352201</v>
      </c>
      <c r="L87" s="411"/>
      <c r="M87" s="411">
        <f>+M88+M95</f>
        <v>5623707657.8451996</v>
      </c>
      <c r="N87" s="411">
        <f>+N88+N95</f>
        <v>5565687068</v>
      </c>
      <c r="O87" s="519">
        <f>+N87/M87*100</f>
        <v>98.968285811154146</v>
      </c>
      <c r="P87" s="526">
        <f>+P88+P95</f>
        <v>12032660133.353199</v>
      </c>
      <c r="Q87" s="526">
        <f>+Q88+Q95</f>
        <v>11969856883.808001</v>
      </c>
      <c r="R87" s="381">
        <f t="shared" si="18"/>
        <v>99.478060139244562</v>
      </c>
      <c r="S87" s="377"/>
    </row>
    <row r="88" spans="1:19" ht="93.75" customHeight="1">
      <c r="A88" s="59"/>
      <c r="B88" s="383" t="s">
        <v>496</v>
      </c>
      <c r="C88" s="412"/>
      <c r="D88" s="646"/>
      <c r="E88" s="640"/>
      <c r="F88" s="640">
        <f>AVERAGE(F89:F93)</f>
        <v>100</v>
      </c>
      <c r="G88" s="522"/>
      <c r="H88" s="522"/>
      <c r="I88" s="396">
        <f>AVERAGE(I89:I93)</f>
        <v>65.400000000000006</v>
      </c>
      <c r="J88" s="396">
        <f>AVERAGE(J89:J93)</f>
        <v>65.400000000000006</v>
      </c>
      <c r="K88" s="331">
        <f>+(J88/I88)*100</f>
        <v>100</v>
      </c>
      <c r="L88" s="331"/>
      <c r="M88" s="331">
        <f>SUM(M89:M94)</f>
        <v>556250000.10000002</v>
      </c>
      <c r="N88" s="331">
        <f>SUM(N89:N94)</f>
        <v>498334491</v>
      </c>
      <c r="O88" s="331">
        <f>+N88/M88*100</f>
        <v>89.588223085017844</v>
      </c>
      <c r="P88" s="331">
        <f>SUM(P89:P94)</f>
        <v>2205613913.0999999</v>
      </c>
      <c r="Q88" s="331">
        <f>SUM(Q89:Q94)</f>
        <v>2147698404</v>
      </c>
      <c r="R88" s="331">
        <f>+(Q88/P88)*100</f>
        <v>97.374177377281796</v>
      </c>
      <c r="S88" s="41"/>
    </row>
    <row r="89" spans="1:19" ht="107.25" customHeight="1">
      <c r="A89" s="59"/>
      <c r="B89" s="421" t="s">
        <v>425</v>
      </c>
      <c r="C89" s="394" t="s">
        <v>179</v>
      </c>
      <c r="D89" s="639">
        <f>+'[2]MATRIZ GENERAL CONSOLIDADA'!T89</f>
        <v>100</v>
      </c>
      <c r="E89" s="639">
        <f>+'MATRIZ GENERAL CONSOLIDADA'!V89</f>
        <v>100</v>
      </c>
      <c r="F89" s="639">
        <f>+(E89/D89)*100</f>
        <v>100</v>
      </c>
      <c r="G89" s="572"/>
      <c r="H89" s="377"/>
      <c r="I89" s="386">
        <f>+'MATRIZ GENERAL CONSOLIDADA'!D89</f>
        <v>100</v>
      </c>
      <c r="J89" s="377">
        <f>+'MATRIZ GENERAL CONSOLIDADA'!F89</f>
        <v>100</v>
      </c>
      <c r="K89" s="377">
        <f>+(J89/I89)*100</f>
        <v>100</v>
      </c>
      <c r="L89" s="388">
        <v>7.8316829177215525E-2</v>
      </c>
      <c r="M89" s="666">
        <f>+'MATRIZ GENERAL CONSOLIDADA'!U89</f>
        <v>113500000</v>
      </c>
      <c r="N89" s="669">
        <f>+'MATRIZ GENERAL CONSOLIDADA'!W89</f>
        <v>101472092</v>
      </c>
      <c r="O89" s="377">
        <f>+N89/M89*100</f>
        <v>89.402724229074892</v>
      </c>
      <c r="P89" s="377">
        <f>+'MATRIZ GENERAL CONSOLIDADA'!E89</f>
        <v>330522381</v>
      </c>
      <c r="Q89" s="377">
        <f>+'MATRIZ GENERAL CONSOLIDADA'!G89</f>
        <v>318494473</v>
      </c>
      <c r="R89" s="506">
        <f t="shared" si="18"/>
        <v>96.360939926788191</v>
      </c>
      <c r="S89" s="377" t="s">
        <v>615</v>
      </c>
    </row>
    <row r="90" spans="1:19" ht="76.5" customHeight="1">
      <c r="A90" s="59"/>
      <c r="B90" s="391" t="s">
        <v>426</v>
      </c>
      <c r="C90" s="394" t="s">
        <v>179</v>
      </c>
      <c r="D90" s="639">
        <f>+'[2]MATRIZ GENERAL CONSOLIDADA'!T90</f>
        <v>100</v>
      </c>
      <c r="E90" s="639">
        <f>+'MATRIZ GENERAL CONSOLIDADA'!V90</f>
        <v>100</v>
      </c>
      <c r="F90" s="639">
        <f t="shared" si="16"/>
        <v>100</v>
      </c>
      <c r="G90" s="572"/>
      <c r="H90" s="377"/>
      <c r="I90" s="386">
        <f>+'MATRIZ GENERAL CONSOLIDADA'!D90</f>
        <v>100</v>
      </c>
      <c r="J90" s="377">
        <f>+'MATRIZ GENERAL CONSOLIDADA'!F90</f>
        <v>100</v>
      </c>
      <c r="K90" s="377">
        <f t="shared" ref="K90:K91" si="20">+(J90/I90)*100</f>
        <v>100</v>
      </c>
      <c r="L90" s="388"/>
      <c r="M90" s="666">
        <f>+'MATRIZ GENERAL CONSOLIDADA'!U90</f>
        <v>37750000</v>
      </c>
      <c r="N90" s="669">
        <f>+'MATRIZ GENERAL CONSOLIDADA'!W90</f>
        <v>23092000</v>
      </c>
      <c r="O90" s="377">
        <f>+N90/M90*100</f>
        <v>61.170860927152319</v>
      </c>
      <c r="P90" s="377">
        <f>+'MATRIZ GENERAL CONSOLIDADA'!E90</f>
        <v>240041874</v>
      </c>
      <c r="Q90" s="377">
        <f>+'MATRIZ GENERAL CONSOLIDADA'!G90</f>
        <v>225383874</v>
      </c>
      <c r="R90" s="506">
        <f t="shared" si="18"/>
        <v>93.893565420173317</v>
      </c>
      <c r="S90" s="377" t="s">
        <v>615</v>
      </c>
    </row>
    <row r="91" spans="1:19" ht="76.5" customHeight="1">
      <c r="A91" s="59"/>
      <c r="B91" s="391" t="s">
        <v>427</v>
      </c>
      <c r="C91" s="394" t="s">
        <v>1</v>
      </c>
      <c r="D91" s="639">
        <f>+'[2]MATRIZ GENERAL CONSOLIDADA'!T91</f>
        <v>0</v>
      </c>
      <c r="E91" s="639" t="s">
        <v>518</v>
      </c>
      <c r="F91" s="639" t="s">
        <v>518</v>
      </c>
      <c r="G91" s="572"/>
      <c r="H91" s="377"/>
      <c r="I91" s="386">
        <f>+'MATRIZ GENERAL CONSOLIDADA'!D91</f>
        <v>100</v>
      </c>
      <c r="J91" s="377">
        <f>+'MATRIZ GENERAL CONSOLIDADA'!F91</f>
        <v>100</v>
      </c>
      <c r="K91" s="377">
        <f t="shared" si="20"/>
        <v>100</v>
      </c>
      <c r="L91" s="388"/>
      <c r="M91" s="666">
        <f>+'MATRIZ GENERAL CONSOLIDADA'!U91</f>
        <v>0</v>
      </c>
      <c r="N91" s="669">
        <f>+'MATRIZ GENERAL CONSOLIDADA'!W91</f>
        <v>0</v>
      </c>
      <c r="O91" s="377" t="s">
        <v>518</v>
      </c>
      <c r="P91" s="377">
        <f>+'MATRIZ GENERAL CONSOLIDADA'!E91</f>
        <v>211577339</v>
      </c>
      <c r="Q91" s="377">
        <f>+'MATRIZ GENERAL CONSOLIDADA'!G91</f>
        <v>211577339</v>
      </c>
      <c r="R91" s="506">
        <f t="shared" si="18"/>
        <v>100</v>
      </c>
      <c r="S91" s="377" t="s">
        <v>592</v>
      </c>
    </row>
    <row r="92" spans="1:19" ht="87.75" customHeight="1">
      <c r="A92" s="59"/>
      <c r="B92" s="395" t="s">
        <v>428</v>
      </c>
      <c r="C92" s="394" t="s">
        <v>429</v>
      </c>
      <c r="D92" s="639">
        <f>+'[2]MATRIZ GENERAL CONSOLIDADA'!T92</f>
        <v>5</v>
      </c>
      <c r="E92" s="639">
        <f>+'MATRIZ GENERAL CONSOLIDADA'!V92</f>
        <v>5</v>
      </c>
      <c r="F92" s="639">
        <f t="shared" si="16"/>
        <v>100</v>
      </c>
      <c r="G92" s="572"/>
      <c r="H92" s="377"/>
      <c r="I92" s="386">
        <f>+'MATRIZ GENERAL CONSOLIDADA'!D92</f>
        <v>26</v>
      </c>
      <c r="J92" s="377">
        <f>+'MATRIZ GENERAL CONSOLIDADA'!F92</f>
        <v>26</v>
      </c>
      <c r="K92" s="377">
        <f>+(J92/I92)*100</f>
        <v>100</v>
      </c>
      <c r="L92" s="388"/>
      <c r="M92" s="666">
        <f>+'MATRIZ GENERAL CONSOLIDADA'!U92</f>
        <v>375000000</v>
      </c>
      <c r="N92" s="669">
        <f>+'MATRIZ GENERAL CONSOLIDADA'!W92</f>
        <v>346756496</v>
      </c>
      <c r="O92" s="377">
        <f>+N92/M92*100</f>
        <v>92.468398933333333</v>
      </c>
      <c r="P92" s="377">
        <f>+'MATRIZ GENERAL CONSOLIDADA'!E92</f>
        <v>1248906434</v>
      </c>
      <c r="Q92" s="377">
        <f>+'MATRIZ GENERAL CONSOLIDADA'!G92</f>
        <v>1220662930</v>
      </c>
      <c r="R92" s="506">
        <f t="shared" si="18"/>
        <v>97.738541236468635</v>
      </c>
      <c r="S92" s="377" t="s">
        <v>616</v>
      </c>
    </row>
    <row r="93" spans="1:19" ht="76.5" customHeight="1">
      <c r="A93" s="59"/>
      <c r="B93" s="418" t="s">
        <v>430</v>
      </c>
      <c r="C93" s="394" t="s">
        <v>510</v>
      </c>
      <c r="D93" s="639">
        <f>+'[2]MATRIZ GENERAL CONSOLIDADA'!T93</f>
        <v>0</v>
      </c>
      <c r="E93" s="639" t="s">
        <v>518</v>
      </c>
      <c r="F93" s="639" t="s">
        <v>518</v>
      </c>
      <c r="G93" s="572"/>
      <c r="H93" s="377"/>
      <c r="I93" s="386">
        <f>+'MATRIZ GENERAL CONSOLIDADA'!D93</f>
        <v>1</v>
      </c>
      <c r="J93" s="377">
        <f>+'MATRIZ GENERAL CONSOLIDADA'!F93</f>
        <v>1</v>
      </c>
      <c r="K93" s="377">
        <f>+(J93/I93)*100</f>
        <v>100</v>
      </c>
      <c r="L93" s="388"/>
      <c r="M93" s="666">
        <f>+'MATRIZ GENERAL CONSOLIDADA'!U93</f>
        <v>0</v>
      </c>
      <c r="N93" s="669">
        <f>+'MATRIZ GENERAL CONSOLIDADA'!W93</f>
        <v>0</v>
      </c>
      <c r="O93" s="377" t="s">
        <v>518</v>
      </c>
      <c r="P93" s="377">
        <f>+'MATRIZ GENERAL CONSOLIDADA'!E93</f>
        <v>50000000</v>
      </c>
      <c r="Q93" s="377">
        <f>+'MATRIZ GENERAL CONSOLIDADA'!G93</f>
        <v>50000000</v>
      </c>
      <c r="R93" s="506">
        <f t="shared" si="18"/>
        <v>100</v>
      </c>
      <c r="S93" s="377" t="s">
        <v>593</v>
      </c>
    </row>
    <row r="94" spans="1:19" ht="76.5" customHeight="1">
      <c r="A94" s="59"/>
      <c r="B94" s="414" t="s">
        <v>514</v>
      </c>
      <c r="C94" s="394" t="str">
        <f>+'MATRIZ GENERAL CONSOLIDADA'!C94</f>
        <v>Global</v>
      </c>
      <c r="D94" s="639" t="s">
        <v>518</v>
      </c>
      <c r="E94" s="639" t="s">
        <v>518</v>
      </c>
      <c r="F94" s="639" t="s">
        <v>518</v>
      </c>
      <c r="G94" s="572"/>
      <c r="H94" s="377"/>
      <c r="I94" s="386" t="s">
        <v>518</v>
      </c>
      <c r="J94" s="377" t="s">
        <v>518</v>
      </c>
      <c r="K94" s="377" t="s">
        <v>518</v>
      </c>
      <c r="L94" s="388"/>
      <c r="M94" s="666">
        <f>+'MATRIZ GENERAL CONSOLIDADA'!U94</f>
        <v>30000000.100000001</v>
      </c>
      <c r="N94" s="669">
        <f>+'MATRIZ GENERAL CONSOLIDADA'!W94</f>
        <v>27013903</v>
      </c>
      <c r="O94" s="377">
        <f>+N94/M94*100</f>
        <v>90.046343033178857</v>
      </c>
      <c r="P94" s="377">
        <f>+'MATRIZ GENERAL CONSOLIDADA'!E94</f>
        <v>124565885.09999999</v>
      </c>
      <c r="Q94" s="377">
        <f>+'MATRIZ GENERAL CONSOLIDADA'!G94</f>
        <v>121579788</v>
      </c>
      <c r="R94" s="506">
        <f t="shared" si="18"/>
        <v>97.602797027771459</v>
      </c>
      <c r="S94" s="377"/>
    </row>
    <row r="95" spans="1:19" ht="79.5" customHeight="1">
      <c r="A95" s="59"/>
      <c r="B95" s="422" t="s">
        <v>517</v>
      </c>
      <c r="C95" s="412"/>
      <c r="D95" s="646"/>
      <c r="E95" s="640"/>
      <c r="F95" s="640">
        <f>AVERAGE(F96:F99)</f>
        <v>100</v>
      </c>
      <c r="G95" s="522"/>
      <c r="H95" s="396"/>
      <c r="I95" s="509">
        <f>AVERAGE(I96:I100)</f>
        <v>32.747500000000002</v>
      </c>
      <c r="J95" s="509">
        <f>AVERAGE(J96:J100)</f>
        <v>32.746124999999999</v>
      </c>
      <c r="K95" s="331">
        <f>AVERAGE(K96:K99)</f>
        <v>100</v>
      </c>
      <c r="L95" s="331"/>
      <c r="M95" s="331">
        <f>SUM(M96:M99)</f>
        <v>5067457657.7451992</v>
      </c>
      <c r="N95" s="331">
        <f>SUM(N96:N99)</f>
        <v>5067352577</v>
      </c>
      <c r="O95" s="331">
        <f>+N95/M95*100</f>
        <v>99.997926361653185</v>
      </c>
      <c r="P95" s="331">
        <f>SUM(P96:P99)</f>
        <v>9827046220.2531986</v>
      </c>
      <c r="Q95" s="406">
        <f>SUM(Q96:Q99)</f>
        <v>9822158479.8080006</v>
      </c>
      <c r="R95" s="406">
        <f t="shared" si="18"/>
        <v>99.950262364339707</v>
      </c>
      <c r="S95" s="41"/>
    </row>
    <row r="96" spans="1:19" ht="217.5" customHeight="1">
      <c r="A96" s="59"/>
      <c r="B96" s="414" t="s">
        <v>431</v>
      </c>
      <c r="C96" s="394" t="s">
        <v>432</v>
      </c>
      <c r="D96" s="639">
        <f>+'[2]MATRIZ GENERAL CONSOLIDADA'!T96</f>
        <v>1</v>
      </c>
      <c r="E96" s="662">
        <f>+'MATRIZ GENERAL CONSOLIDADA'!V96</f>
        <v>1</v>
      </c>
      <c r="F96" s="639">
        <f t="shared" si="16"/>
        <v>100</v>
      </c>
      <c r="G96" s="572"/>
      <c r="H96" s="377"/>
      <c r="I96" s="386">
        <f>+'MATRIZ GENERAL CONSOLIDADA'!D96</f>
        <v>4</v>
      </c>
      <c r="J96" s="377">
        <f>+'MATRIZ GENERAL CONSOLIDADA'!F96</f>
        <v>4</v>
      </c>
      <c r="K96" s="377">
        <f t="shared" ref="K96:K102" si="21">+(J96/I96)*100</f>
        <v>100</v>
      </c>
      <c r="L96" s="388"/>
      <c r="M96" s="666">
        <f>+'MATRIZ GENERAL CONSOLIDADA'!U96</f>
        <v>0</v>
      </c>
      <c r="N96" s="669">
        <f>+'MATRIZ GENERAL CONSOLIDADA'!W96</f>
        <v>0</v>
      </c>
      <c r="O96" s="377" t="s">
        <v>518</v>
      </c>
      <c r="P96" s="377">
        <f>+'MATRIZ GENERAL CONSOLIDADA'!E96</f>
        <v>2341241156.4000001</v>
      </c>
      <c r="Q96" s="377">
        <f>+'MATRIZ GENERAL CONSOLIDADA'!G96</f>
        <v>2341241155</v>
      </c>
      <c r="R96" s="506">
        <f t="shared" si="18"/>
        <v>99.999999940202656</v>
      </c>
      <c r="S96" s="377" t="s">
        <v>614</v>
      </c>
    </row>
    <row r="97" spans="1:19" ht="79.5" customHeight="1">
      <c r="A97" s="59"/>
      <c r="B97" s="414" t="s">
        <v>433</v>
      </c>
      <c r="C97" s="394" t="s">
        <v>130</v>
      </c>
      <c r="D97" s="639">
        <f>+'[2]MATRIZ GENERAL CONSOLIDADA'!T97</f>
        <v>1</v>
      </c>
      <c r="E97" s="662">
        <f>+'MATRIZ GENERAL CONSOLIDADA'!V97</f>
        <v>1</v>
      </c>
      <c r="F97" s="639">
        <f t="shared" si="16"/>
        <v>100</v>
      </c>
      <c r="G97" s="572"/>
      <c r="H97" s="377"/>
      <c r="I97" s="386">
        <f>+'MATRIZ GENERAL CONSOLIDADA'!D97</f>
        <v>4</v>
      </c>
      <c r="J97" s="377">
        <f>+'MATRIZ GENERAL CONSOLIDADA'!F97</f>
        <v>4</v>
      </c>
      <c r="K97" s="377">
        <f t="shared" si="21"/>
        <v>100</v>
      </c>
      <c r="L97" s="388"/>
      <c r="M97" s="666">
        <f>+'MATRIZ GENERAL CONSOLIDADA'!U97</f>
        <v>915507226.5</v>
      </c>
      <c r="N97" s="669">
        <f>+'MATRIZ GENERAL CONSOLIDADA'!W97</f>
        <v>915495373</v>
      </c>
      <c r="O97" s="377">
        <f t="shared" ref="O97" si="22">+N97/M97*100</f>
        <v>99.998705253256688</v>
      </c>
      <c r="P97" s="377">
        <f>+'MATRIZ GENERAL CONSOLIDADA'!E97</f>
        <v>1175507226.5</v>
      </c>
      <c r="Q97" s="377">
        <f>+'MATRIZ GENERAL CONSOLIDADA'!G97</f>
        <v>1175495373</v>
      </c>
      <c r="R97" s="506">
        <f t="shared" si="18"/>
        <v>99.998991626786065</v>
      </c>
      <c r="S97" s="377" t="s">
        <v>594</v>
      </c>
    </row>
    <row r="98" spans="1:19" ht="79.5" customHeight="1">
      <c r="A98" s="59"/>
      <c r="B98" s="414" t="s">
        <v>434</v>
      </c>
      <c r="C98" s="394" t="s">
        <v>1</v>
      </c>
      <c r="D98" s="639">
        <f>+'[2]MATRIZ GENERAL CONSOLIDADA'!T98</f>
        <v>100</v>
      </c>
      <c r="E98" s="639">
        <f>+'MATRIZ GENERAL CONSOLIDADA'!V98</f>
        <v>100</v>
      </c>
      <c r="F98" s="639">
        <f t="shared" si="16"/>
        <v>100</v>
      </c>
      <c r="G98" s="572"/>
      <c r="H98" s="377"/>
      <c r="I98" s="386">
        <f>+'MATRIZ GENERAL CONSOLIDADA'!D98</f>
        <v>100</v>
      </c>
      <c r="J98" s="377">
        <f>+'MATRIZ GENERAL CONSOLIDADA'!F98</f>
        <v>100</v>
      </c>
      <c r="K98" s="377">
        <f t="shared" si="21"/>
        <v>100</v>
      </c>
      <c r="L98" s="388"/>
      <c r="M98" s="666">
        <f>+'MATRIZ GENERAL CONSOLIDADA'!U98</f>
        <v>3856950431.2451997</v>
      </c>
      <c r="N98" s="669">
        <f>+'MATRIZ GENERAL CONSOLIDADA'!W98</f>
        <v>3856950431</v>
      </c>
      <c r="O98" s="377" t="s">
        <v>518</v>
      </c>
      <c r="P98" s="377">
        <f>+'MATRIZ GENERAL CONSOLIDADA'!E98</f>
        <v>5006045766.2451992</v>
      </c>
      <c r="Q98" s="377">
        <f>+'MATRIZ GENERAL CONSOLIDADA'!G98</f>
        <v>5001262040</v>
      </c>
      <c r="R98" s="506">
        <f t="shared" si="18"/>
        <v>99.9044410205465</v>
      </c>
      <c r="S98" s="377" t="s">
        <v>595</v>
      </c>
    </row>
    <row r="99" spans="1:19" ht="79.5" customHeight="1">
      <c r="A99" s="59"/>
      <c r="B99" s="414" t="s">
        <v>435</v>
      </c>
      <c r="C99" s="394" t="s">
        <v>436</v>
      </c>
      <c r="D99" s="639">
        <f>+'[2]MATRIZ GENERAL CONSOLIDADA'!T99</f>
        <v>38</v>
      </c>
      <c r="E99" s="639">
        <f>+'MATRIZ GENERAL CONSOLIDADA'!V99</f>
        <v>38</v>
      </c>
      <c r="F99" s="639">
        <f t="shared" si="16"/>
        <v>100</v>
      </c>
      <c r="G99" s="572"/>
      <c r="H99" s="377"/>
      <c r="I99" s="386">
        <f>+'MATRIZ GENERAL CONSOLIDADA'!D99</f>
        <v>38</v>
      </c>
      <c r="J99" s="377">
        <f>+'MATRIZ GENERAL CONSOLIDADA'!F99</f>
        <v>38</v>
      </c>
      <c r="K99" s="377">
        <f t="shared" si="21"/>
        <v>100</v>
      </c>
      <c r="L99" s="388"/>
      <c r="M99" s="666">
        <f>+'MATRIZ GENERAL CONSOLIDADA'!U99</f>
        <v>295000000</v>
      </c>
      <c r="N99" s="669">
        <f>+'MATRIZ GENERAL CONSOLIDADA'!W99</f>
        <v>294906773</v>
      </c>
      <c r="O99" s="377">
        <f>+N99/M99*100</f>
        <v>99.968397627118648</v>
      </c>
      <c r="P99" s="377">
        <f>+'MATRIZ GENERAL CONSOLIDADA'!E99</f>
        <v>1304252071.108</v>
      </c>
      <c r="Q99" s="377">
        <f>+'MATRIZ GENERAL CONSOLIDADA'!G99</f>
        <v>1304159911.8080001</v>
      </c>
      <c r="R99" s="506">
        <f t="shared" si="18"/>
        <v>99.992933934931642</v>
      </c>
      <c r="S99" s="377"/>
    </row>
    <row r="100" spans="1:19" ht="95.25" customHeight="1">
      <c r="A100" s="59"/>
      <c r="B100" s="407" t="s">
        <v>464</v>
      </c>
      <c r="C100" s="423"/>
      <c r="D100" s="408"/>
      <c r="E100" s="641"/>
      <c r="F100" s="649">
        <f>AVERAGE(F101,F111)</f>
        <v>99.6</v>
      </c>
      <c r="G100" s="409"/>
      <c r="H100" s="409"/>
      <c r="I100" s="409">
        <f>AVERAGE(I101,I111)</f>
        <v>17.737500000000001</v>
      </c>
      <c r="J100" s="409">
        <f>AVERAGE(J101,J111)</f>
        <v>17.730625</v>
      </c>
      <c r="K100" s="411">
        <f t="shared" si="21"/>
        <v>99.961240310077514</v>
      </c>
      <c r="L100" s="411"/>
      <c r="M100" s="411">
        <f>+M101+M111</f>
        <v>2521724803.5</v>
      </c>
      <c r="N100" s="411">
        <f>+N101+N111</f>
        <v>2294068427.5</v>
      </c>
      <c r="O100" s="411">
        <f>+(N100/M100)*100</f>
        <v>90.972195868318906</v>
      </c>
      <c r="P100" s="411">
        <f>+P101+P111</f>
        <v>13504442554.619999</v>
      </c>
      <c r="Q100" s="411">
        <f>+Q101+Q111</f>
        <v>13216786178.619999</v>
      </c>
      <c r="R100" s="411">
        <f t="shared" si="18"/>
        <v>97.869912994656787</v>
      </c>
      <c r="S100" s="377"/>
    </row>
    <row r="101" spans="1:19" ht="45" customHeight="1">
      <c r="A101" s="59"/>
      <c r="B101" s="333" t="s">
        <v>465</v>
      </c>
      <c r="C101" s="412"/>
      <c r="D101" s="331"/>
      <c r="E101" s="640"/>
      <c r="F101" s="730">
        <f>AVERAGE(F102:F108)</f>
        <v>99.2</v>
      </c>
      <c r="G101" s="505"/>
      <c r="H101" s="396"/>
      <c r="I101" s="396">
        <f>AVERAGE(I102:I109)</f>
        <v>14.125</v>
      </c>
      <c r="J101" s="396">
        <f>AVERAGE(J102:J109)</f>
        <v>14.11125</v>
      </c>
      <c r="K101" s="520">
        <f>+(J101/I101)*100</f>
        <v>99.902654867256629</v>
      </c>
      <c r="L101" s="331"/>
      <c r="M101" s="331">
        <f>SUM(M102:M110)</f>
        <v>846724803.5</v>
      </c>
      <c r="N101" s="331">
        <f>SUM(N102:N110)</f>
        <v>840712669</v>
      </c>
      <c r="O101" s="520">
        <f>+N101/M101*100</f>
        <v>99.289954129706786</v>
      </c>
      <c r="P101" s="331">
        <f>SUM(P102:P110)</f>
        <v>7062776507.5</v>
      </c>
      <c r="Q101" s="331">
        <f>SUM(Q102:Q110)</f>
        <v>6996764373</v>
      </c>
      <c r="R101" s="331">
        <f>+(Q101/P101)*100</f>
        <v>99.065351502629298</v>
      </c>
      <c r="S101" s="377"/>
    </row>
    <row r="102" spans="1:19" ht="75" customHeight="1">
      <c r="A102" s="59"/>
      <c r="B102" s="414" t="s">
        <v>438</v>
      </c>
      <c r="C102" s="394" t="s">
        <v>511</v>
      </c>
      <c r="D102" s="639">
        <f>+'[2]MATRIZ GENERAL CONSOLIDADA'!T102</f>
        <v>1</v>
      </c>
      <c r="E102" s="642">
        <f>+'MATRIZ GENERAL CONSOLIDADA'!V102</f>
        <v>1</v>
      </c>
      <c r="F102" s="639">
        <f t="shared" ref="F102:F108" si="23">+(E102/D102)*100</f>
        <v>100</v>
      </c>
      <c r="G102" s="572"/>
      <c r="H102" s="377"/>
      <c r="I102" s="386">
        <f>+'MATRIZ GENERAL CONSOLIDADA'!D102</f>
        <v>1</v>
      </c>
      <c r="J102" s="377">
        <f>+'MATRIZ GENERAL CONSOLIDADA'!F102</f>
        <v>1</v>
      </c>
      <c r="K102" s="377">
        <f t="shared" si="21"/>
        <v>100</v>
      </c>
      <c r="L102" s="388"/>
      <c r="M102" s="666">
        <f>+'MATRIZ GENERAL CONSOLIDADA'!U102</f>
        <v>168830125.19999999</v>
      </c>
      <c r="N102" s="669">
        <f>+'MATRIZ GENERAL CONSOLIDADA'!W102</f>
        <v>168830125</v>
      </c>
      <c r="O102" s="377">
        <f>+N102/M102*100</f>
        <v>99.999999881537732</v>
      </c>
      <c r="P102" s="377">
        <f>+'MATRIZ GENERAL CONSOLIDADA'!E102</f>
        <v>549032596.20000005</v>
      </c>
      <c r="Q102" s="377">
        <f>+'MATRIZ GENERAL CONSOLIDADA'!G102</f>
        <v>549032596</v>
      </c>
      <c r="R102" s="506">
        <f t="shared" si="18"/>
        <v>99.999999963572279</v>
      </c>
      <c r="S102" s="377"/>
    </row>
    <row r="103" spans="1:19" ht="38.25" customHeight="1">
      <c r="A103" s="59"/>
      <c r="B103" s="414" t="s">
        <v>439</v>
      </c>
      <c r="C103" s="394" t="s">
        <v>1</v>
      </c>
      <c r="D103" s="639">
        <f>+'[2]MATRIZ GENERAL CONSOLIDADA'!T103</f>
        <v>100</v>
      </c>
      <c r="E103" s="639">
        <f>+'MATRIZ GENERAL CONSOLIDADA'!V103</f>
        <v>100</v>
      </c>
      <c r="F103" s="639">
        <f t="shared" si="23"/>
        <v>100</v>
      </c>
      <c r="G103" s="572"/>
      <c r="H103" s="377"/>
      <c r="I103" s="386">
        <f>+'MATRIZ GENERAL CONSOLIDADA'!D103</f>
        <v>100</v>
      </c>
      <c r="J103" s="377">
        <f>+'MATRIZ GENERAL CONSOLIDADA'!F103</f>
        <v>100</v>
      </c>
      <c r="K103" s="377">
        <f t="shared" ref="K103:K109" si="24">+(J103/I103)*100</f>
        <v>100</v>
      </c>
      <c r="L103" s="388"/>
      <c r="M103" s="666">
        <f>+'MATRIZ GENERAL CONSOLIDADA'!U103</f>
        <v>515805688</v>
      </c>
      <c r="N103" s="669">
        <f>+'MATRIZ GENERAL CONSOLIDADA'!W103</f>
        <v>510142753</v>
      </c>
      <c r="O103" s="377">
        <f t="shared" ref="O103:O104" si="25">+N103/M103*100</f>
        <v>98.902118543524082</v>
      </c>
      <c r="P103" s="377">
        <f>+'MATRIZ GENERAL CONSOLIDADA'!E103</f>
        <v>2685643574</v>
      </c>
      <c r="Q103" s="377">
        <f>+'MATRIZ GENERAL CONSOLIDADA'!G103</f>
        <v>2679980639</v>
      </c>
      <c r="R103" s="506">
        <f t="shared" si="18"/>
        <v>99.78914048554978</v>
      </c>
      <c r="S103" s="377"/>
    </row>
    <row r="104" spans="1:19" ht="131.25" customHeight="1">
      <c r="A104" s="59"/>
      <c r="B104" s="414" t="s">
        <v>440</v>
      </c>
      <c r="C104" s="394" t="s">
        <v>178</v>
      </c>
      <c r="D104" s="639">
        <f>+'[2]MATRIZ GENERAL CONSOLIDADA'!T104</f>
        <v>1</v>
      </c>
      <c r="E104" s="642">
        <f>+'MATRIZ GENERAL CONSOLIDADA'!V104</f>
        <v>0.96</v>
      </c>
      <c r="F104" s="639">
        <f>+(E104/D104)*100</f>
        <v>96</v>
      </c>
      <c r="G104" s="572"/>
      <c r="H104" s="377"/>
      <c r="I104" s="386">
        <f>+'MATRIZ GENERAL CONSOLIDADA'!D104</f>
        <v>1</v>
      </c>
      <c r="J104" s="377">
        <f>+'MATRIZ GENERAL CONSOLIDADA'!F104</f>
        <v>0.99</v>
      </c>
      <c r="K104" s="377">
        <f t="shared" si="24"/>
        <v>99</v>
      </c>
      <c r="L104" s="388"/>
      <c r="M104" s="666">
        <f>+'MATRIZ GENERAL CONSOLIDADA'!U104</f>
        <v>72269356.299999997</v>
      </c>
      <c r="N104" s="669">
        <f>+'MATRIZ GENERAL CONSOLIDADA'!W104</f>
        <v>72264611</v>
      </c>
      <c r="O104" s="377">
        <f t="shared" si="25"/>
        <v>99.993433869840629</v>
      </c>
      <c r="P104" s="377">
        <f>+'MATRIZ GENERAL CONSOLIDADA'!E104</f>
        <v>270886656.30000001</v>
      </c>
      <c r="Q104" s="377">
        <f>+'MATRIZ GENERAL CONSOLIDADA'!G104</f>
        <v>270881911</v>
      </c>
      <c r="R104" s="506">
        <f t="shared" si="18"/>
        <v>99.998248234126834</v>
      </c>
      <c r="S104" s="377"/>
    </row>
    <row r="105" spans="1:19" ht="78" customHeight="1">
      <c r="A105" s="59"/>
      <c r="B105" s="414" t="s">
        <v>441</v>
      </c>
      <c r="C105" s="394" t="s">
        <v>192</v>
      </c>
      <c r="D105" s="639">
        <f>+'[2]MATRIZ GENERAL CONSOLIDADA'!P105</f>
        <v>0</v>
      </c>
      <c r="E105" s="642" t="s">
        <v>518</v>
      </c>
      <c r="F105" s="639" t="s">
        <v>518</v>
      </c>
      <c r="G105" s="572"/>
      <c r="H105" s="377"/>
      <c r="I105" s="386">
        <f>+'MATRIZ GENERAL CONSOLIDADA'!D105</f>
        <v>1</v>
      </c>
      <c r="J105" s="377">
        <f>+'MATRIZ GENERAL CONSOLIDADA'!F105</f>
        <v>1</v>
      </c>
      <c r="K105" s="377">
        <f t="shared" si="24"/>
        <v>100</v>
      </c>
      <c r="L105" s="388"/>
      <c r="M105" s="666">
        <f>+'MATRIZ GENERAL CONSOLIDADA'!U105</f>
        <v>0</v>
      </c>
      <c r="N105" s="669">
        <f>+'[2]MATRIZ GENERAL CONSOLIDADA'!W105</f>
        <v>0</v>
      </c>
      <c r="O105" s="377" t="s">
        <v>518</v>
      </c>
      <c r="P105" s="377">
        <f>+'MATRIZ GENERAL CONSOLIDADA'!E105</f>
        <v>0</v>
      </c>
      <c r="Q105" s="377">
        <f>+'MATRIZ GENERAL CONSOLIDADA'!G105</f>
        <v>0</v>
      </c>
      <c r="R105" s="506">
        <v>0</v>
      </c>
      <c r="S105" s="377" t="s">
        <v>596</v>
      </c>
    </row>
    <row r="106" spans="1:19" ht="101.25" customHeight="1">
      <c r="A106" s="59"/>
      <c r="B106" s="414" t="s">
        <v>442</v>
      </c>
      <c r="C106" s="394" t="s">
        <v>443</v>
      </c>
      <c r="D106" s="639">
        <f>+'[2]MATRIZ GENERAL CONSOLIDADA'!P106</f>
        <v>1</v>
      </c>
      <c r="E106" s="642">
        <f>+'MATRIZ GENERAL CONSOLIDADA'!V106</f>
        <v>1</v>
      </c>
      <c r="F106" s="639">
        <f>+(E106/D106)*100</f>
        <v>100</v>
      </c>
      <c r="G106" s="572"/>
      <c r="H106" s="377"/>
      <c r="I106" s="386">
        <f>+'MATRIZ GENERAL CONSOLIDADA'!D106</f>
        <v>4</v>
      </c>
      <c r="J106" s="523">
        <f>+'MATRIZ GENERAL CONSOLIDADA'!F106</f>
        <v>3.9</v>
      </c>
      <c r="K106" s="377">
        <f t="shared" si="24"/>
        <v>97.5</v>
      </c>
      <c r="L106" s="388"/>
      <c r="M106" s="666">
        <f>+'MATRIZ GENERAL CONSOLIDADA'!U106</f>
        <v>85217780</v>
      </c>
      <c r="N106" s="669">
        <f>+'MATRIZ GENERAL CONSOLIDADA'!W106</f>
        <v>84873326</v>
      </c>
      <c r="O106" s="377" t="s">
        <v>518</v>
      </c>
      <c r="P106" s="377">
        <f>+'MATRIZ GENERAL CONSOLIDADA'!E106</f>
        <v>3367270132</v>
      </c>
      <c r="Q106" s="377">
        <f>+'MATRIZ GENERAL CONSOLIDADA'!G106</f>
        <v>3306925678</v>
      </c>
      <c r="R106" s="506">
        <f t="shared" si="18"/>
        <v>98.207911701929348</v>
      </c>
      <c r="S106" s="377"/>
    </row>
    <row r="107" spans="1:19" ht="42.75" customHeight="1">
      <c r="A107" s="59"/>
      <c r="B107" s="414" t="s">
        <v>444</v>
      </c>
      <c r="C107" s="394" t="s">
        <v>493</v>
      </c>
      <c r="D107" s="639">
        <f>+'[2]MATRIZ GENERAL CONSOLIDADA'!T107</f>
        <v>0</v>
      </c>
      <c r="E107" s="642" t="s">
        <v>518</v>
      </c>
      <c r="F107" s="639" t="s">
        <v>518</v>
      </c>
      <c r="G107" s="572"/>
      <c r="H107" s="377"/>
      <c r="I107" s="386">
        <f>+'MATRIZ GENERAL CONSOLIDADA'!D107</f>
        <v>3</v>
      </c>
      <c r="J107" s="377">
        <f>+'MATRIZ GENERAL CONSOLIDADA'!F107</f>
        <v>3</v>
      </c>
      <c r="K107" s="377">
        <f t="shared" si="24"/>
        <v>100</v>
      </c>
      <c r="L107" s="388"/>
      <c r="M107" s="666">
        <f>+'MATRIZ GENERAL CONSOLIDADA'!U107</f>
        <v>0</v>
      </c>
      <c r="N107" s="669">
        <f>+'[2]MATRIZ GENERAL CONSOLIDADA'!W107</f>
        <v>0</v>
      </c>
      <c r="O107" s="377" t="s">
        <v>518</v>
      </c>
      <c r="P107" s="377">
        <f>+'MATRIZ GENERAL CONSOLIDADA'!E107</f>
        <v>94671399</v>
      </c>
      <c r="Q107" s="377">
        <f>+'MATRIZ GENERAL CONSOLIDADA'!G107</f>
        <v>94671399</v>
      </c>
      <c r="R107" s="506">
        <f t="shared" si="18"/>
        <v>100</v>
      </c>
      <c r="S107" s="377"/>
    </row>
    <row r="108" spans="1:19" ht="35.25" customHeight="1">
      <c r="A108" s="59"/>
      <c r="B108" s="414" t="s">
        <v>445</v>
      </c>
      <c r="C108" s="394" t="s">
        <v>191</v>
      </c>
      <c r="D108" s="639">
        <f>+'[2]MATRIZ GENERAL CONSOLIDADA'!P108</f>
        <v>1</v>
      </c>
      <c r="E108" s="639">
        <f>+'MATRIZ GENERAL CONSOLIDADA'!V108</f>
        <v>1</v>
      </c>
      <c r="F108" s="639">
        <f t="shared" si="23"/>
        <v>100</v>
      </c>
      <c r="G108" s="572"/>
      <c r="H108" s="377"/>
      <c r="I108" s="386">
        <f>+'MATRIZ GENERAL CONSOLIDADA'!D108</f>
        <v>1</v>
      </c>
      <c r="J108" s="377">
        <f>+'MATRIZ GENERAL CONSOLIDADA'!F108</f>
        <v>1</v>
      </c>
      <c r="K108" s="377">
        <f>+(J108/I108)*100</f>
        <v>100</v>
      </c>
      <c r="L108" s="388"/>
      <c r="M108" s="666">
        <f>+'MATRIZ GENERAL CONSOLIDADA'!U108</f>
        <v>0</v>
      </c>
      <c r="N108" s="669">
        <f>+'[2]MATRIZ GENERAL CONSOLIDADA'!W108</f>
        <v>0</v>
      </c>
      <c r="O108" s="377" t="s">
        <v>518</v>
      </c>
      <c r="P108" s="377">
        <f>+'MATRIZ GENERAL CONSOLIDADA'!E108</f>
        <v>21682030</v>
      </c>
      <c r="Q108" s="377">
        <f>+'MATRIZ GENERAL CONSOLIDADA'!G108</f>
        <v>21682030</v>
      </c>
      <c r="R108" s="506">
        <f t="shared" si="18"/>
        <v>100</v>
      </c>
      <c r="S108" s="377"/>
    </row>
    <row r="109" spans="1:19" ht="35.25" customHeight="1">
      <c r="A109" s="59"/>
      <c r="B109" s="414" t="s">
        <v>446</v>
      </c>
      <c r="C109" s="394" t="s">
        <v>130</v>
      </c>
      <c r="D109" s="639">
        <f>+'[2]MATRIZ GENERAL CONSOLIDADA'!P109</f>
        <v>0</v>
      </c>
      <c r="E109" s="642" t="s">
        <v>518</v>
      </c>
      <c r="F109" s="639" t="s">
        <v>518</v>
      </c>
      <c r="G109" s="572"/>
      <c r="H109" s="377"/>
      <c r="I109" s="386">
        <f>+'MATRIZ GENERAL CONSOLIDADA'!D109</f>
        <v>2</v>
      </c>
      <c r="J109" s="377">
        <f>+'MATRIZ GENERAL CONSOLIDADA'!F109</f>
        <v>2</v>
      </c>
      <c r="K109" s="377">
        <f t="shared" si="24"/>
        <v>100</v>
      </c>
      <c r="L109" s="388"/>
      <c r="M109" s="666">
        <f>+'MATRIZ GENERAL CONSOLIDADA'!U109</f>
        <v>0</v>
      </c>
      <c r="N109" s="669">
        <f>+'[2]MATRIZ GENERAL CONSOLIDADA'!W109</f>
        <v>0</v>
      </c>
      <c r="O109" s="377" t="s">
        <v>518</v>
      </c>
      <c r="P109" s="377">
        <f>+'MATRIZ GENERAL CONSOLIDADA'!E109</f>
        <v>50191686</v>
      </c>
      <c r="Q109" s="377">
        <f>+'MATRIZ GENERAL CONSOLIDADA'!G109</f>
        <v>50191686</v>
      </c>
      <c r="R109" s="506">
        <f t="shared" si="18"/>
        <v>100</v>
      </c>
      <c r="S109" s="377" t="s">
        <v>597</v>
      </c>
    </row>
    <row r="110" spans="1:19" ht="51.75" customHeight="1">
      <c r="A110" s="59"/>
      <c r="B110" s="414" t="s">
        <v>514</v>
      </c>
      <c r="C110" s="394" t="str">
        <f>+'MATRIZ GENERAL CONSOLIDADA'!C110</f>
        <v>Global</v>
      </c>
      <c r="D110" s="639" t="s">
        <v>518</v>
      </c>
      <c r="E110" s="642" t="s">
        <v>518</v>
      </c>
      <c r="F110" s="639" t="s">
        <v>518</v>
      </c>
      <c r="G110" s="572"/>
      <c r="H110" s="377"/>
      <c r="I110" s="386" t="s">
        <v>518</v>
      </c>
      <c r="J110" s="388" t="s">
        <v>518</v>
      </c>
      <c r="K110" s="377" t="s">
        <v>518</v>
      </c>
      <c r="L110" s="388"/>
      <c r="M110" s="666">
        <f>+'MATRIZ GENERAL CONSOLIDADA'!U110</f>
        <v>4601854</v>
      </c>
      <c r="N110" s="666">
        <f>+'MATRIZ GENERAL CONSOLIDADA'!W110</f>
        <v>4601854</v>
      </c>
      <c r="O110" s="377" t="s">
        <v>518</v>
      </c>
      <c r="P110" s="377">
        <f>+'MATRIZ GENERAL CONSOLIDADA'!E110</f>
        <v>23398434</v>
      </c>
      <c r="Q110" s="377">
        <f>+'MATRIZ GENERAL CONSOLIDADA'!G110</f>
        <v>23398434</v>
      </c>
      <c r="R110" s="506">
        <f t="shared" si="18"/>
        <v>100</v>
      </c>
      <c r="S110" s="377"/>
    </row>
    <row r="111" spans="1:19" ht="45" customHeight="1">
      <c r="A111" s="59"/>
      <c r="B111" s="333" t="s">
        <v>466</v>
      </c>
      <c r="C111" s="412"/>
      <c r="D111" s="331"/>
      <c r="E111" s="640"/>
      <c r="F111" s="640">
        <f>AVERAGE(F112:F116)</f>
        <v>100</v>
      </c>
      <c r="G111" s="396"/>
      <c r="H111" s="396"/>
      <c r="I111" s="396">
        <f>AVERAGE(I112:I116)</f>
        <v>21.35</v>
      </c>
      <c r="J111" s="396">
        <f>AVERAGE(J112:J116)</f>
        <v>21.35</v>
      </c>
      <c r="K111" s="331">
        <f>+(J111/I111)*100</f>
        <v>100</v>
      </c>
      <c r="L111" s="331"/>
      <c r="M111" s="331">
        <f>SUM(M112:M117)</f>
        <v>1675000000</v>
      </c>
      <c r="N111" s="331">
        <f>SUM(N112:N117)</f>
        <v>1453355758.5</v>
      </c>
      <c r="O111" s="331">
        <f>(N111/M111)*100</f>
        <v>86.767507970149254</v>
      </c>
      <c r="P111" s="331">
        <f>SUM(P112:P117)</f>
        <v>6441666047.1199999</v>
      </c>
      <c r="Q111" s="406">
        <f>SUM(Q112:Q117)</f>
        <v>6220021805.6199999</v>
      </c>
      <c r="R111" s="331">
        <f>+(Q111/P111)*100</f>
        <v>96.55920937411689</v>
      </c>
      <c r="S111" s="377"/>
    </row>
    <row r="112" spans="1:19" ht="92.25" customHeight="1">
      <c r="A112" s="59"/>
      <c r="B112" s="393" t="s">
        <v>447</v>
      </c>
      <c r="C112" s="394" t="s">
        <v>1</v>
      </c>
      <c r="D112" s="639">
        <f>+'[2]MATRIZ GENERAL CONSOLIDADA'!T112</f>
        <v>100</v>
      </c>
      <c r="E112" s="639">
        <f>+'MATRIZ GENERAL CONSOLIDADA'!V112</f>
        <v>100</v>
      </c>
      <c r="F112" s="639">
        <f t="shared" si="16"/>
        <v>100</v>
      </c>
      <c r="G112" s="572"/>
      <c r="H112" s="377"/>
      <c r="I112" s="386">
        <f>+'MATRIZ GENERAL CONSOLIDADA'!D112</f>
        <v>100</v>
      </c>
      <c r="J112" s="377">
        <f>+'MATRIZ GENERAL CONSOLIDADA'!F112</f>
        <v>100</v>
      </c>
      <c r="K112" s="377">
        <f>+(J112/I112)*100</f>
        <v>100</v>
      </c>
      <c r="L112" s="388"/>
      <c r="M112" s="666">
        <f>+'MATRIZ GENERAL CONSOLIDADA'!U112</f>
        <v>0</v>
      </c>
      <c r="N112" s="669">
        <f>+'MATRIZ GENERAL CONSOLIDADA'!W112</f>
        <v>0</v>
      </c>
      <c r="O112" s="377">
        <v>0</v>
      </c>
      <c r="P112" s="377">
        <f>+'MATRIZ GENERAL CONSOLIDADA'!E112</f>
        <v>0</v>
      </c>
      <c r="Q112" s="377">
        <f>+'MATRIZ GENERAL CONSOLIDADA'!G112</f>
        <v>0</v>
      </c>
      <c r="R112" s="506">
        <v>0</v>
      </c>
      <c r="S112" s="377"/>
    </row>
    <row r="113" spans="1:19" ht="43.5" customHeight="1">
      <c r="A113" s="59"/>
      <c r="B113" s="417" t="s">
        <v>448</v>
      </c>
      <c r="C113" s="394" t="s">
        <v>494</v>
      </c>
      <c r="D113" s="639">
        <f>+'[2]MATRIZ GENERAL CONSOLIDADA'!T113</f>
        <v>1</v>
      </c>
      <c r="E113" s="639">
        <f>+'MATRIZ GENERAL CONSOLIDADA'!V113</f>
        <v>1</v>
      </c>
      <c r="F113" s="639">
        <f t="shared" si="16"/>
        <v>100</v>
      </c>
      <c r="G113" s="572"/>
      <c r="H113" s="377"/>
      <c r="I113" s="386">
        <f>+'MATRIZ GENERAL CONSOLIDADA'!D113</f>
        <v>1</v>
      </c>
      <c r="J113" s="377">
        <f>+'MATRIZ GENERAL CONSOLIDADA'!F113</f>
        <v>1</v>
      </c>
      <c r="K113" s="377">
        <f t="shared" ref="K113:K116" si="26">+(J113/I113)*100</f>
        <v>100</v>
      </c>
      <c r="L113" s="388"/>
      <c r="M113" s="666">
        <f>+'MATRIZ GENERAL CONSOLIDADA'!U113</f>
        <v>1117227105</v>
      </c>
      <c r="N113" s="669">
        <f>+'MATRIZ GENERAL CONSOLIDADA'!W113</f>
        <v>918023782.5</v>
      </c>
      <c r="O113" s="377">
        <f>+N113/M113*100</f>
        <v>82.1698451811192</v>
      </c>
      <c r="P113" s="377">
        <f>+'MATRIZ GENERAL CONSOLIDADA'!E113</f>
        <v>2609816117.7600002</v>
      </c>
      <c r="Q113" s="377">
        <f>+'MATRIZ GENERAL CONSOLIDADA'!G113</f>
        <v>2410612795.2600002</v>
      </c>
      <c r="R113" s="506">
        <f t="shared" si="18"/>
        <v>92.367151036258605</v>
      </c>
      <c r="S113" s="377"/>
    </row>
    <row r="114" spans="1:19" ht="51" customHeight="1">
      <c r="A114" s="59"/>
      <c r="B114" s="389" t="s">
        <v>449</v>
      </c>
      <c r="C114" s="394" t="s">
        <v>178</v>
      </c>
      <c r="D114" s="639">
        <f>+'[2]MATRIZ GENERAL CONSOLIDADA'!T114</f>
        <v>0</v>
      </c>
      <c r="E114" s="639" t="s">
        <v>518</v>
      </c>
      <c r="F114" s="639" t="s">
        <v>518</v>
      </c>
      <c r="G114" s="572"/>
      <c r="H114" s="377"/>
      <c r="I114" s="386">
        <f>+'MATRIZ GENERAL CONSOLIDADA'!D114</f>
        <v>0.75</v>
      </c>
      <c r="J114" s="377">
        <f>+'MATRIZ GENERAL CONSOLIDADA'!F114</f>
        <v>0.75</v>
      </c>
      <c r="K114" s="377">
        <f t="shared" si="26"/>
        <v>100</v>
      </c>
      <c r="L114" s="388"/>
      <c r="M114" s="666">
        <f>+'MATRIZ GENERAL CONSOLIDADA'!U114</f>
        <v>0</v>
      </c>
      <c r="N114" s="669">
        <f>+'MATRIZ GENERAL CONSOLIDADA'!W114</f>
        <v>0</v>
      </c>
      <c r="O114" s="377" t="s">
        <v>518</v>
      </c>
      <c r="P114" s="377">
        <f>+'MATRIZ GENERAL CONSOLIDADA'!E114</f>
        <v>1650410735</v>
      </c>
      <c r="Q114" s="377">
        <f>+'MATRIZ GENERAL CONSOLIDADA'!G114</f>
        <v>1650410735</v>
      </c>
      <c r="R114" s="506">
        <f t="shared" si="18"/>
        <v>100</v>
      </c>
      <c r="S114" s="377" t="s">
        <v>590</v>
      </c>
    </row>
    <row r="115" spans="1:19" ht="75" customHeight="1">
      <c r="A115" s="59"/>
      <c r="B115" s="389" t="s">
        <v>451</v>
      </c>
      <c r="C115" s="394" t="s">
        <v>495</v>
      </c>
      <c r="D115" s="639">
        <f>+'[2]MATRIZ GENERAL CONSOLIDADA'!T115</f>
        <v>1</v>
      </c>
      <c r="E115" s="642">
        <f>+'MATRIZ GENERAL CONSOLIDADA'!V115</f>
        <v>1</v>
      </c>
      <c r="F115" s="639">
        <f t="shared" si="16"/>
        <v>100</v>
      </c>
      <c r="G115" s="572"/>
      <c r="H115" s="377"/>
      <c r="I115" s="386">
        <f>+'MATRIZ GENERAL CONSOLIDADA'!D115</f>
        <v>4</v>
      </c>
      <c r="J115" s="377">
        <f>+'MATRIZ GENERAL CONSOLIDADA'!F115</f>
        <v>4</v>
      </c>
      <c r="K115" s="377">
        <f t="shared" si="26"/>
        <v>100</v>
      </c>
      <c r="L115" s="388"/>
      <c r="M115" s="666">
        <f>+'MATRIZ GENERAL CONSOLIDADA'!U115</f>
        <v>210067174</v>
      </c>
      <c r="N115" s="669">
        <f>+'MATRIZ GENERAL CONSOLIDADA'!W115</f>
        <v>191466625</v>
      </c>
      <c r="O115" s="377">
        <f t="shared" ref="O115:O116" si="27">+N115/M115*100</f>
        <v>91.145428081019446</v>
      </c>
      <c r="P115" s="377">
        <f>+'MATRIZ GENERAL CONSOLIDADA'!E115</f>
        <v>1065021941.36</v>
      </c>
      <c r="Q115" s="377">
        <f>+'MATRIZ GENERAL CONSOLIDADA'!G115</f>
        <v>1046421392.36</v>
      </c>
      <c r="R115" s="506">
        <f t="shared" si="18"/>
        <v>98.253505559120441</v>
      </c>
      <c r="S115" s="377"/>
    </row>
    <row r="116" spans="1:19" ht="75" customHeight="1">
      <c r="A116" s="59"/>
      <c r="B116" s="389" t="s">
        <v>452</v>
      </c>
      <c r="C116" s="394" t="s">
        <v>191</v>
      </c>
      <c r="D116" s="639">
        <f>+'[2]MATRIZ GENERAL CONSOLIDADA'!T116</f>
        <v>1</v>
      </c>
      <c r="E116" s="639">
        <f>+'MATRIZ GENERAL CONSOLIDADA'!V116</f>
        <v>1</v>
      </c>
      <c r="F116" s="639">
        <f>+(E116/D116)*100</f>
        <v>100</v>
      </c>
      <c r="G116" s="572"/>
      <c r="H116" s="377"/>
      <c r="I116" s="386">
        <f>+'MATRIZ GENERAL CONSOLIDADA'!D116</f>
        <v>1</v>
      </c>
      <c r="J116" s="377">
        <f>+'MATRIZ GENERAL CONSOLIDADA'!F116</f>
        <v>1</v>
      </c>
      <c r="K116" s="377">
        <f t="shared" si="26"/>
        <v>100</v>
      </c>
      <c r="L116" s="388"/>
      <c r="M116" s="666">
        <f>+'MATRIZ GENERAL CONSOLIDADA'!U116</f>
        <v>307547804</v>
      </c>
      <c r="N116" s="669">
        <f>+'MATRIZ GENERAL CONSOLIDADA'!W116</f>
        <v>303707434</v>
      </c>
      <c r="O116" s="377">
        <f t="shared" si="27"/>
        <v>98.751293311136763</v>
      </c>
      <c r="P116" s="377">
        <f>+'MATRIZ GENERAL CONSOLIDADA'!E116</f>
        <v>995390015</v>
      </c>
      <c r="Q116" s="377">
        <f>+'MATRIZ GENERAL CONSOLIDADA'!G116</f>
        <v>991549645</v>
      </c>
      <c r="R116" s="506">
        <f t="shared" si="18"/>
        <v>99.614184395852106</v>
      </c>
      <c r="S116" s="377"/>
    </row>
    <row r="117" spans="1:19" ht="75" customHeight="1">
      <c r="A117" s="59"/>
      <c r="B117" s="414" t="s">
        <v>514</v>
      </c>
      <c r="C117" s="394" t="s">
        <v>515</v>
      </c>
      <c r="D117" s="639" t="s">
        <v>518</v>
      </c>
      <c r="E117" s="639" t="s">
        <v>518</v>
      </c>
      <c r="F117" s="639" t="s">
        <v>518</v>
      </c>
      <c r="G117" s="572"/>
      <c r="H117" s="377"/>
      <c r="I117" s="386" t="s">
        <v>518</v>
      </c>
      <c r="J117" s="377" t="s">
        <v>518</v>
      </c>
      <c r="K117" s="377" t="s">
        <v>518</v>
      </c>
      <c r="L117" s="388"/>
      <c r="M117" s="666">
        <f>+'MATRIZ GENERAL CONSOLIDADA'!U117</f>
        <v>40157917</v>
      </c>
      <c r="N117" s="669">
        <f>+'MATRIZ GENERAL CONSOLIDADA'!W117</f>
        <v>40157917</v>
      </c>
      <c r="O117" s="377">
        <f>+N117/M117*100</f>
        <v>100</v>
      </c>
      <c r="P117" s="377">
        <f>+'MATRIZ GENERAL CONSOLIDADA'!E117</f>
        <v>121027238</v>
      </c>
      <c r="Q117" s="377">
        <f>+'MATRIZ GENERAL CONSOLIDADA'!G117</f>
        <v>121027238</v>
      </c>
      <c r="R117" s="506">
        <f t="shared" si="18"/>
        <v>100</v>
      </c>
      <c r="S117" s="377"/>
    </row>
    <row r="118" spans="1:19" s="150" customFormat="1" ht="36" customHeight="1" thickBot="1">
      <c r="B118" s="836" t="s">
        <v>84</v>
      </c>
      <c r="C118" s="837"/>
      <c r="D118" s="671"/>
      <c r="E118" s="672"/>
      <c r="F118" s="672">
        <f>AVERAGE(F5,F33,F55,F69,F87,F100)</f>
        <v>99.35258535680434</v>
      </c>
      <c r="G118" s="672"/>
      <c r="H118" s="672"/>
      <c r="I118" s="672"/>
      <c r="J118" s="671"/>
      <c r="K118" s="672">
        <f>AVERAGE(K5,K33,K55,K69,K87,K100)</f>
        <v>99.245021463440196</v>
      </c>
      <c r="L118" s="672"/>
      <c r="M118" s="672">
        <f>+M5+M33+M55+M69+M87+M100</f>
        <v>28214806441.31411</v>
      </c>
      <c r="N118" s="672">
        <f>+N5+N33+N55+N69+N87+N100</f>
        <v>27708281591.608002</v>
      </c>
      <c r="O118" s="672">
        <f>+N118/M118*100</f>
        <v>98.204755184978282</v>
      </c>
      <c r="P118" s="672">
        <f>+P6+P19+P30+P34+P46+P56+P64+P70+P88+P95+P101+P111</f>
        <v>116661297710.23892</v>
      </c>
      <c r="Q118" s="672">
        <f>+Q6+Q19+Q30+Q34+Q46+Q56+Q64+Q70+Q88+Q95+Q101+Q111</f>
        <v>115401416089.86501</v>
      </c>
      <c r="R118" s="672">
        <f>+Q118/P118*100</f>
        <v>98.920051769436697</v>
      </c>
      <c r="S118" s="34"/>
    </row>
    <row r="119" spans="1:19">
      <c r="I119" s="29"/>
      <c r="J119" s="29"/>
      <c r="K119" s="150"/>
      <c r="P119" s="29"/>
      <c r="Q119" s="29"/>
    </row>
    <row r="120" spans="1:19">
      <c r="I120" s="29"/>
      <c r="J120" s="29"/>
      <c r="K120" s="150"/>
      <c r="P120" s="775">
        <f>116661297709.539-P118</f>
        <v>-0.699920654296875</v>
      </c>
      <c r="Q120" s="776"/>
    </row>
    <row r="121" spans="1:19">
      <c r="I121" s="29"/>
      <c r="J121" s="29"/>
      <c r="K121" s="150"/>
      <c r="M121" s="1032">
        <f>28214806441-M118</f>
        <v>-0.31410980224609375</v>
      </c>
      <c r="N121" s="1032">
        <f>27708281592-N118</f>
        <v>0.391998291015625</v>
      </c>
      <c r="P121" s="780"/>
      <c r="Q121" s="29"/>
    </row>
    <row r="122" spans="1:19">
      <c r="I122" s="29"/>
      <c r="J122" s="29"/>
      <c r="K122" s="150"/>
      <c r="M122" s="779"/>
      <c r="N122" s="780"/>
      <c r="P122" s="29"/>
      <c r="Q122" s="29"/>
    </row>
    <row r="123" spans="1:19">
      <c r="I123" s="29"/>
      <c r="J123" s="29"/>
      <c r="K123" s="150"/>
      <c r="M123" s="779"/>
      <c r="N123" s="29"/>
      <c r="P123" s="29"/>
      <c r="Q123" s="29"/>
    </row>
    <row r="124" spans="1:19">
      <c r="I124" s="29"/>
      <c r="J124" s="29"/>
      <c r="K124" s="150"/>
      <c r="M124" s="779"/>
      <c r="N124" s="29"/>
      <c r="P124" s="29"/>
      <c r="Q124" s="29"/>
    </row>
    <row r="125" spans="1:19">
      <c r="I125" s="29"/>
      <c r="J125" s="29"/>
      <c r="K125" s="150"/>
      <c r="M125" s="779"/>
      <c r="N125" s="29"/>
      <c r="P125" s="29"/>
      <c r="Q125" s="29"/>
    </row>
    <row r="126" spans="1:19">
      <c r="I126" s="29"/>
      <c r="J126" s="29"/>
      <c r="K126" s="150"/>
      <c r="M126" s="779"/>
      <c r="N126" s="29"/>
      <c r="P126" s="29"/>
      <c r="Q126" s="29"/>
    </row>
    <row r="127" spans="1:19">
      <c r="I127" s="29"/>
      <c r="J127" s="29"/>
      <c r="K127" s="150"/>
      <c r="M127" s="779"/>
      <c r="N127" s="29"/>
      <c r="P127" s="29"/>
      <c r="Q127" s="29"/>
    </row>
    <row r="128" spans="1:19">
      <c r="I128" s="29"/>
      <c r="J128" s="29"/>
      <c r="K128" s="150"/>
      <c r="M128" s="779"/>
      <c r="N128" s="29"/>
      <c r="P128" s="29"/>
      <c r="Q128" s="29"/>
    </row>
    <row r="129" spans="9:17">
      <c r="I129" s="29"/>
      <c r="J129" s="29"/>
      <c r="K129" s="150"/>
      <c r="M129" s="779"/>
      <c r="N129" s="29"/>
      <c r="P129" s="29"/>
      <c r="Q129" s="29"/>
    </row>
    <row r="130" spans="9:17">
      <c r="I130" s="29"/>
      <c r="J130" s="29"/>
      <c r="K130" s="150"/>
      <c r="M130" s="779"/>
      <c r="N130" s="29"/>
      <c r="P130" s="29"/>
      <c r="Q130" s="29"/>
    </row>
    <row r="131" spans="9:17">
      <c r="I131" s="29"/>
      <c r="J131" s="29"/>
      <c r="K131" s="150"/>
      <c r="M131" s="779"/>
      <c r="N131" s="29"/>
      <c r="P131" s="29"/>
      <c r="Q131" s="29"/>
    </row>
    <row r="132" spans="9:17">
      <c r="I132" s="29"/>
      <c r="J132" s="29"/>
      <c r="K132" s="150"/>
      <c r="M132" s="779"/>
      <c r="N132" s="29"/>
      <c r="P132" s="29"/>
      <c r="Q132" s="29"/>
    </row>
    <row r="133" spans="9:17">
      <c r="I133" s="29"/>
      <c r="J133" s="29"/>
      <c r="K133" s="150"/>
      <c r="M133" s="779"/>
      <c r="N133" s="29"/>
      <c r="P133" s="29"/>
      <c r="Q133" s="29"/>
    </row>
    <row r="134" spans="9:17">
      <c r="I134" s="29"/>
      <c r="J134" s="29"/>
      <c r="K134" s="150"/>
      <c r="M134" s="779"/>
      <c r="N134" s="29"/>
      <c r="P134" s="29"/>
      <c r="Q134" s="29"/>
    </row>
    <row r="135" spans="9:17">
      <c r="I135" s="29"/>
      <c r="J135" s="29"/>
      <c r="K135" s="150"/>
      <c r="M135" s="779"/>
      <c r="N135" s="29"/>
      <c r="P135" s="29"/>
      <c r="Q135" s="29"/>
    </row>
    <row r="136" spans="9:17">
      <c r="I136" s="29"/>
      <c r="J136" s="29"/>
      <c r="K136" s="150"/>
      <c r="M136" s="779"/>
      <c r="N136" s="29"/>
      <c r="P136" s="29"/>
      <c r="Q136" s="29"/>
    </row>
    <row r="137" spans="9:17">
      <c r="I137" s="29"/>
      <c r="J137" s="29"/>
      <c r="K137" s="150"/>
      <c r="M137" s="779"/>
      <c r="N137" s="29"/>
      <c r="P137" s="29"/>
      <c r="Q137" s="29"/>
    </row>
    <row r="138" spans="9:17">
      <c r="I138" s="29"/>
      <c r="J138" s="29"/>
      <c r="K138" s="150"/>
      <c r="M138" s="779"/>
      <c r="N138" s="29"/>
      <c r="P138" s="29"/>
      <c r="Q138" s="29"/>
    </row>
    <row r="139" spans="9:17">
      <c r="I139" s="29"/>
      <c r="J139" s="29"/>
      <c r="K139" s="150"/>
      <c r="M139" s="779"/>
      <c r="N139" s="29"/>
      <c r="P139" s="29"/>
      <c r="Q139" s="29"/>
    </row>
    <row r="140" spans="9:17">
      <c r="I140" s="29"/>
      <c r="J140" s="29"/>
      <c r="K140" s="150"/>
      <c r="M140" s="779"/>
      <c r="N140" s="29"/>
      <c r="P140" s="29"/>
      <c r="Q140" s="29"/>
    </row>
    <row r="141" spans="9:17">
      <c r="I141" s="29"/>
      <c r="J141" s="29"/>
      <c r="K141" s="150"/>
      <c r="M141" s="779"/>
      <c r="N141" s="29"/>
      <c r="P141" s="29"/>
      <c r="Q141" s="29"/>
    </row>
    <row r="142" spans="9:17">
      <c r="I142" s="29"/>
      <c r="J142" s="29"/>
      <c r="K142" s="150"/>
      <c r="M142" s="779"/>
      <c r="N142" s="29"/>
      <c r="P142" s="29"/>
      <c r="Q142" s="29"/>
    </row>
    <row r="143" spans="9:17">
      <c r="I143" s="29"/>
      <c r="J143" s="29"/>
      <c r="K143" s="150"/>
      <c r="M143" s="779"/>
      <c r="N143" s="29"/>
      <c r="P143" s="29"/>
      <c r="Q143" s="29"/>
    </row>
    <row r="144" spans="9:17">
      <c r="I144" s="29"/>
      <c r="J144" s="29"/>
      <c r="K144" s="150"/>
      <c r="M144" s="779"/>
      <c r="N144" s="29"/>
      <c r="P144" s="29"/>
      <c r="Q144" s="29"/>
    </row>
    <row r="145" spans="9:17">
      <c r="I145" s="29"/>
      <c r="J145" s="29"/>
      <c r="K145" s="150"/>
      <c r="M145" s="779"/>
      <c r="N145" s="29"/>
      <c r="P145" s="29"/>
      <c r="Q145" s="29"/>
    </row>
    <row r="146" spans="9:17">
      <c r="I146" s="29"/>
      <c r="J146" s="29"/>
      <c r="K146" s="150"/>
      <c r="M146" s="779"/>
      <c r="N146" s="29"/>
      <c r="P146" s="29"/>
      <c r="Q146" s="29"/>
    </row>
    <row r="147" spans="9:17">
      <c r="I147" s="29"/>
      <c r="J147" s="29"/>
      <c r="K147" s="150"/>
      <c r="M147" s="779"/>
      <c r="N147" s="29"/>
      <c r="P147" s="29"/>
      <c r="Q147" s="29"/>
    </row>
    <row r="148" spans="9:17">
      <c r="I148" s="29"/>
      <c r="J148" s="29"/>
      <c r="K148" s="150"/>
      <c r="M148" s="779"/>
      <c r="N148" s="29"/>
      <c r="P148" s="29"/>
      <c r="Q148" s="29"/>
    </row>
    <row r="149" spans="9:17">
      <c r="I149" s="29"/>
      <c r="J149" s="29"/>
      <c r="K149" s="150"/>
      <c r="M149" s="779"/>
      <c r="N149" s="29"/>
      <c r="P149" s="29"/>
      <c r="Q149" s="29"/>
    </row>
    <row r="150" spans="9:17">
      <c r="I150" s="29"/>
      <c r="J150" s="29"/>
      <c r="K150" s="150"/>
      <c r="M150" s="779"/>
      <c r="N150" s="29"/>
      <c r="P150" s="29"/>
      <c r="Q150" s="29"/>
    </row>
    <row r="151" spans="9:17">
      <c r="I151" s="29"/>
      <c r="J151" s="29"/>
      <c r="K151" s="150"/>
      <c r="M151" s="779"/>
      <c r="N151" s="29"/>
      <c r="P151" s="29"/>
      <c r="Q151" s="29"/>
    </row>
    <row r="152" spans="9:17">
      <c r="I152" s="29"/>
      <c r="J152" s="29"/>
      <c r="K152" s="150"/>
      <c r="M152" s="779"/>
      <c r="N152" s="29"/>
      <c r="P152" s="29"/>
      <c r="Q152" s="29"/>
    </row>
    <row r="153" spans="9:17">
      <c r="I153" s="29"/>
      <c r="J153" s="29"/>
      <c r="K153" s="150"/>
      <c r="M153" s="779"/>
      <c r="N153" s="29"/>
      <c r="P153" s="29"/>
      <c r="Q153" s="29"/>
    </row>
    <row r="154" spans="9:17">
      <c r="I154" s="29"/>
      <c r="J154" s="29"/>
      <c r="K154" s="150"/>
      <c r="M154" s="779"/>
      <c r="N154" s="29"/>
      <c r="P154" s="29"/>
      <c r="Q154" s="29"/>
    </row>
    <row r="155" spans="9:17">
      <c r="I155" s="29"/>
      <c r="J155" s="29"/>
      <c r="K155" s="150"/>
      <c r="M155" s="779"/>
      <c r="N155" s="29"/>
      <c r="P155" s="29"/>
      <c r="Q155" s="29"/>
    </row>
    <row r="156" spans="9:17">
      <c r="I156" s="29"/>
      <c r="J156" s="29"/>
      <c r="K156" s="150"/>
      <c r="M156" s="779"/>
      <c r="N156" s="29"/>
      <c r="P156" s="29"/>
      <c r="Q156" s="29"/>
    </row>
    <row r="157" spans="9:17">
      <c r="I157" s="29"/>
      <c r="J157" s="29"/>
      <c r="K157" s="150"/>
      <c r="M157" s="779"/>
      <c r="N157" s="29"/>
      <c r="P157" s="29"/>
      <c r="Q157" s="29"/>
    </row>
    <row r="158" spans="9:17">
      <c r="I158" s="29"/>
      <c r="J158" s="29"/>
      <c r="K158" s="150"/>
      <c r="M158" s="779"/>
      <c r="N158" s="29"/>
      <c r="P158" s="29"/>
      <c r="Q158" s="29"/>
    </row>
    <row r="159" spans="9:17">
      <c r="I159" s="29"/>
      <c r="J159" s="29"/>
      <c r="K159" s="150"/>
      <c r="M159" s="779"/>
      <c r="N159" s="29"/>
      <c r="P159" s="29"/>
      <c r="Q159" s="29"/>
    </row>
    <row r="160" spans="9:17">
      <c r="I160" s="29"/>
      <c r="J160" s="29"/>
      <c r="K160" s="150"/>
      <c r="M160" s="779"/>
      <c r="N160" s="29"/>
      <c r="P160" s="29"/>
      <c r="Q160" s="29"/>
    </row>
    <row r="161" spans="9:17">
      <c r="I161" s="29"/>
      <c r="J161" s="29"/>
      <c r="K161" s="150"/>
      <c r="M161" s="779"/>
      <c r="N161" s="29"/>
      <c r="P161" s="29"/>
      <c r="Q161" s="29"/>
    </row>
    <row r="162" spans="9:17">
      <c r="I162" s="29"/>
      <c r="J162" s="29"/>
      <c r="K162" s="150"/>
      <c r="M162" s="779"/>
      <c r="N162" s="29"/>
      <c r="P162" s="29"/>
      <c r="Q162" s="29"/>
    </row>
    <row r="163" spans="9:17">
      <c r="I163" s="29"/>
      <c r="J163" s="29"/>
      <c r="K163" s="150"/>
      <c r="M163" s="779"/>
      <c r="N163" s="29"/>
      <c r="P163" s="29"/>
      <c r="Q163" s="29"/>
    </row>
    <row r="164" spans="9:17">
      <c r="I164" s="29"/>
      <c r="J164" s="29"/>
      <c r="K164" s="150"/>
      <c r="M164" s="779"/>
      <c r="N164" s="29"/>
      <c r="P164" s="29"/>
      <c r="Q164" s="29"/>
    </row>
    <row r="165" spans="9:17">
      <c r="I165" s="29"/>
      <c r="J165" s="29"/>
      <c r="K165" s="150"/>
      <c r="M165" s="779"/>
      <c r="N165" s="29"/>
      <c r="P165" s="29"/>
      <c r="Q165" s="29"/>
    </row>
    <row r="166" spans="9:17">
      <c r="I166" s="29"/>
      <c r="J166" s="29"/>
      <c r="K166" s="150"/>
      <c r="M166" s="779"/>
      <c r="N166" s="29"/>
      <c r="P166" s="29"/>
      <c r="Q166" s="29"/>
    </row>
    <row r="167" spans="9:17">
      <c r="I167" s="29"/>
      <c r="J167" s="29"/>
      <c r="K167" s="150"/>
      <c r="M167" s="779"/>
      <c r="N167" s="29"/>
      <c r="P167" s="29"/>
      <c r="Q167" s="29"/>
    </row>
    <row r="168" spans="9:17">
      <c r="I168" s="29"/>
      <c r="J168" s="29"/>
      <c r="K168" s="150"/>
      <c r="M168" s="779"/>
      <c r="N168" s="29"/>
      <c r="P168" s="29"/>
      <c r="Q168" s="29"/>
    </row>
    <row r="169" spans="9:17">
      <c r="I169" s="29"/>
      <c r="J169" s="29"/>
      <c r="K169" s="150"/>
      <c r="M169" s="779"/>
      <c r="N169" s="29"/>
      <c r="P169" s="29"/>
      <c r="Q169" s="29"/>
    </row>
    <row r="170" spans="9:17">
      <c r="I170" s="29"/>
      <c r="J170" s="29"/>
      <c r="K170" s="150"/>
      <c r="M170" s="779"/>
      <c r="N170" s="29"/>
      <c r="P170" s="29"/>
      <c r="Q170" s="29"/>
    </row>
    <row r="171" spans="9:17">
      <c r="I171" s="29"/>
      <c r="J171" s="29"/>
      <c r="K171" s="150"/>
      <c r="M171" s="779"/>
      <c r="N171" s="29"/>
      <c r="P171" s="29"/>
      <c r="Q171" s="29"/>
    </row>
    <row r="172" spans="9:17">
      <c r="I172" s="29"/>
      <c r="J172" s="29"/>
      <c r="K172" s="150"/>
      <c r="M172" s="779"/>
      <c r="N172" s="29"/>
      <c r="P172" s="29"/>
      <c r="Q172" s="29"/>
    </row>
    <row r="173" spans="9:17">
      <c r="I173" s="29"/>
      <c r="J173" s="29"/>
      <c r="K173" s="150"/>
      <c r="M173" s="779"/>
      <c r="N173" s="29"/>
      <c r="P173" s="29"/>
      <c r="Q173" s="29"/>
    </row>
    <row r="174" spans="9:17">
      <c r="I174" s="29"/>
      <c r="J174" s="29"/>
      <c r="K174" s="150"/>
      <c r="M174" s="779"/>
      <c r="N174" s="29"/>
      <c r="P174" s="29"/>
      <c r="Q174" s="29"/>
    </row>
    <row r="175" spans="9:17">
      <c r="I175" s="29"/>
      <c r="J175" s="29"/>
      <c r="K175" s="150"/>
      <c r="M175" s="779"/>
      <c r="N175" s="29"/>
      <c r="P175" s="29"/>
      <c r="Q175" s="29"/>
    </row>
    <row r="176" spans="9:17">
      <c r="I176" s="29"/>
      <c r="J176" s="29"/>
      <c r="K176" s="150"/>
      <c r="M176" s="779"/>
      <c r="N176" s="29"/>
      <c r="P176" s="29"/>
      <c r="Q176" s="29"/>
    </row>
    <row r="177" spans="9:17">
      <c r="I177" s="29"/>
      <c r="J177" s="29"/>
      <c r="K177" s="150"/>
      <c r="M177" s="779"/>
      <c r="N177" s="29"/>
      <c r="P177" s="29"/>
      <c r="Q177" s="29"/>
    </row>
    <row r="178" spans="9:17">
      <c r="I178" s="29"/>
      <c r="J178" s="29"/>
      <c r="K178" s="150"/>
      <c r="M178" s="779"/>
      <c r="N178" s="29"/>
      <c r="P178" s="29"/>
      <c r="Q178" s="29"/>
    </row>
    <row r="179" spans="9:17">
      <c r="I179" s="29"/>
      <c r="J179" s="29"/>
      <c r="K179" s="150"/>
      <c r="M179" s="779"/>
      <c r="N179" s="29"/>
      <c r="P179" s="29"/>
      <c r="Q179" s="29"/>
    </row>
    <row r="180" spans="9:17">
      <c r="I180" s="29"/>
      <c r="J180" s="29"/>
      <c r="K180" s="150"/>
      <c r="M180" s="779"/>
      <c r="N180" s="29"/>
      <c r="P180" s="29"/>
      <c r="Q180" s="29"/>
    </row>
    <row r="181" spans="9:17">
      <c r="I181" s="29"/>
      <c r="J181" s="29"/>
      <c r="K181" s="150"/>
      <c r="M181" s="779"/>
      <c r="N181" s="29"/>
      <c r="P181" s="29"/>
      <c r="Q181" s="29"/>
    </row>
    <row r="182" spans="9:17">
      <c r="I182" s="29"/>
      <c r="J182" s="29"/>
      <c r="K182" s="150"/>
      <c r="M182" s="779"/>
      <c r="N182" s="29"/>
      <c r="P182" s="29"/>
      <c r="Q182" s="29"/>
    </row>
    <row r="183" spans="9:17">
      <c r="I183" s="29"/>
      <c r="J183" s="29"/>
      <c r="K183" s="150"/>
      <c r="M183" s="779"/>
      <c r="N183" s="29"/>
      <c r="P183" s="29"/>
      <c r="Q183" s="29"/>
    </row>
    <row r="184" spans="9:17">
      <c r="I184" s="29"/>
      <c r="J184" s="29"/>
      <c r="K184" s="150"/>
      <c r="M184" s="779"/>
      <c r="N184" s="29"/>
      <c r="P184" s="29"/>
      <c r="Q184" s="29"/>
    </row>
    <row r="185" spans="9:17">
      <c r="I185" s="29"/>
      <c r="J185" s="29"/>
      <c r="K185" s="150"/>
      <c r="M185" s="779"/>
      <c r="N185" s="29"/>
      <c r="P185" s="29"/>
      <c r="Q185" s="29"/>
    </row>
    <row r="186" spans="9:17">
      <c r="I186" s="29"/>
      <c r="J186" s="29"/>
      <c r="K186" s="150"/>
      <c r="M186" s="779"/>
      <c r="N186" s="29"/>
      <c r="P186" s="29"/>
      <c r="Q186" s="29"/>
    </row>
    <row r="187" spans="9:17">
      <c r="I187" s="29"/>
      <c r="J187" s="29"/>
      <c r="K187" s="150"/>
      <c r="M187" s="779"/>
      <c r="N187" s="29"/>
      <c r="P187" s="29"/>
      <c r="Q187" s="29"/>
    </row>
    <row r="188" spans="9:17">
      <c r="I188" s="29"/>
      <c r="J188" s="29"/>
      <c r="K188" s="150"/>
      <c r="M188" s="779"/>
      <c r="N188" s="29"/>
      <c r="P188" s="29"/>
      <c r="Q188" s="29"/>
    </row>
    <row r="189" spans="9:17">
      <c r="I189" s="29"/>
      <c r="J189" s="29"/>
      <c r="K189" s="150"/>
      <c r="M189" s="779"/>
      <c r="N189" s="29"/>
      <c r="P189" s="29"/>
      <c r="Q189" s="29"/>
    </row>
    <row r="190" spans="9:17">
      <c r="I190" s="29"/>
      <c r="J190" s="29"/>
      <c r="K190" s="150"/>
      <c r="M190" s="779"/>
      <c r="N190" s="29"/>
      <c r="P190" s="29"/>
      <c r="Q190" s="29"/>
    </row>
    <row r="191" spans="9:17">
      <c r="I191" s="29"/>
      <c r="J191" s="29"/>
      <c r="K191" s="150"/>
      <c r="M191" s="779"/>
      <c r="N191" s="29"/>
      <c r="P191" s="29"/>
      <c r="Q191" s="29"/>
    </row>
    <row r="192" spans="9:17">
      <c r="I192" s="29"/>
      <c r="J192" s="29"/>
      <c r="K192" s="150"/>
      <c r="M192" s="779"/>
      <c r="N192" s="29"/>
      <c r="P192" s="29"/>
      <c r="Q192" s="29"/>
    </row>
    <row r="193" spans="9:17">
      <c r="I193" s="29"/>
      <c r="J193" s="29"/>
      <c r="K193" s="150"/>
      <c r="M193" s="779"/>
      <c r="N193" s="29"/>
      <c r="P193" s="29"/>
      <c r="Q193" s="29"/>
    </row>
    <row r="194" spans="9:17">
      <c r="I194" s="29"/>
      <c r="J194" s="29"/>
      <c r="K194" s="150"/>
      <c r="M194" s="779"/>
      <c r="N194" s="29"/>
      <c r="P194" s="29"/>
      <c r="Q194" s="29"/>
    </row>
    <row r="195" spans="9:17">
      <c r="I195" s="29"/>
      <c r="J195" s="29"/>
      <c r="K195" s="150"/>
      <c r="M195" s="779"/>
      <c r="N195" s="29"/>
      <c r="P195" s="29"/>
      <c r="Q195" s="29"/>
    </row>
    <row r="196" spans="9:17">
      <c r="I196" s="29"/>
      <c r="J196" s="29"/>
      <c r="K196" s="150"/>
      <c r="M196" s="779"/>
      <c r="N196" s="29"/>
      <c r="P196" s="29"/>
      <c r="Q196" s="29"/>
    </row>
    <row r="197" spans="9:17">
      <c r="I197" s="29"/>
      <c r="J197" s="29"/>
      <c r="K197" s="150"/>
      <c r="M197" s="779"/>
      <c r="N197" s="29"/>
      <c r="P197" s="29"/>
      <c r="Q197" s="29"/>
    </row>
    <row r="198" spans="9:17">
      <c r="I198" s="29"/>
      <c r="J198" s="29"/>
      <c r="K198" s="150"/>
      <c r="M198" s="779"/>
      <c r="N198" s="29"/>
      <c r="P198" s="29"/>
      <c r="Q198" s="29"/>
    </row>
    <row r="199" spans="9:17">
      <c r="I199" s="29"/>
      <c r="J199" s="29"/>
      <c r="K199" s="150"/>
      <c r="M199" s="779"/>
      <c r="N199" s="29"/>
      <c r="P199" s="29"/>
      <c r="Q199" s="29"/>
    </row>
    <row r="200" spans="9:17">
      <c r="I200" s="29"/>
      <c r="J200" s="29"/>
      <c r="K200" s="150"/>
      <c r="M200" s="779"/>
      <c r="N200" s="29"/>
      <c r="P200" s="29"/>
      <c r="Q200" s="29"/>
    </row>
    <row r="201" spans="9:17">
      <c r="I201" s="29"/>
      <c r="J201" s="29"/>
      <c r="K201" s="150"/>
      <c r="M201" s="779"/>
      <c r="N201" s="29"/>
      <c r="P201" s="29"/>
      <c r="Q201" s="29"/>
    </row>
    <row r="202" spans="9:17">
      <c r="I202" s="29"/>
      <c r="J202" s="29"/>
      <c r="K202" s="150"/>
      <c r="M202" s="779"/>
      <c r="N202" s="29"/>
      <c r="P202" s="29"/>
      <c r="Q202" s="29"/>
    </row>
    <row r="203" spans="9:17">
      <c r="I203" s="29"/>
      <c r="J203" s="29"/>
      <c r="K203" s="150"/>
      <c r="M203" s="779"/>
      <c r="N203" s="29"/>
      <c r="P203" s="29"/>
      <c r="Q203" s="29"/>
    </row>
    <row r="204" spans="9:17">
      <c r="I204" s="29"/>
      <c r="J204" s="29"/>
      <c r="K204" s="150"/>
      <c r="M204" s="779"/>
      <c r="N204" s="29"/>
      <c r="P204" s="29"/>
      <c r="Q204" s="29"/>
    </row>
    <row r="205" spans="9:17">
      <c r="I205" s="29"/>
      <c r="J205" s="29"/>
      <c r="K205" s="150"/>
      <c r="M205" s="779"/>
      <c r="N205" s="29"/>
      <c r="P205" s="29"/>
      <c r="Q205" s="29"/>
    </row>
    <row r="206" spans="9:17">
      <c r="I206" s="29"/>
      <c r="J206" s="29"/>
      <c r="K206" s="150"/>
      <c r="M206" s="779"/>
      <c r="N206" s="29"/>
      <c r="P206" s="29"/>
      <c r="Q206" s="29"/>
    </row>
    <row r="207" spans="9:17">
      <c r="I207" s="29"/>
      <c r="J207" s="29"/>
      <c r="K207" s="150"/>
      <c r="M207" s="779"/>
      <c r="N207" s="29"/>
      <c r="P207" s="29"/>
      <c r="Q207" s="29"/>
    </row>
    <row r="208" spans="9:17">
      <c r="I208" s="29"/>
      <c r="J208" s="29"/>
      <c r="K208" s="150"/>
      <c r="M208" s="779"/>
      <c r="N208" s="29"/>
      <c r="P208" s="29"/>
      <c r="Q208" s="29"/>
    </row>
    <row r="209" spans="9:17">
      <c r="I209" s="29"/>
      <c r="J209" s="29"/>
      <c r="K209" s="150"/>
      <c r="M209" s="779"/>
      <c r="N209" s="29"/>
      <c r="P209" s="29"/>
      <c r="Q209" s="29"/>
    </row>
    <row r="210" spans="9:17">
      <c r="I210" s="29"/>
      <c r="J210" s="29"/>
      <c r="K210" s="150"/>
      <c r="M210" s="779"/>
      <c r="N210" s="29"/>
      <c r="P210" s="29"/>
      <c r="Q210" s="29"/>
    </row>
    <row r="211" spans="9:17">
      <c r="I211" s="29"/>
      <c r="J211" s="29"/>
      <c r="K211" s="150"/>
      <c r="M211" s="779"/>
      <c r="N211" s="29"/>
      <c r="P211" s="29"/>
      <c r="Q211" s="29"/>
    </row>
    <row r="212" spans="9:17">
      <c r="I212" s="29"/>
      <c r="J212" s="29"/>
      <c r="K212" s="150"/>
      <c r="M212" s="779"/>
      <c r="N212" s="29"/>
      <c r="P212" s="29"/>
      <c r="Q212" s="29"/>
    </row>
    <row r="213" spans="9:17">
      <c r="I213" s="29"/>
      <c r="J213" s="29"/>
      <c r="K213" s="150"/>
      <c r="M213" s="779"/>
      <c r="N213" s="29"/>
      <c r="P213" s="29"/>
      <c r="Q213" s="29"/>
    </row>
    <row r="214" spans="9:17">
      <c r="I214" s="29"/>
      <c r="J214" s="29"/>
      <c r="K214" s="150"/>
      <c r="M214" s="779"/>
      <c r="N214" s="29"/>
      <c r="P214" s="29"/>
      <c r="Q214" s="29"/>
    </row>
    <row r="215" spans="9:17">
      <c r="I215" s="29"/>
      <c r="J215" s="29"/>
      <c r="K215" s="150"/>
      <c r="M215" s="779"/>
      <c r="N215" s="29"/>
      <c r="P215" s="29"/>
      <c r="Q215" s="29"/>
    </row>
    <row r="216" spans="9:17">
      <c r="I216" s="29"/>
      <c r="J216" s="29"/>
      <c r="K216" s="150"/>
      <c r="M216" s="779"/>
      <c r="N216" s="29"/>
      <c r="P216" s="29"/>
      <c r="Q216" s="29"/>
    </row>
    <row r="217" spans="9:17">
      <c r="I217" s="29"/>
      <c r="J217" s="29"/>
      <c r="K217" s="150"/>
      <c r="M217" s="779"/>
      <c r="N217" s="29"/>
      <c r="P217" s="29"/>
      <c r="Q217" s="29"/>
    </row>
    <row r="218" spans="9:17">
      <c r="I218" s="29"/>
      <c r="J218" s="29"/>
      <c r="K218" s="150"/>
      <c r="M218" s="779"/>
      <c r="N218" s="29"/>
      <c r="P218" s="29"/>
      <c r="Q218" s="29"/>
    </row>
    <row r="219" spans="9:17">
      <c r="I219" s="29"/>
      <c r="J219" s="29"/>
      <c r="K219" s="150"/>
      <c r="M219" s="779"/>
      <c r="N219" s="29"/>
      <c r="P219" s="29"/>
      <c r="Q219" s="29"/>
    </row>
    <row r="220" spans="9:17">
      <c r="I220" s="29"/>
      <c r="J220" s="29"/>
      <c r="K220" s="150"/>
      <c r="M220" s="779"/>
      <c r="N220" s="29"/>
      <c r="P220" s="29"/>
      <c r="Q220" s="29"/>
    </row>
    <row r="221" spans="9:17">
      <c r="I221" s="29"/>
      <c r="J221" s="29"/>
      <c r="K221" s="150"/>
      <c r="M221" s="779"/>
      <c r="N221" s="29"/>
      <c r="P221" s="29"/>
      <c r="Q221" s="29"/>
    </row>
    <row r="222" spans="9:17">
      <c r="I222" s="29"/>
      <c r="J222" s="29"/>
      <c r="K222" s="150"/>
      <c r="M222" s="779"/>
      <c r="N222" s="29"/>
      <c r="P222" s="29"/>
      <c r="Q222" s="29"/>
    </row>
    <row r="223" spans="9:17">
      <c r="I223" s="29"/>
      <c r="J223" s="29"/>
      <c r="K223" s="150"/>
      <c r="M223" s="779"/>
      <c r="N223" s="29"/>
      <c r="P223" s="29"/>
      <c r="Q223" s="29"/>
    </row>
    <row r="224" spans="9:17">
      <c r="I224" s="29"/>
      <c r="J224" s="29"/>
      <c r="K224" s="150"/>
      <c r="M224" s="779"/>
      <c r="N224" s="29"/>
      <c r="P224" s="29"/>
      <c r="Q224" s="29"/>
    </row>
    <row r="225" spans="9:17">
      <c r="I225" s="29"/>
      <c r="J225" s="29"/>
      <c r="K225" s="150"/>
      <c r="M225" s="779"/>
      <c r="N225" s="29"/>
      <c r="P225" s="29"/>
      <c r="Q225" s="29"/>
    </row>
    <row r="226" spans="9:17">
      <c r="I226" s="29"/>
      <c r="J226" s="29"/>
      <c r="K226" s="150"/>
      <c r="M226" s="779"/>
      <c r="N226" s="29"/>
      <c r="P226" s="29"/>
      <c r="Q226" s="29"/>
    </row>
    <row r="227" spans="9:17">
      <c r="I227" s="29"/>
      <c r="J227" s="29"/>
      <c r="K227" s="150"/>
      <c r="M227" s="779"/>
      <c r="N227" s="29"/>
      <c r="P227" s="29"/>
      <c r="Q227" s="29"/>
    </row>
    <row r="228" spans="9:17">
      <c r="I228" s="29"/>
      <c r="J228" s="29"/>
      <c r="K228" s="150"/>
      <c r="M228" s="779"/>
      <c r="N228" s="29"/>
      <c r="P228" s="29"/>
      <c r="Q228" s="29"/>
    </row>
    <row r="229" spans="9:17">
      <c r="I229" s="29"/>
      <c r="J229" s="29"/>
      <c r="K229" s="150"/>
      <c r="M229" s="779"/>
      <c r="N229" s="29"/>
      <c r="P229" s="29"/>
      <c r="Q229" s="29"/>
    </row>
    <row r="230" spans="9:17">
      <c r="I230" s="29"/>
      <c r="J230" s="29"/>
      <c r="K230" s="150"/>
      <c r="M230" s="779"/>
      <c r="N230" s="29"/>
      <c r="P230" s="29"/>
      <c r="Q230" s="29"/>
    </row>
    <row r="231" spans="9:17">
      <c r="I231" s="29"/>
      <c r="J231" s="29"/>
      <c r="K231" s="150"/>
      <c r="M231" s="779"/>
      <c r="N231" s="29"/>
      <c r="P231" s="29"/>
      <c r="Q231" s="29"/>
    </row>
    <row r="232" spans="9:17">
      <c r="I232" s="29"/>
      <c r="J232" s="29"/>
      <c r="K232" s="150"/>
      <c r="M232" s="779"/>
      <c r="N232" s="29"/>
      <c r="P232" s="29"/>
      <c r="Q232" s="29"/>
    </row>
    <row r="233" spans="9:17">
      <c r="I233" s="29"/>
      <c r="J233" s="29"/>
      <c r="K233" s="150"/>
      <c r="M233" s="779"/>
      <c r="N233" s="29"/>
      <c r="P233" s="29"/>
      <c r="Q233" s="29"/>
    </row>
    <row r="234" spans="9:17">
      <c r="I234" s="29"/>
      <c r="J234" s="29"/>
      <c r="K234" s="150"/>
      <c r="M234" s="779"/>
      <c r="N234" s="29"/>
      <c r="P234" s="29"/>
      <c r="Q234" s="29"/>
    </row>
    <row r="235" spans="9:17">
      <c r="I235" s="29"/>
      <c r="J235" s="29"/>
      <c r="K235" s="150"/>
      <c r="M235" s="779"/>
      <c r="N235" s="29"/>
      <c r="P235" s="29"/>
      <c r="Q235" s="29"/>
    </row>
  </sheetData>
  <mergeCells count="21">
    <mergeCell ref="B118:C118"/>
    <mergeCell ref="S47:S49"/>
    <mergeCell ref="S50:S51"/>
    <mergeCell ref="S52:S53"/>
    <mergeCell ref="S58:S59"/>
    <mergeCell ref="S65:S66"/>
    <mergeCell ref="B1:S1"/>
    <mergeCell ref="B3:B4"/>
    <mergeCell ref="C3:K3"/>
    <mergeCell ref="B2:S2"/>
    <mergeCell ref="M3:R3"/>
    <mergeCell ref="S3:S4"/>
    <mergeCell ref="S22:S23"/>
    <mergeCell ref="S35:S36"/>
    <mergeCell ref="S41:S42"/>
    <mergeCell ref="S43:S44"/>
    <mergeCell ref="S7:S8"/>
    <mergeCell ref="S9:S10"/>
    <mergeCell ref="S11:S12"/>
    <mergeCell ref="S13:S14"/>
    <mergeCell ref="S20:S21"/>
  </mergeCells>
  <phoneticPr fontId="21"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29"/>
  <sheetViews>
    <sheetView tabSelected="1" topLeftCell="A151" zoomScale="62" zoomScaleNormal="62" workbookViewId="0">
      <selection activeCell="F171" sqref="F171"/>
    </sheetView>
  </sheetViews>
  <sheetFormatPr baseColWidth="10" defaultRowHeight="14.25"/>
  <cols>
    <col min="1" max="1" width="22.28515625" style="446" customWidth="1"/>
    <col min="2" max="2" width="26.42578125" style="447" customWidth="1"/>
    <col min="3" max="3" width="29" style="447" hidden="1" customWidth="1"/>
    <col min="4" max="4" width="66.5703125" style="446" customWidth="1"/>
    <col min="5" max="5" width="18.42578125" style="446" customWidth="1"/>
    <col min="6" max="6" width="21" style="147" customWidth="1"/>
    <col min="7" max="7" width="17.5703125" style="586" customWidth="1"/>
    <col min="8" max="8" width="24.140625" style="148" customWidth="1"/>
    <col min="9" max="9" width="25.140625" style="149" customWidth="1"/>
    <col min="10" max="10" width="26.85546875" style="149" customWidth="1"/>
    <col min="11" max="11" width="18.42578125" style="445" hidden="1" customWidth="1"/>
    <col min="12" max="12" width="17" style="445" hidden="1" customWidth="1"/>
    <col min="13" max="14" width="14.42578125" style="134" hidden="1" customWidth="1"/>
    <col min="15" max="15" width="14.42578125" style="135" hidden="1" customWidth="1"/>
    <col min="16" max="16" width="14.42578125" style="130" hidden="1" customWidth="1"/>
    <col min="17" max="17" width="13" style="1" hidden="1" customWidth="1"/>
    <col min="18" max="18" width="27.7109375" style="1" hidden="1" customWidth="1"/>
    <col min="19" max="19" width="30" style="1" customWidth="1"/>
    <col min="20" max="20" width="24.5703125" style="446" customWidth="1"/>
    <col min="21" max="16384" width="11.42578125" style="446"/>
  </cols>
  <sheetData>
    <row r="1" spans="1:37" s="440" customFormat="1" ht="34.5" customHeight="1">
      <c r="A1" s="890" t="s">
        <v>542</v>
      </c>
      <c r="B1" s="886"/>
      <c r="C1" s="886"/>
      <c r="D1" s="886"/>
      <c r="E1" s="886"/>
      <c r="F1" s="886"/>
      <c r="G1" s="886"/>
      <c r="H1" s="886"/>
      <c r="I1" s="886"/>
      <c r="J1" s="438" t="s">
        <v>300</v>
      </c>
      <c r="K1" s="439"/>
      <c r="L1" s="439"/>
      <c r="M1" s="127"/>
      <c r="N1" s="127"/>
      <c r="O1" s="128"/>
      <c r="P1" s="129"/>
      <c r="Q1" s="481"/>
      <c r="R1" s="481"/>
      <c r="S1" s="481"/>
    </row>
    <row r="2" spans="1:37" s="440" customFormat="1" ht="28.5" customHeight="1">
      <c r="A2" s="878"/>
      <c r="B2" s="848"/>
      <c r="C2" s="848"/>
      <c r="D2" s="848"/>
      <c r="E2" s="848"/>
      <c r="F2" s="848"/>
      <c r="G2" s="848"/>
      <c r="H2" s="848"/>
      <c r="I2" s="848"/>
      <c r="J2" s="441" t="s">
        <v>301</v>
      </c>
      <c r="K2" s="439"/>
      <c r="L2" s="439"/>
      <c r="M2" s="127"/>
      <c r="N2" s="127"/>
      <c r="O2" s="128"/>
      <c r="P2" s="129"/>
      <c r="Q2" s="481"/>
      <c r="R2" s="481"/>
      <c r="S2" s="481"/>
    </row>
    <row r="3" spans="1:37" s="440" customFormat="1" ht="25.5" customHeight="1" thickBot="1">
      <c r="A3" s="878"/>
      <c r="B3" s="848"/>
      <c r="C3" s="848"/>
      <c r="D3" s="848"/>
      <c r="E3" s="848"/>
      <c r="F3" s="848"/>
      <c r="G3" s="848"/>
      <c r="H3" s="848"/>
      <c r="I3" s="848"/>
      <c r="J3" s="442" t="s">
        <v>302</v>
      </c>
      <c r="K3" s="439"/>
      <c r="L3" s="439"/>
      <c r="M3" s="127"/>
      <c r="N3" s="127"/>
      <c r="O3" s="128"/>
      <c r="P3" s="129"/>
      <c r="Q3" s="481"/>
      <c r="R3" s="481"/>
      <c r="S3" s="481"/>
    </row>
    <row r="4" spans="1:37" s="440" customFormat="1" ht="8.25" customHeight="1">
      <c r="A4" s="443"/>
      <c r="B4" s="835"/>
      <c r="C4" s="835"/>
      <c r="D4" s="835"/>
      <c r="E4" s="835"/>
      <c r="F4" s="835"/>
      <c r="G4" s="835"/>
      <c r="H4" s="835"/>
      <c r="I4" s="835"/>
      <c r="J4" s="896"/>
      <c r="K4" s="439"/>
      <c r="L4" s="439"/>
      <c r="M4" s="127"/>
      <c r="N4" s="127"/>
      <c r="O4" s="128"/>
      <c r="P4" s="129"/>
      <c r="Q4" s="481"/>
      <c r="R4" s="481"/>
      <c r="S4" s="481"/>
    </row>
    <row r="5" spans="1:37" s="440" customFormat="1" ht="39" customHeight="1">
      <c r="A5" s="878" t="s">
        <v>303</v>
      </c>
      <c r="B5" s="848"/>
      <c r="C5" s="531"/>
      <c r="D5" s="897">
        <v>2019</v>
      </c>
      <c r="E5" s="898"/>
      <c r="F5" s="22"/>
      <c r="G5" s="584" t="s">
        <v>304</v>
      </c>
      <c r="H5" s="835" t="s">
        <v>624</v>
      </c>
      <c r="I5" s="835"/>
      <c r="J5" s="896"/>
      <c r="K5" s="439"/>
      <c r="L5" s="439"/>
      <c r="M5" s="127"/>
      <c r="N5" s="127"/>
      <c r="O5" s="128"/>
      <c r="P5" s="129"/>
      <c r="Q5" s="481"/>
      <c r="R5" s="481"/>
      <c r="S5" s="481"/>
    </row>
    <row r="6" spans="1:37" ht="8.25" customHeight="1" thickBot="1">
      <c r="A6" s="444"/>
      <c r="B6" s="884"/>
      <c r="C6" s="884"/>
      <c r="D6" s="884"/>
      <c r="E6" s="884"/>
      <c r="F6" s="884"/>
      <c r="G6" s="884"/>
      <c r="H6" s="884"/>
      <c r="I6" s="884"/>
      <c r="J6" s="885"/>
      <c r="M6" s="127"/>
      <c r="N6" s="127"/>
      <c r="O6" s="128"/>
      <c r="T6" s="440"/>
      <c r="U6" s="440"/>
      <c r="V6" s="440"/>
      <c r="W6" s="440"/>
      <c r="X6" s="440"/>
      <c r="Y6" s="440"/>
      <c r="Z6" s="440"/>
      <c r="AA6" s="440"/>
      <c r="AB6" s="440"/>
      <c r="AC6" s="440"/>
      <c r="AD6" s="440"/>
      <c r="AE6" s="440"/>
      <c r="AF6" s="440"/>
      <c r="AG6" s="440"/>
      <c r="AH6" s="440"/>
      <c r="AI6" s="440"/>
      <c r="AJ6" s="440"/>
      <c r="AK6" s="440"/>
    </row>
    <row r="7" spans="1:37" s="447" customFormat="1" ht="15.75" customHeight="1">
      <c r="A7" s="890" t="s">
        <v>305</v>
      </c>
      <c r="B7" s="892" t="s">
        <v>306</v>
      </c>
      <c r="C7" s="539"/>
      <c r="D7" s="880" t="s">
        <v>541</v>
      </c>
      <c r="E7" s="886" t="s">
        <v>95</v>
      </c>
      <c r="F7" s="886" t="s">
        <v>308</v>
      </c>
      <c r="G7" s="886"/>
      <c r="H7" s="888" t="s">
        <v>309</v>
      </c>
      <c r="I7" s="888"/>
      <c r="J7" s="889"/>
      <c r="K7" s="2"/>
      <c r="L7" s="2"/>
      <c r="M7" s="127"/>
      <c r="N7" s="127"/>
      <c r="O7" s="128"/>
      <c r="P7" s="37"/>
      <c r="T7" s="440"/>
      <c r="U7" s="440"/>
      <c r="V7" s="440"/>
      <c r="W7" s="440"/>
      <c r="X7" s="440"/>
      <c r="Y7" s="440"/>
      <c r="Z7" s="440"/>
      <c r="AA7" s="440"/>
      <c r="AB7" s="440"/>
      <c r="AC7" s="440"/>
      <c r="AD7" s="440"/>
      <c r="AE7" s="440"/>
      <c r="AF7" s="440"/>
      <c r="AG7" s="440"/>
      <c r="AH7" s="440"/>
      <c r="AI7" s="440"/>
      <c r="AJ7" s="440"/>
      <c r="AK7" s="440"/>
    </row>
    <row r="8" spans="1:37" s="1" customFormat="1" ht="45.75" customHeight="1" thickBot="1">
      <c r="A8" s="891"/>
      <c r="B8" s="893"/>
      <c r="C8" s="540"/>
      <c r="D8" s="881"/>
      <c r="E8" s="887"/>
      <c r="F8" s="448" t="s">
        <v>310</v>
      </c>
      <c r="G8" s="585" t="s">
        <v>311</v>
      </c>
      <c r="H8" s="449" t="s">
        <v>312</v>
      </c>
      <c r="I8" s="449" t="s">
        <v>313</v>
      </c>
      <c r="J8" s="450" t="s">
        <v>314</v>
      </c>
      <c r="K8" s="451"/>
      <c r="L8" s="451"/>
      <c r="M8" s="132" t="s">
        <v>315</v>
      </c>
      <c r="N8" s="132" t="s">
        <v>315</v>
      </c>
      <c r="O8" s="133" t="s">
        <v>316</v>
      </c>
      <c r="P8" s="36" t="s">
        <v>317</v>
      </c>
      <c r="T8" s="440"/>
    </row>
    <row r="9" spans="1:37" s="1" customFormat="1" ht="76.5" customHeight="1">
      <c r="A9" s="882" t="s">
        <v>529</v>
      </c>
      <c r="B9" s="883" t="s">
        <v>538</v>
      </c>
      <c r="C9" s="452"/>
      <c r="D9" s="424" t="s">
        <v>364</v>
      </c>
      <c r="E9" s="547" t="s">
        <v>402</v>
      </c>
      <c r="F9" s="548">
        <v>14</v>
      </c>
      <c r="G9" s="548">
        <f>+'Anexo 1 Matriz SINA Inf Gestión'!E7</f>
        <v>14</v>
      </c>
      <c r="H9" s="425">
        <f>+'Anexo 1 Matriz SINA Inf Gestión'!M7</f>
        <v>0</v>
      </c>
      <c r="I9" s="497">
        <v>0</v>
      </c>
      <c r="J9" s="75">
        <f>+H9-I9</f>
        <v>0</v>
      </c>
      <c r="K9" s="453"/>
      <c r="L9" s="451"/>
      <c r="M9" s="134"/>
      <c r="N9" s="134"/>
      <c r="O9" s="135"/>
      <c r="P9" s="376"/>
    </row>
    <row r="10" spans="1:37" s="1" customFormat="1" ht="48" customHeight="1">
      <c r="A10" s="882"/>
      <c r="B10" s="873"/>
      <c r="C10" s="529"/>
      <c r="D10" s="426" t="s">
        <v>368</v>
      </c>
      <c r="E10" s="547" t="s">
        <v>127</v>
      </c>
      <c r="F10" s="548">
        <v>1</v>
      </c>
      <c r="G10" s="548">
        <f>+'Anexo 1 Matriz SINA Inf Gestión'!E8</f>
        <v>1</v>
      </c>
      <c r="H10" s="425">
        <f>+'Anexo 1 Matriz SINA Inf Gestión'!M8</f>
        <v>0</v>
      </c>
      <c r="I10" s="497">
        <v>0</v>
      </c>
      <c r="J10" s="75">
        <f t="shared" ref="J10:J13" si="0">+H10-I10</f>
        <v>0</v>
      </c>
      <c r="K10" s="453"/>
      <c r="L10" s="451"/>
      <c r="M10" s="134"/>
      <c r="N10" s="134"/>
      <c r="O10" s="135"/>
      <c r="P10" s="376"/>
    </row>
    <row r="11" spans="1:37" s="1" customFormat="1" ht="52.5" customHeight="1">
      <c r="A11" s="882"/>
      <c r="B11" s="873"/>
      <c r="C11" s="529"/>
      <c r="D11" s="427" t="s">
        <v>361</v>
      </c>
      <c r="E11" s="547" t="s">
        <v>402</v>
      </c>
      <c r="F11" s="548">
        <v>100</v>
      </c>
      <c r="G11" s="548">
        <f>+'Anexo 1 Matriz SINA Inf Gestión'!E9</f>
        <v>100</v>
      </c>
      <c r="H11" s="425">
        <f>+'Anexo 1 Matriz SINA Inf Gestión'!M9</f>
        <v>0</v>
      </c>
      <c r="I11" s="497">
        <v>0</v>
      </c>
      <c r="J11" s="75">
        <f t="shared" si="0"/>
        <v>0</v>
      </c>
      <c r="K11" s="453">
        <v>118606003</v>
      </c>
      <c r="L11" s="451"/>
      <c r="M11" s="134">
        <v>35046</v>
      </c>
      <c r="N11" s="134">
        <v>255412</v>
      </c>
      <c r="O11" s="135">
        <v>615140</v>
      </c>
      <c r="P11" s="376"/>
      <c r="Q11" s="1">
        <v>0</v>
      </c>
      <c r="R11" s="451"/>
    </row>
    <row r="12" spans="1:37" s="1" customFormat="1" ht="47.25" customHeight="1">
      <c r="A12" s="882"/>
      <c r="B12" s="873"/>
      <c r="C12" s="529"/>
      <c r="D12" s="428" t="s">
        <v>361</v>
      </c>
      <c r="E12" s="547" t="s">
        <v>132</v>
      </c>
      <c r="F12" s="548">
        <v>2</v>
      </c>
      <c r="G12" s="548">
        <f>+'Anexo 1 Matriz SINA Inf Gestión'!E10</f>
        <v>2</v>
      </c>
      <c r="H12" s="425">
        <f>+'Anexo 1 Matriz SINA Inf Gestión'!M10</f>
        <v>0</v>
      </c>
      <c r="I12" s="497">
        <v>0</v>
      </c>
      <c r="J12" s="75">
        <f t="shared" si="0"/>
        <v>0</v>
      </c>
      <c r="K12" s="453">
        <v>304866161</v>
      </c>
      <c r="L12" s="451"/>
      <c r="M12" s="134">
        <v>79222</v>
      </c>
      <c r="N12" s="134"/>
      <c r="O12" s="135">
        <v>165962</v>
      </c>
      <c r="P12" s="376"/>
      <c r="Q12" s="1">
        <v>0</v>
      </c>
    </row>
    <row r="13" spans="1:37" s="1" customFormat="1" ht="66.75" customHeight="1">
      <c r="A13" s="882"/>
      <c r="B13" s="873"/>
      <c r="C13" s="529"/>
      <c r="D13" s="429" t="s">
        <v>366</v>
      </c>
      <c r="E13" s="547" t="s">
        <v>1</v>
      </c>
      <c r="F13" s="548">
        <v>100</v>
      </c>
      <c r="G13" s="548">
        <f>+'Anexo 1 Matriz SINA Inf Gestión'!E11</f>
        <v>100</v>
      </c>
      <c r="H13" s="425">
        <f>+'Anexo 1 Matriz SINA Inf Gestión'!M11</f>
        <v>0</v>
      </c>
      <c r="I13" s="497">
        <v>0</v>
      </c>
      <c r="J13" s="75">
        <f t="shared" si="0"/>
        <v>0</v>
      </c>
      <c r="K13" s="453">
        <v>423472164</v>
      </c>
      <c r="L13" s="451"/>
      <c r="M13" s="134">
        <v>255412</v>
      </c>
      <c r="N13" s="134"/>
      <c r="O13" s="135">
        <v>489303</v>
      </c>
      <c r="P13" s="376"/>
    </row>
    <row r="14" spans="1:37" s="1" customFormat="1" ht="64.5" customHeight="1">
      <c r="A14" s="882"/>
      <c r="B14" s="873"/>
      <c r="C14" s="529"/>
      <c r="D14" s="426" t="s">
        <v>365</v>
      </c>
      <c r="E14" s="547" t="s">
        <v>132</v>
      </c>
      <c r="F14" s="588">
        <v>3</v>
      </c>
      <c r="G14" s="548">
        <f>+'Anexo 1 Matriz SINA Inf Gestión'!E12</f>
        <v>3</v>
      </c>
      <c r="H14" s="425">
        <f>+'Anexo 1 Matriz SINA Inf Gestión'!M12</f>
        <v>231000000</v>
      </c>
      <c r="I14" s="497">
        <f>+'Anexo 1 Matriz SINA Inf Gestión'!N12</f>
        <v>230275301.10799998</v>
      </c>
      <c r="J14" s="75">
        <f>+H14-I14</f>
        <v>724698.89200001955</v>
      </c>
      <c r="K14" s="454" t="s">
        <v>318</v>
      </c>
      <c r="L14" s="451"/>
      <c r="M14" s="134">
        <v>85137</v>
      </c>
      <c r="N14" s="134"/>
      <c r="O14" s="135">
        <v>341394</v>
      </c>
      <c r="P14" s="376"/>
    </row>
    <row r="15" spans="1:37" s="1" customFormat="1" ht="48" customHeight="1">
      <c r="A15" s="882"/>
      <c r="B15" s="873"/>
      <c r="C15" s="528"/>
      <c r="D15" s="395" t="s">
        <v>363</v>
      </c>
      <c r="E15" s="547" t="s">
        <v>377</v>
      </c>
      <c r="F15" s="548">
        <v>1</v>
      </c>
      <c r="G15" s="548">
        <f>+'Anexo 1 Matriz SINA Inf Gestión'!E15</f>
        <v>1</v>
      </c>
      <c r="H15" s="425">
        <f>+'Anexo 1 Matriz SINA Inf Gestión'!M15</f>
        <v>250100000</v>
      </c>
      <c r="I15" s="425">
        <f>+'Anexo 1 Matriz SINA Inf Gestión'!N15</f>
        <v>250088000</v>
      </c>
      <c r="J15" s="75">
        <f t="shared" ref="J15:J17" si="1">+H15-I15</f>
        <v>12000</v>
      </c>
      <c r="K15" s="453"/>
      <c r="L15" s="451"/>
      <c r="M15" s="134"/>
      <c r="N15" s="134"/>
      <c r="O15" s="135"/>
      <c r="P15" s="376"/>
    </row>
    <row r="16" spans="1:37" s="1" customFormat="1" ht="48" customHeight="1">
      <c r="A16" s="882"/>
      <c r="B16" s="873"/>
      <c r="C16" s="528"/>
      <c r="D16" s="395" t="s">
        <v>370</v>
      </c>
      <c r="E16" s="547" t="s">
        <v>492</v>
      </c>
      <c r="F16" s="548">
        <v>37</v>
      </c>
      <c r="G16" s="548">
        <f>+'Anexo 1 Matriz SINA Inf Gestión'!E16</f>
        <v>37</v>
      </c>
      <c r="H16" s="425">
        <f>+'Anexo 1 Matriz SINA Inf Gestión'!M16</f>
        <v>1034551238</v>
      </c>
      <c r="I16" s="425">
        <f>+'Anexo 1 Matriz SINA Inf Gestión'!N16</f>
        <v>1006554513.744</v>
      </c>
      <c r="J16" s="75">
        <f t="shared" si="1"/>
        <v>27996724.256000042</v>
      </c>
      <c r="K16" s="453"/>
      <c r="L16" s="451"/>
      <c r="M16" s="134"/>
      <c r="N16" s="134"/>
      <c r="O16" s="135"/>
      <c r="P16" s="376"/>
    </row>
    <row r="17" spans="1:19" s="1" customFormat="1" ht="48" customHeight="1">
      <c r="A17" s="882"/>
      <c r="B17" s="873"/>
      <c r="C17" s="528"/>
      <c r="D17" s="395" t="s">
        <v>371</v>
      </c>
      <c r="E17" s="547" t="s">
        <v>372</v>
      </c>
      <c r="F17" s="548">
        <v>5</v>
      </c>
      <c r="G17" s="548">
        <f>+'Anexo 1 Matriz SINA Inf Gestión'!E17</f>
        <v>5</v>
      </c>
      <c r="H17" s="425">
        <f>+'Anexo 1 Matriz SINA Inf Gestión'!M17</f>
        <v>211682244</v>
      </c>
      <c r="I17" s="425">
        <f>+'Anexo 1 Matriz SINA Inf Gestión'!N17</f>
        <v>211664844.74400002</v>
      </c>
      <c r="J17" s="75">
        <f t="shared" si="1"/>
        <v>17399.255999982357</v>
      </c>
      <c r="K17" s="453"/>
      <c r="L17" s="451"/>
      <c r="M17" s="134"/>
      <c r="N17" s="134"/>
      <c r="O17" s="135"/>
      <c r="P17" s="376"/>
      <c r="R17" s="574"/>
      <c r="S17" s="451"/>
    </row>
    <row r="18" spans="1:19" s="1" customFormat="1" ht="18" customHeight="1">
      <c r="A18" s="882"/>
      <c r="B18" s="873"/>
      <c r="C18" s="529"/>
      <c r="D18" s="872" t="s">
        <v>319</v>
      </c>
      <c r="E18" s="872"/>
      <c r="F18" s="872"/>
      <c r="G18" s="872"/>
      <c r="H18" s="458">
        <f>SUM(H9:H17)</f>
        <v>1727333482</v>
      </c>
      <c r="I18" s="432"/>
      <c r="J18" s="867">
        <f>+H18-I19</f>
        <v>28750822.404000044</v>
      </c>
      <c r="K18" s="136" t="e">
        <v>#REF!</v>
      </c>
      <c r="L18" s="451"/>
      <c r="M18" s="134">
        <v>210274</v>
      </c>
      <c r="N18" s="134"/>
      <c r="O18" s="135"/>
      <c r="P18" s="130"/>
    </row>
    <row r="19" spans="1:19" s="1" customFormat="1" ht="18" customHeight="1">
      <c r="A19" s="882"/>
      <c r="B19" s="873"/>
      <c r="C19" s="529"/>
      <c r="D19" s="872" t="s">
        <v>320</v>
      </c>
      <c r="E19" s="872"/>
      <c r="F19" s="872"/>
      <c r="G19" s="872"/>
      <c r="H19" s="872"/>
      <c r="I19" s="433">
        <f>SUM(I9:I18)</f>
        <v>1698582659.596</v>
      </c>
      <c r="J19" s="879"/>
      <c r="K19" s="136">
        <v>11</v>
      </c>
      <c r="L19" s="451"/>
      <c r="M19" s="134">
        <v>105137</v>
      </c>
      <c r="N19" s="134"/>
      <c r="O19" s="135"/>
      <c r="P19" s="130"/>
    </row>
    <row r="20" spans="1:19" s="1" customFormat="1" ht="18.75" customHeight="1">
      <c r="A20" s="882"/>
      <c r="B20" s="873"/>
      <c r="C20" s="529"/>
      <c r="D20" s="872" t="s">
        <v>321</v>
      </c>
      <c r="E20" s="872"/>
      <c r="F20" s="872"/>
      <c r="G20" s="872"/>
      <c r="H20" s="872"/>
      <c r="I20" s="513">
        <f>+'Anexo 1 Matriz SINA Inf Gestión'!O6/100</f>
        <v>0.98335537248388727</v>
      </c>
      <c r="J20" s="879"/>
      <c r="K20" s="451"/>
      <c r="L20" s="451"/>
      <c r="M20" s="137"/>
      <c r="N20" s="137">
        <v>1025640</v>
      </c>
      <c r="O20" s="135"/>
      <c r="P20" s="130"/>
    </row>
    <row r="21" spans="1:19" s="1" customFormat="1" ht="18.75" customHeight="1">
      <c r="A21" s="882"/>
      <c r="B21" s="529"/>
      <c r="C21" s="529"/>
      <c r="D21" s="841" t="s">
        <v>528</v>
      </c>
      <c r="E21" s="842"/>
      <c r="F21" s="842"/>
      <c r="G21" s="842"/>
      <c r="H21" s="843"/>
      <c r="I21" s="513">
        <f>+'Anexo 1 Matriz SINA Inf Gestión'!F6/100</f>
        <v>1</v>
      </c>
      <c r="J21" s="536"/>
      <c r="K21" s="451"/>
      <c r="L21" s="451"/>
      <c r="M21" s="137"/>
      <c r="N21" s="137"/>
      <c r="O21" s="135"/>
      <c r="P21" s="130"/>
    </row>
    <row r="22" spans="1:19" s="1" customFormat="1" ht="24" customHeight="1">
      <c r="A22" s="882"/>
      <c r="B22" s="847" t="s">
        <v>306</v>
      </c>
      <c r="C22" s="532"/>
      <c r="D22" s="868" t="s">
        <v>541</v>
      </c>
      <c r="E22" s="848" t="s">
        <v>95</v>
      </c>
      <c r="F22" s="848" t="s">
        <v>308</v>
      </c>
      <c r="G22" s="848"/>
      <c r="H22" s="862" t="s">
        <v>309</v>
      </c>
      <c r="I22" s="862"/>
      <c r="J22" s="863"/>
      <c r="K22" s="451"/>
      <c r="L22" s="451"/>
      <c r="M22" s="137"/>
      <c r="N22" s="137"/>
      <c r="O22" s="135"/>
      <c r="P22" s="130"/>
    </row>
    <row r="23" spans="1:19" s="1" customFormat="1" ht="45" customHeight="1">
      <c r="A23" s="882"/>
      <c r="B23" s="847"/>
      <c r="C23" s="532"/>
      <c r="D23" s="869"/>
      <c r="E23" s="848"/>
      <c r="F23" s="455" t="s">
        <v>310</v>
      </c>
      <c r="G23" s="584" t="s">
        <v>311</v>
      </c>
      <c r="H23" s="456" t="s">
        <v>312</v>
      </c>
      <c r="I23" s="534" t="s">
        <v>313</v>
      </c>
      <c r="J23" s="535" t="s">
        <v>314</v>
      </c>
      <c r="K23" s="451"/>
      <c r="L23" s="451"/>
      <c r="M23" s="137"/>
      <c r="N23" s="137"/>
      <c r="O23" s="135"/>
      <c r="P23" s="130"/>
    </row>
    <row r="24" spans="1:19" s="1" customFormat="1" ht="76.5" customHeight="1">
      <c r="A24" s="882"/>
      <c r="B24" s="873" t="s">
        <v>467</v>
      </c>
      <c r="C24" s="529"/>
      <c r="D24" s="429" t="s">
        <v>484</v>
      </c>
      <c r="E24" s="385" t="s">
        <v>179</v>
      </c>
      <c r="F24" s="386">
        <v>100</v>
      </c>
      <c r="G24" s="386">
        <f>+'Anexo 1 Matriz SINA Inf Gestión'!E20</f>
        <v>100</v>
      </c>
      <c r="H24" s="435">
        <f>+'Anexo 1 Matriz SINA Inf Gestión'!M20</f>
        <v>0</v>
      </c>
      <c r="I24" s="435">
        <f>+'Anexo 1 Matriz SINA Inf Gestión'!N20</f>
        <v>0</v>
      </c>
      <c r="J24" s="75">
        <f>+H24-I24</f>
        <v>0</v>
      </c>
      <c r="K24" s="451"/>
      <c r="L24" s="451"/>
      <c r="M24" s="137"/>
      <c r="N24" s="137"/>
      <c r="O24" s="135"/>
      <c r="P24" s="130"/>
      <c r="Q24" s="1">
        <v>0</v>
      </c>
    </row>
    <row r="25" spans="1:19" s="1" customFormat="1" ht="75" customHeight="1">
      <c r="A25" s="882"/>
      <c r="B25" s="873"/>
      <c r="C25" s="529"/>
      <c r="D25" s="426" t="s">
        <v>485</v>
      </c>
      <c r="E25" s="390" t="s">
        <v>486</v>
      </c>
      <c r="F25" s="386">
        <v>5</v>
      </c>
      <c r="G25" s="386">
        <f>+'Anexo 1 Matriz SINA Inf Gestión'!E21</f>
        <v>5</v>
      </c>
      <c r="H25" s="435">
        <f>+'Anexo 1 Matriz SINA Inf Gestión'!M21</f>
        <v>4583646865</v>
      </c>
      <c r="I25" s="435">
        <f>+'Anexo 1 Matriz SINA Inf Gestión'!N21</f>
        <v>4545611006.184</v>
      </c>
      <c r="J25" s="75">
        <f t="shared" ref="J25:J33" si="2">+H25-I25</f>
        <v>38035858.815999985</v>
      </c>
      <c r="K25" s="451"/>
      <c r="L25" s="451"/>
      <c r="M25" s="137"/>
      <c r="N25" s="137"/>
      <c r="O25" s="135"/>
      <c r="P25" s="376"/>
      <c r="Q25" s="554">
        <v>0</v>
      </c>
    </row>
    <row r="26" spans="1:19" s="1" customFormat="1" ht="75" customHeight="1">
      <c r="A26" s="882"/>
      <c r="B26" s="873"/>
      <c r="C26" s="528"/>
      <c r="D26" s="393" t="s">
        <v>549</v>
      </c>
      <c r="E26" s="390" t="s">
        <v>1</v>
      </c>
      <c r="F26" s="386">
        <v>25</v>
      </c>
      <c r="G26" s="386">
        <f>+'Anexo 1 Matriz SINA Inf Gestión'!E22</f>
        <v>25</v>
      </c>
      <c r="H26" s="435">
        <f>+'Anexo 1 Matriz SINA Inf Gestión'!M22</f>
        <v>0</v>
      </c>
      <c r="I26" s="435">
        <f>+'Anexo 1 Matriz SINA Inf Gestión'!N22</f>
        <v>0</v>
      </c>
      <c r="J26" s="75">
        <f t="shared" si="2"/>
        <v>0</v>
      </c>
      <c r="K26" s="451"/>
      <c r="L26" s="451"/>
      <c r="M26" s="137"/>
      <c r="N26" s="137"/>
      <c r="O26" s="135"/>
      <c r="P26" s="376"/>
    </row>
    <row r="27" spans="1:19" s="1" customFormat="1" ht="38.25" customHeight="1">
      <c r="A27" s="882"/>
      <c r="B27" s="873"/>
      <c r="C27" s="528"/>
      <c r="D27" s="397" t="s">
        <v>349</v>
      </c>
      <c r="E27" s="398" t="s">
        <v>453</v>
      </c>
      <c r="F27" s="386">
        <v>100</v>
      </c>
      <c r="G27" s="386">
        <f>+'Anexo 1 Matriz SINA Inf Gestión'!E23</f>
        <v>161.69999999999999</v>
      </c>
      <c r="H27" s="435">
        <f>+'Anexo 1 Matriz SINA Inf Gestión'!M23</f>
        <v>203177336</v>
      </c>
      <c r="I27" s="435">
        <f>+'Anexo 1 Matriz SINA Inf Gestión'!N23</f>
        <v>203167329.704</v>
      </c>
      <c r="J27" s="75">
        <f t="shared" si="2"/>
        <v>10006.296000003815</v>
      </c>
      <c r="K27" s="451"/>
      <c r="L27" s="451"/>
      <c r="M27" s="137"/>
      <c r="N27" s="137"/>
      <c r="O27" s="135"/>
      <c r="P27" s="130"/>
    </row>
    <row r="28" spans="1:19" s="1" customFormat="1" ht="53.25" customHeight="1">
      <c r="A28" s="882"/>
      <c r="B28" s="873"/>
      <c r="C28" s="528"/>
      <c r="D28" s="399" t="s">
        <v>525</v>
      </c>
      <c r="E28" s="400" t="s">
        <v>453</v>
      </c>
      <c r="F28" s="386">
        <v>20</v>
      </c>
      <c r="G28" s="386">
        <f>+'Anexo 1 Matriz SINA Inf Gestión'!E24</f>
        <v>20</v>
      </c>
      <c r="H28" s="435">
        <f>+'Anexo 1 Matriz SINA Inf Gestión'!M24</f>
        <v>161190277</v>
      </c>
      <c r="I28" s="435">
        <f>+'Anexo 1 Matriz SINA Inf Gestión'!N24</f>
        <v>161189884.36399999</v>
      </c>
      <c r="J28" s="75">
        <f t="shared" si="2"/>
        <v>392.63600000739098</v>
      </c>
      <c r="K28" s="451"/>
      <c r="L28" s="451"/>
      <c r="M28" s="137"/>
      <c r="N28" s="137"/>
      <c r="O28" s="135"/>
      <c r="P28" s="130"/>
    </row>
    <row r="29" spans="1:19" s="1" customFormat="1" ht="53.25" customHeight="1">
      <c r="A29" s="882"/>
      <c r="B29" s="873"/>
      <c r="C29" s="528"/>
      <c r="D29" s="399" t="s">
        <v>359</v>
      </c>
      <c r="E29" s="549" t="s">
        <v>453</v>
      </c>
      <c r="F29" s="386">
        <v>141</v>
      </c>
      <c r="G29" s="386">
        <f>+'Anexo 1 Matriz SINA Inf Gestión'!E25</f>
        <v>141</v>
      </c>
      <c r="H29" s="435">
        <f>+'Anexo 1 Matriz SINA Inf Gestión'!M25</f>
        <v>140162361.51999998</v>
      </c>
      <c r="I29" s="435">
        <f>+'Anexo 1 Matriz SINA Inf Gestión'!N25</f>
        <v>140160404.68400002</v>
      </c>
      <c r="J29" s="75">
        <f t="shared" si="2"/>
        <v>1956.8359999656677</v>
      </c>
      <c r="K29" s="451"/>
      <c r="L29" s="451"/>
      <c r="M29" s="137"/>
      <c r="N29" s="137"/>
      <c r="O29" s="135"/>
      <c r="P29" s="130"/>
    </row>
    <row r="30" spans="1:19" s="1" customFormat="1" ht="53.25" customHeight="1">
      <c r="A30" s="882"/>
      <c r="B30" s="873"/>
      <c r="C30" s="528"/>
      <c r="D30" s="399" t="s">
        <v>508</v>
      </c>
      <c r="E30" s="549" t="s">
        <v>453</v>
      </c>
      <c r="F30" s="386">
        <v>500</v>
      </c>
      <c r="G30" s="386">
        <f>+'Anexo 1 Matriz SINA Inf Gestión'!E26</f>
        <v>500</v>
      </c>
      <c r="H30" s="435">
        <f>+'Anexo 1 Matriz SINA Inf Gestión'!M26</f>
        <v>993667911</v>
      </c>
      <c r="I30" s="435">
        <f>+'Anexo 1 Matriz SINA Inf Gestión'!N26</f>
        <v>988906638</v>
      </c>
      <c r="J30" s="75">
        <f t="shared" si="2"/>
        <v>4761273</v>
      </c>
      <c r="K30" s="451"/>
      <c r="L30" s="451"/>
      <c r="M30" s="137"/>
      <c r="N30" s="137"/>
      <c r="O30" s="135"/>
      <c r="P30" s="130"/>
    </row>
    <row r="31" spans="1:19" s="1" customFormat="1" ht="53.25" customHeight="1">
      <c r="A31" s="882"/>
      <c r="B31" s="873"/>
      <c r="C31" s="528"/>
      <c r="D31" s="399" t="s">
        <v>362</v>
      </c>
      <c r="E31" s="401" t="s">
        <v>453</v>
      </c>
      <c r="F31" s="386">
        <v>1963</v>
      </c>
      <c r="G31" s="386">
        <f>+'Anexo 1 Matriz SINA Inf Gestión'!E27</f>
        <v>1963</v>
      </c>
      <c r="H31" s="435">
        <f>+'Anexo 1 Matriz SINA Inf Gestión'!M27</f>
        <v>851740037</v>
      </c>
      <c r="I31" s="435">
        <f>+'Anexo 1 Matriz SINA Inf Gestión'!N27</f>
        <v>840950882.76800001</v>
      </c>
      <c r="J31" s="75">
        <f t="shared" si="2"/>
        <v>10789154.231999993</v>
      </c>
      <c r="K31" s="451"/>
      <c r="L31" s="451"/>
      <c r="M31" s="137"/>
      <c r="N31" s="137"/>
      <c r="O31" s="135"/>
      <c r="P31" s="130"/>
    </row>
    <row r="32" spans="1:19" s="1" customFormat="1" ht="53.25" customHeight="1">
      <c r="A32" s="882"/>
      <c r="B32" s="873"/>
      <c r="C32" s="529"/>
      <c r="D32" s="436" t="s">
        <v>360</v>
      </c>
      <c r="E32" s="401" t="s">
        <v>453</v>
      </c>
      <c r="F32" s="386">
        <v>200</v>
      </c>
      <c r="G32" s="386">
        <f>+'Anexo 1 Matriz SINA Inf Gestión'!E28</f>
        <v>814</v>
      </c>
      <c r="H32" s="435">
        <f>+'Anexo 1 Matriz SINA Inf Gestión'!M28</f>
        <v>516832747.60399997</v>
      </c>
      <c r="I32" s="435">
        <f>+'Anexo 1 Matriz SINA Inf Gestión'!N28</f>
        <v>516832746.81599998</v>
      </c>
      <c r="J32" s="75">
        <f t="shared" si="2"/>
        <v>0.78799998760223389</v>
      </c>
      <c r="K32" s="451"/>
      <c r="L32" s="451"/>
      <c r="M32" s="137"/>
      <c r="N32" s="137"/>
      <c r="O32" s="135"/>
      <c r="P32" s="130"/>
    </row>
    <row r="33" spans="1:19" s="1" customFormat="1" ht="53.25" customHeight="1">
      <c r="A33" s="882"/>
      <c r="B33" s="873"/>
      <c r="C33" s="528"/>
      <c r="D33" s="395" t="s">
        <v>479</v>
      </c>
      <c r="E33" s="385" t="s">
        <v>454</v>
      </c>
      <c r="F33" s="386">
        <v>30</v>
      </c>
      <c r="G33" s="386">
        <f>+'Anexo 1 Matriz SINA Inf Gestión'!E29</f>
        <v>30</v>
      </c>
      <c r="H33" s="435">
        <f>+'Anexo 1 Matriz SINA Inf Gestión'!M29</f>
        <v>0</v>
      </c>
      <c r="I33" s="435">
        <f>+'Anexo 1 Matriz SINA Inf Gestión'!N29</f>
        <v>0</v>
      </c>
      <c r="J33" s="75">
        <f t="shared" si="2"/>
        <v>0</v>
      </c>
      <c r="K33" s="451"/>
      <c r="L33" s="451"/>
      <c r="M33" s="137"/>
      <c r="N33" s="137"/>
      <c r="O33" s="135"/>
      <c r="P33" s="130"/>
    </row>
    <row r="34" spans="1:19" s="1" customFormat="1" ht="24" customHeight="1">
      <c r="A34" s="882"/>
      <c r="B34" s="873"/>
      <c r="C34" s="529"/>
      <c r="D34" s="872" t="s">
        <v>319</v>
      </c>
      <c r="E34" s="872"/>
      <c r="F34" s="872"/>
      <c r="G34" s="872"/>
      <c r="H34" s="458">
        <f>SUM(H24:H33)</f>
        <v>7450417535.1240005</v>
      </c>
      <c r="I34" s="437">
        <v>0</v>
      </c>
      <c r="J34" s="867">
        <f>+H34-I35</f>
        <v>53598642.604000092</v>
      </c>
      <c r="K34" s="451"/>
      <c r="L34" s="451"/>
      <c r="M34" s="137"/>
      <c r="N34" s="137"/>
      <c r="O34" s="135"/>
      <c r="P34" s="130"/>
    </row>
    <row r="35" spans="1:19" s="1" customFormat="1" ht="18" customHeight="1">
      <c r="A35" s="882"/>
      <c r="B35" s="873"/>
      <c r="C35" s="529"/>
      <c r="D35" s="872" t="s">
        <v>320</v>
      </c>
      <c r="E35" s="872"/>
      <c r="F35" s="872"/>
      <c r="G35" s="872"/>
      <c r="H35" s="872"/>
      <c r="I35" s="604">
        <f>SUM(I24:I34)</f>
        <v>7396818892.5200005</v>
      </c>
      <c r="J35" s="879"/>
      <c r="K35" s="451"/>
      <c r="L35" s="451"/>
      <c r="M35" s="137"/>
      <c r="N35" s="137"/>
      <c r="O35" s="135"/>
      <c r="P35" s="130"/>
    </row>
    <row r="36" spans="1:19" s="1" customFormat="1" ht="15">
      <c r="A36" s="882"/>
      <c r="B36" s="873"/>
      <c r="C36" s="529"/>
      <c r="D36" s="872" t="s">
        <v>321</v>
      </c>
      <c r="E36" s="872"/>
      <c r="F36" s="872"/>
      <c r="G36" s="872"/>
      <c r="H36" s="872"/>
      <c r="I36" s="480">
        <f>+'Anexo 1 Matriz SINA Inf Gestión'!O19/100</f>
        <v>0.99280595451847953</v>
      </c>
      <c r="J36" s="879"/>
      <c r="K36" s="451"/>
      <c r="L36" s="451"/>
      <c r="M36" s="137"/>
      <c r="N36" s="137"/>
      <c r="O36" s="135"/>
      <c r="P36" s="130"/>
    </row>
    <row r="37" spans="1:19" s="1" customFormat="1" ht="18" customHeight="1">
      <c r="A37" s="882"/>
      <c r="B37" s="873"/>
      <c r="C37" s="529"/>
      <c r="D37" s="841" t="s">
        <v>526</v>
      </c>
      <c r="E37" s="842"/>
      <c r="F37" s="842"/>
      <c r="G37" s="842"/>
      <c r="H37" s="843"/>
      <c r="I37" s="480">
        <f>+'Anexo 1 Matriz SINA Inf Gestión'!F19/100</f>
        <v>1</v>
      </c>
      <c r="J37" s="879"/>
      <c r="K37" s="451"/>
      <c r="L37" s="451"/>
      <c r="M37" s="137"/>
      <c r="N37" s="137"/>
      <c r="O37" s="135"/>
      <c r="P37" s="130"/>
    </row>
    <row r="38" spans="1:19" s="1" customFormat="1" ht="47.25" customHeight="1">
      <c r="A38" s="882"/>
      <c r="B38" s="847" t="s">
        <v>306</v>
      </c>
      <c r="C38" s="532"/>
      <c r="D38" s="868" t="s">
        <v>541</v>
      </c>
      <c r="E38" s="848" t="s">
        <v>95</v>
      </c>
      <c r="F38" s="848" t="s">
        <v>308</v>
      </c>
      <c r="G38" s="848"/>
      <c r="H38" s="862" t="s">
        <v>309</v>
      </c>
      <c r="I38" s="862"/>
      <c r="J38" s="863"/>
      <c r="K38" s="451"/>
      <c r="L38" s="451"/>
      <c r="M38" s="137"/>
      <c r="N38" s="137"/>
      <c r="O38" s="135"/>
      <c r="P38" s="130"/>
    </row>
    <row r="39" spans="1:19" s="1" customFormat="1" ht="47.25" customHeight="1">
      <c r="A39" s="882"/>
      <c r="B39" s="847"/>
      <c r="C39" s="532"/>
      <c r="D39" s="869"/>
      <c r="E39" s="848"/>
      <c r="F39" s="455" t="s">
        <v>310</v>
      </c>
      <c r="G39" s="584" t="s">
        <v>311</v>
      </c>
      <c r="H39" s="456" t="s">
        <v>312</v>
      </c>
      <c r="I39" s="534" t="s">
        <v>313</v>
      </c>
      <c r="J39" s="535" t="s">
        <v>314</v>
      </c>
      <c r="K39" s="451"/>
      <c r="L39" s="451"/>
      <c r="M39" s="137"/>
      <c r="N39" s="137"/>
      <c r="O39" s="135"/>
      <c r="P39" s="130"/>
    </row>
    <row r="40" spans="1:19" s="1" customFormat="1" ht="68.25" customHeight="1">
      <c r="A40" s="882"/>
      <c r="B40" s="873" t="s">
        <v>468</v>
      </c>
      <c r="C40" s="528"/>
      <c r="D40" s="395" t="s">
        <v>375</v>
      </c>
      <c r="E40" s="394" t="s">
        <v>376</v>
      </c>
      <c r="F40" s="413">
        <v>1</v>
      </c>
      <c r="G40" s="413">
        <f>+'Anexo 1 Matriz SINA Inf Gestión'!E31</f>
        <v>1</v>
      </c>
      <c r="H40" s="457">
        <f>+'Anexo 1 Matriz SINA Inf Gestión'!M31</f>
        <v>1018593817.1</v>
      </c>
      <c r="I40" s="457">
        <f>+'Anexo 1 Matriz SINA Inf Gestión'!N31</f>
        <v>1018593817</v>
      </c>
      <c r="J40" s="75">
        <f>+H40-I40</f>
        <v>0.10000002384185791</v>
      </c>
      <c r="K40" s="451"/>
      <c r="L40" s="451"/>
      <c r="M40" s="137"/>
      <c r="N40" s="137"/>
      <c r="O40" s="135"/>
      <c r="P40" s="130"/>
    </row>
    <row r="41" spans="1:19" s="1" customFormat="1" ht="33" customHeight="1">
      <c r="A41" s="882"/>
      <c r="B41" s="873"/>
      <c r="C41" s="528"/>
      <c r="D41" s="395" t="s">
        <v>480</v>
      </c>
      <c r="E41" s="394" t="s">
        <v>512</v>
      </c>
      <c r="F41" s="413">
        <v>1</v>
      </c>
      <c r="G41" s="413">
        <f>+'Anexo 1 Matriz SINA Inf Gestión'!E32</f>
        <v>1</v>
      </c>
      <c r="H41" s="457">
        <f>+'Anexo 1 Matriz SINA Inf Gestión'!M32</f>
        <v>115205104.40000001</v>
      </c>
      <c r="I41" s="457">
        <f>+'Anexo 1 Matriz SINA Inf Gestión'!N32</f>
        <v>115158800</v>
      </c>
      <c r="J41" s="75">
        <f>+H41-I41</f>
        <v>46304.40000000596</v>
      </c>
      <c r="K41" s="451"/>
      <c r="L41" s="451"/>
      <c r="M41" s="137"/>
      <c r="N41" s="137"/>
      <c r="O41" s="135"/>
      <c r="P41" s="376"/>
    </row>
    <row r="42" spans="1:19" s="1" customFormat="1" ht="22.5" customHeight="1">
      <c r="A42" s="882"/>
      <c r="B42" s="873"/>
      <c r="C42" s="529"/>
      <c r="D42" s="872" t="s">
        <v>319</v>
      </c>
      <c r="E42" s="872"/>
      <c r="F42" s="872"/>
      <c r="G42" s="872"/>
      <c r="H42" s="458">
        <f>SUM(H40:H41)</f>
        <v>1133798921.5</v>
      </c>
      <c r="I42" s="387"/>
      <c r="J42" s="867">
        <f>+H42-I43</f>
        <v>46304.5</v>
      </c>
      <c r="K42" s="451"/>
      <c r="L42" s="451"/>
      <c r="M42" s="137"/>
      <c r="N42" s="137"/>
      <c r="O42" s="135"/>
      <c r="P42" s="130"/>
    </row>
    <row r="43" spans="1:19" s="1" customFormat="1" ht="16.5" customHeight="1">
      <c r="A43" s="882"/>
      <c r="B43" s="873"/>
      <c r="C43" s="529"/>
      <c r="D43" s="872" t="s">
        <v>320</v>
      </c>
      <c r="E43" s="872"/>
      <c r="F43" s="872"/>
      <c r="G43" s="872"/>
      <c r="H43" s="872"/>
      <c r="I43" s="458">
        <f>SUM(I40:I42)</f>
        <v>1133752617</v>
      </c>
      <c r="J43" s="879"/>
      <c r="K43" s="451"/>
      <c r="L43" s="451"/>
      <c r="M43" s="137"/>
      <c r="N43" s="137"/>
      <c r="O43" s="135"/>
      <c r="P43" s="130"/>
    </row>
    <row r="44" spans="1:19" s="1" customFormat="1" ht="16.5" customHeight="1">
      <c r="A44" s="882"/>
      <c r="B44" s="873"/>
      <c r="C44" s="529"/>
      <c r="D44" s="872" t="s">
        <v>321</v>
      </c>
      <c r="E44" s="872"/>
      <c r="F44" s="872"/>
      <c r="G44" s="872"/>
      <c r="H44" s="872"/>
      <c r="I44" s="513">
        <f>+'Anexo 1 Matriz SINA Inf Gestión'!O30/100</f>
        <v>0.9999591598658969</v>
      </c>
      <c r="J44" s="879"/>
      <c r="K44" s="451"/>
      <c r="L44" s="451"/>
      <c r="M44" s="137"/>
      <c r="N44" s="137"/>
      <c r="O44" s="135"/>
      <c r="P44" s="130"/>
    </row>
    <row r="45" spans="1:19" s="1" customFormat="1" ht="16.5" customHeight="1">
      <c r="A45" s="882"/>
      <c r="B45" s="873"/>
      <c r="C45" s="529"/>
      <c r="D45" s="841" t="s">
        <v>526</v>
      </c>
      <c r="E45" s="842"/>
      <c r="F45" s="842"/>
      <c r="G45" s="842"/>
      <c r="H45" s="843"/>
      <c r="I45" s="663">
        <f>+'Anexo 1 Matriz SINA Inf Gestión'!F30/100</f>
        <v>1</v>
      </c>
      <c r="J45" s="879"/>
      <c r="K45" s="451"/>
      <c r="L45" s="451"/>
      <c r="M45" s="137"/>
      <c r="N45" s="137"/>
      <c r="O45" s="135"/>
      <c r="P45" s="130"/>
    </row>
    <row r="46" spans="1:19" s="1" customFormat="1" ht="17.25" customHeight="1">
      <c r="A46" s="878" t="s">
        <v>305</v>
      </c>
      <c r="B46" s="847" t="s">
        <v>306</v>
      </c>
      <c r="C46" s="532"/>
      <c r="D46" s="868" t="s">
        <v>541</v>
      </c>
      <c r="E46" s="848" t="s">
        <v>95</v>
      </c>
      <c r="F46" s="848" t="s">
        <v>308</v>
      </c>
      <c r="G46" s="848"/>
      <c r="H46" s="862" t="s">
        <v>309</v>
      </c>
      <c r="I46" s="862"/>
      <c r="J46" s="863"/>
      <c r="K46" s="451"/>
      <c r="L46" s="451"/>
      <c r="M46" s="134"/>
      <c r="N46" s="134"/>
      <c r="O46" s="135"/>
      <c r="P46" s="130"/>
    </row>
    <row r="47" spans="1:19" s="1" customFormat="1" ht="51.75" customHeight="1">
      <c r="A47" s="878"/>
      <c r="B47" s="847"/>
      <c r="C47" s="532"/>
      <c r="D47" s="869"/>
      <c r="E47" s="848"/>
      <c r="F47" s="455" t="s">
        <v>310</v>
      </c>
      <c r="G47" s="584" t="s">
        <v>311</v>
      </c>
      <c r="H47" s="456" t="s">
        <v>312</v>
      </c>
      <c r="I47" s="534" t="s">
        <v>313</v>
      </c>
      <c r="J47" s="535" t="s">
        <v>314</v>
      </c>
      <c r="K47" s="451"/>
      <c r="L47" s="451"/>
      <c r="M47" s="134"/>
      <c r="N47" s="134"/>
      <c r="O47" s="135"/>
      <c r="P47" s="130"/>
    </row>
    <row r="48" spans="1:19" s="1" customFormat="1" ht="57.75" customHeight="1">
      <c r="A48" s="899" t="s">
        <v>469</v>
      </c>
      <c r="B48" s="873" t="s">
        <v>475</v>
      </c>
      <c r="C48" s="528"/>
      <c r="D48" s="384" t="s">
        <v>482</v>
      </c>
      <c r="E48" s="386" t="s">
        <v>1</v>
      </c>
      <c r="F48" s="413">
        <v>30</v>
      </c>
      <c r="G48" s="386">
        <f>+'Anexo 1 Matriz SINA Inf Gestión'!E35</f>
        <v>21.86</v>
      </c>
      <c r="H48" s="457">
        <f>+'Anexo 1 Matriz SINA Inf Gestión'!M35</f>
        <v>0</v>
      </c>
      <c r="I48" s="457">
        <f>+'Anexo 1 Matriz SINA Inf Gestión'!N35</f>
        <v>0</v>
      </c>
      <c r="J48" s="75">
        <v>0</v>
      </c>
      <c r="K48" s="451"/>
      <c r="L48" s="451"/>
      <c r="M48" s="138">
        <v>75206</v>
      </c>
      <c r="N48" s="134">
        <v>340671</v>
      </c>
      <c r="O48" s="135"/>
      <c r="P48" s="130"/>
      <c r="Q48" s="1">
        <v>0</v>
      </c>
      <c r="S48" s="736"/>
    </row>
    <row r="49" spans="1:20" s="1" customFormat="1" ht="59.25" customHeight="1">
      <c r="A49" s="882"/>
      <c r="B49" s="873"/>
      <c r="C49" s="528"/>
      <c r="D49" s="389" t="s">
        <v>381</v>
      </c>
      <c r="E49" s="386" t="s">
        <v>453</v>
      </c>
      <c r="F49" s="413">
        <v>70451</v>
      </c>
      <c r="G49" s="386">
        <f>+'Anexo 1 Matriz SINA Inf Gestión'!E36</f>
        <v>50289</v>
      </c>
      <c r="H49" s="457">
        <f>+'Anexo 1 Matriz SINA Inf Gestión'!M36</f>
        <v>0</v>
      </c>
      <c r="I49" s="457">
        <f>+'Anexo 1 Matriz SINA Inf Gestión'!N36</f>
        <v>0</v>
      </c>
      <c r="J49" s="75">
        <v>0</v>
      </c>
      <c r="K49" s="451"/>
      <c r="L49" s="451"/>
      <c r="M49" s="138"/>
      <c r="N49" s="134"/>
      <c r="O49" s="135"/>
      <c r="P49" s="130"/>
      <c r="Q49" s="554">
        <v>0</v>
      </c>
      <c r="S49" s="736"/>
    </row>
    <row r="50" spans="1:20" s="1" customFormat="1" ht="47.25" customHeight="1">
      <c r="A50" s="882"/>
      <c r="B50" s="873"/>
      <c r="C50" s="528"/>
      <c r="D50" s="389" t="s">
        <v>382</v>
      </c>
      <c r="E50" s="386" t="s">
        <v>487</v>
      </c>
      <c r="F50" s="413">
        <v>50</v>
      </c>
      <c r="G50" s="386">
        <f>+'Anexo 1 Matriz SINA Inf Gestión'!E37</f>
        <v>50</v>
      </c>
      <c r="H50" s="457">
        <f>+'Anexo 1 Matriz SINA Inf Gestión'!M37</f>
        <v>0</v>
      </c>
      <c r="I50" s="457">
        <f>+'Anexo 1 Matriz SINA Inf Gestión'!N37</f>
        <v>0</v>
      </c>
      <c r="J50" s="75"/>
      <c r="K50" s="451"/>
      <c r="L50" s="451"/>
      <c r="M50" s="138"/>
      <c r="N50" s="134"/>
      <c r="O50" s="135"/>
      <c r="P50" s="130"/>
    </row>
    <row r="51" spans="1:20" s="1" customFormat="1" ht="45" customHeight="1">
      <c r="A51" s="882"/>
      <c r="B51" s="873"/>
      <c r="C51" s="528"/>
      <c r="D51" s="389" t="s">
        <v>383</v>
      </c>
      <c r="E51" s="386" t="s">
        <v>509</v>
      </c>
      <c r="F51" s="413">
        <v>30</v>
      </c>
      <c r="G51" s="386">
        <f>+'Anexo 1 Matriz SINA Inf Gestión'!E38</f>
        <v>30</v>
      </c>
      <c r="H51" s="457">
        <f>+'Anexo 1 Matriz SINA Inf Gestión'!M38</f>
        <v>115182886</v>
      </c>
      <c r="I51" s="457">
        <f>+'Anexo 1 Matriz SINA Inf Gestión'!N38</f>
        <v>114654332</v>
      </c>
      <c r="J51" s="75">
        <f>+H51-I51</f>
        <v>528554</v>
      </c>
      <c r="K51" s="451"/>
      <c r="L51" s="451"/>
      <c r="M51" s="138"/>
      <c r="N51" s="134"/>
      <c r="O51" s="135"/>
      <c r="P51" s="130"/>
    </row>
    <row r="52" spans="1:20" s="1" customFormat="1" ht="42.75" customHeight="1">
      <c r="A52" s="882"/>
      <c r="B52" s="873"/>
      <c r="C52" s="528"/>
      <c r="D52" s="389" t="s">
        <v>384</v>
      </c>
      <c r="E52" s="386" t="s">
        <v>189</v>
      </c>
      <c r="F52" s="413">
        <v>3</v>
      </c>
      <c r="G52" s="386">
        <f>+'Anexo 1 Matriz SINA Inf Gestión'!E39</f>
        <v>3</v>
      </c>
      <c r="H52" s="457">
        <f>+'Anexo 1 Matriz SINA Inf Gestión'!M39</f>
        <v>40080000</v>
      </c>
      <c r="I52" s="457">
        <f>+'Anexo 1 Matriz SINA Inf Gestión'!N39</f>
        <v>40080000</v>
      </c>
      <c r="J52" s="75">
        <f t="shared" ref="J52:J55" si="3">+H52-I52</f>
        <v>0</v>
      </c>
      <c r="K52" s="451"/>
      <c r="L52" s="451"/>
      <c r="M52" s="138"/>
      <c r="N52" s="134"/>
      <c r="O52" s="135"/>
      <c r="P52" s="130"/>
    </row>
    <row r="53" spans="1:20" s="1" customFormat="1" ht="39" customHeight="1">
      <c r="A53" s="882"/>
      <c r="B53" s="873"/>
      <c r="C53" s="528"/>
      <c r="D53" s="389" t="s">
        <v>521</v>
      </c>
      <c r="E53" s="386" t="s">
        <v>522</v>
      </c>
      <c r="F53" s="413">
        <v>2</v>
      </c>
      <c r="G53" s="386">
        <f>+'Anexo 1 Matriz SINA Inf Gestión'!E40</f>
        <v>2</v>
      </c>
      <c r="H53" s="457">
        <f>+'Anexo 1 Matriz SINA Inf Gestión'!M40</f>
        <v>1476355832</v>
      </c>
      <c r="I53" s="457">
        <f>+'Anexo 1 Matriz SINA Inf Gestión'!N40</f>
        <v>1450446075.632</v>
      </c>
      <c r="J53" s="75">
        <f t="shared" si="3"/>
        <v>25909756.368000031</v>
      </c>
      <c r="K53" s="451"/>
      <c r="L53" s="451"/>
      <c r="M53" s="138"/>
      <c r="N53" s="134"/>
      <c r="O53" s="135"/>
      <c r="P53" s="130"/>
    </row>
    <row r="54" spans="1:20" s="1" customFormat="1" ht="40.5" customHeight="1">
      <c r="A54" s="882"/>
      <c r="B54" s="873"/>
      <c r="C54" s="528"/>
      <c r="D54" s="393" t="s">
        <v>380</v>
      </c>
      <c r="E54" s="386" t="s">
        <v>1</v>
      </c>
      <c r="F54" s="413">
        <v>100</v>
      </c>
      <c r="G54" s="386">
        <f>+'Anexo 1 Matriz SINA Inf Gestión'!E43</f>
        <v>100</v>
      </c>
      <c r="H54" s="457">
        <f>+'Anexo 1 Matriz SINA Inf Gestión'!M41</f>
        <v>0</v>
      </c>
      <c r="I54" s="457">
        <f>+'Anexo 1 Matriz SINA Inf Gestión'!N41</f>
        <v>0</v>
      </c>
      <c r="J54" s="75">
        <f t="shared" si="3"/>
        <v>0</v>
      </c>
      <c r="K54" s="451"/>
      <c r="L54" s="451"/>
      <c r="M54" s="138"/>
      <c r="N54" s="134"/>
      <c r="O54" s="135"/>
      <c r="P54" s="130"/>
    </row>
    <row r="55" spans="1:20" s="1" customFormat="1" ht="37.5" customHeight="1">
      <c r="A55" s="882"/>
      <c r="B55" s="873"/>
      <c r="C55" s="528"/>
      <c r="D55" s="389" t="s">
        <v>386</v>
      </c>
      <c r="E55" s="386" t="s">
        <v>387</v>
      </c>
      <c r="F55" s="413">
        <v>1</v>
      </c>
      <c r="G55" s="386">
        <f>+'Anexo 1 Matriz SINA Inf Gestión'!E44</f>
        <v>1</v>
      </c>
      <c r="H55" s="457">
        <f>+'Anexo 1 Matriz SINA Inf Gestión'!M44</f>
        <v>40254210</v>
      </c>
      <c r="I55" s="457">
        <f>+'Anexo 1 Matriz SINA Inf Gestión'!N44</f>
        <v>6024000</v>
      </c>
      <c r="J55" s="75">
        <f t="shared" si="3"/>
        <v>34230210</v>
      </c>
      <c r="K55" s="451"/>
      <c r="L55" s="451"/>
      <c r="M55" s="138"/>
      <c r="N55" s="134"/>
      <c r="O55" s="135"/>
      <c r="P55" s="130"/>
    </row>
    <row r="56" spans="1:20" s="1" customFormat="1" ht="24" customHeight="1">
      <c r="A56" s="882"/>
      <c r="B56" s="873"/>
      <c r="C56" s="529"/>
      <c r="D56" s="876" t="s">
        <v>319</v>
      </c>
      <c r="E56" s="876"/>
      <c r="F56" s="876"/>
      <c r="G56" s="876"/>
      <c r="H56" s="458">
        <f>SUM(H48:H55)</f>
        <v>1671872928</v>
      </c>
      <c r="I56" s="387"/>
      <c r="J56" s="867">
        <f>+H56-I57</f>
        <v>60668520.368000031</v>
      </c>
      <c r="K56" s="136"/>
      <c r="L56" s="451"/>
      <c r="M56" s="134"/>
      <c r="N56" s="134"/>
      <c r="O56" s="135"/>
      <c r="P56" s="130"/>
    </row>
    <row r="57" spans="1:20" s="1" customFormat="1" ht="16.5" customHeight="1">
      <c r="A57" s="882"/>
      <c r="B57" s="873"/>
      <c r="C57" s="529"/>
      <c r="D57" s="876" t="s">
        <v>320</v>
      </c>
      <c r="E57" s="876"/>
      <c r="F57" s="876"/>
      <c r="G57" s="876"/>
      <c r="H57" s="876"/>
      <c r="I57" s="458">
        <f>SUM(I48:I56)</f>
        <v>1611204407.632</v>
      </c>
      <c r="J57" s="867"/>
      <c r="K57" s="136"/>
      <c r="L57" s="451"/>
      <c r="M57" s="134"/>
      <c r="N57" s="134"/>
      <c r="O57" s="135"/>
      <c r="P57" s="130"/>
    </row>
    <row r="58" spans="1:20" s="1" customFormat="1" ht="16.5" customHeight="1">
      <c r="A58" s="882"/>
      <c r="B58" s="873"/>
      <c r="C58" s="335"/>
      <c r="D58" s="877" t="s">
        <v>321</v>
      </c>
      <c r="E58" s="872"/>
      <c r="F58" s="872"/>
      <c r="G58" s="872"/>
      <c r="H58" s="872"/>
      <c r="I58" s="434">
        <f>+'Anexo 1 Matriz SINA Inf Gestión'!O34/100</f>
        <v>0.96371224191028948</v>
      </c>
      <c r="J58" s="867"/>
      <c r="K58" s="136"/>
      <c r="L58" s="451"/>
      <c r="M58" s="134"/>
      <c r="N58" s="134"/>
      <c r="O58" s="135"/>
      <c r="P58" s="130"/>
    </row>
    <row r="59" spans="1:20" s="1" customFormat="1" ht="16.5" customHeight="1">
      <c r="A59" s="882"/>
      <c r="B59" s="873"/>
      <c r="C59" s="335"/>
      <c r="D59" s="859" t="s">
        <v>526</v>
      </c>
      <c r="E59" s="860"/>
      <c r="F59" s="860"/>
      <c r="G59" s="860"/>
      <c r="H59" s="861"/>
      <c r="I59" s="513">
        <f>+'Anexo 1 Matriz SINA Inf Gestión'!F34/100</f>
        <v>0.93031024281652019</v>
      </c>
      <c r="J59" s="867"/>
      <c r="K59" s="136"/>
      <c r="L59" s="451"/>
      <c r="M59" s="134"/>
      <c r="N59" s="134"/>
      <c r="O59" s="135"/>
      <c r="P59" s="130"/>
    </row>
    <row r="60" spans="1:20" s="1" customFormat="1" ht="33.75" customHeight="1">
      <c r="A60" s="882"/>
      <c r="B60" s="847" t="s">
        <v>306</v>
      </c>
      <c r="C60" s="532"/>
      <c r="D60" s="868" t="s">
        <v>541</v>
      </c>
      <c r="E60" s="848" t="s">
        <v>95</v>
      </c>
      <c r="F60" s="848" t="s">
        <v>308</v>
      </c>
      <c r="G60" s="848"/>
      <c r="H60" s="862" t="s">
        <v>246</v>
      </c>
      <c r="I60" s="862"/>
      <c r="J60" s="863"/>
      <c r="K60" s="451"/>
      <c r="L60" s="451"/>
      <c r="M60" s="134"/>
      <c r="N60" s="134"/>
      <c r="O60" s="135"/>
      <c r="P60" s="130"/>
    </row>
    <row r="61" spans="1:20" s="1" customFormat="1" ht="27" customHeight="1">
      <c r="A61" s="882"/>
      <c r="B61" s="847"/>
      <c r="C61" s="532"/>
      <c r="D61" s="869"/>
      <c r="E61" s="848"/>
      <c r="F61" s="455" t="s">
        <v>310</v>
      </c>
      <c r="G61" s="584" t="s">
        <v>311</v>
      </c>
      <c r="H61" s="456" t="s">
        <v>312</v>
      </c>
      <c r="I61" s="534" t="s">
        <v>313</v>
      </c>
      <c r="J61" s="535" t="s">
        <v>314</v>
      </c>
      <c r="K61" s="451"/>
      <c r="L61" s="451"/>
      <c r="M61" s="134"/>
      <c r="N61" s="134"/>
      <c r="O61" s="135"/>
      <c r="P61" s="130"/>
    </row>
    <row r="62" spans="1:20" s="1" customFormat="1" ht="34.5" customHeight="1">
      <c r="A62" s="882"/>
      <c r="B62" s="829" t="s">
        <v>539</v>
      </c>
      <c r="C62" s="527"/>
      <c r="D62" s="429" t="s">
        <v>388</v>
      </c>
      <c r="E62" s="386" t="s">
        <v>1</v>
      </c>
      <c r="F62" s="461">
        <v>100</v>
      </c>
      <c r="G62" s="598">
        <f>+'Anexo 1 Matriz SINA Inf Gestión'!E47</f>
        <v>100</v>
      </c>
      <c r="H62" s="462">
        <f>+'Anexo 1 Matriz SINA Inf Gestión'!M47</f>
        <v>0</v>
      </c>
      <c r="I62" s="462">
        <f>+'Anexo 1 Matriz SINA Inf Gestión'!N47</f>
        <v>0</v>
      </c>
      <c r="J62" s="75">
        <f t="shared" ref="J62:J65" si="4">+H62-I62</f>
        <v>0</v>
      </c>
      <c r="K62" s="451"/>
      <c r="L62" s="451"/>
      <c r="M62" s="134"/>
      <c r="N62" s="134"/>
      <c r="O62" s="135"/>
      <c r="P62" s="130"/>
    </row>
    <row r="63" spans="1:20" s="1" customFormat="1" ht="32.25" customHeight="1">
      <c r="A63" s="882"/>
      <c r="B63" s="829"/>
      <c r="C63" s="527"/>
      <c r="D63" s="426" t="s">
        <v>523</v>
      </c>
      <c r="E63" s="386" t="s">
        <v>453</v>
      </c>
      <c r="F63" s="461">
        <v>99948</v>
      </c>
      <c r="G63" s="598">
        <f>+'Anexo 1 Matriz SINA Inf Gestión'!E48</f>
        <v>99948</v>
      </c>
      <c r="H63" s="462">
        <f>+'Anexo 1 Matriz SINA Inf Gestión'!M48</f>
        <v>146880180.40000001</v>
      </c>
      <c r="I63" s="462">
        <f>+'Anexo 1 Matriz SINA Inf Gestión'!N48</f>
        <v>146880180</v>
      </c>
      <c r="J63" s="75">
        <f>+H63-I63</f>
        <v>0.40000000596046448</v>
      </c>
      <c r="K63" s="451"/>
      <c r="L63" s="451"/>
      <c r="M63" s="134"/>
      <c r="N63" s="134"/>
      <c r="O63" s="135"/>
      <c r="P63" s="130"/>
      <c r="T63" s="544"/>
    </row>
    <row r="64" spans="1:20" s="1" customFormat="1" ht="32.25" customHeight="1">
      <c r="A64" s="882"/>
      <c r="B64" s="829"/>
      <c r="C64" s="527"/>
      <c r="D64" s="426" t="s">
        <v>524</v>
      </c>
      <c r="E64" s="386" t="s">
        <v>453</v>
      </c>
      <c r="F64" s="461">
        <v>216462</v>
      </c>
      <c r="G64" s="598">
        <f>+'Anexo 1 Matriz SINA Inf Gestión'!E49</f>
        <v>216462</v>
      </c>
      <c r="H64" s="462">
        <f>+'Anexo 1 Matriz SINA Inf Gestión'!M49</f>
        <v>2406123543.3000002</v>
      </c>
      <c r="I64" s="462">
        <f>+'Anexo 1 Matriz SINA Inf Gestión'!N49</f>
        <v>2398861471.0079999</v>
      </c>
      <c r="J64" s="75">
        <f>+H64-I64</f>
        <v>7262072.2920002937</v>
      </c>
      <c r="K64" s="451"/>
      <c r="L64" s="451"/>
      <c r="M64" s="134"/>
      <c r="N64" s="134"/>
      <c r="O64" s="135"/>
      <c r="P64" s="130"/>
      <c r="R64" s="451"/>
    </row>
    <row r="65" spans="1:20" s="1" customFormat="1" ht="32.25" customHeight="1">
      <c r="A65" s="882"/>
      <c r="B65" s="829"/>
      <c r="C65" s="527"/>
      <c r="D65" s="429" t="s">
        <v>389</v>
      </c>
      <c r="E65" s="386" t="s">
        <v>1</v>
      </c>
      <c r="F65" s="461">
        <v>25</v>
      </c>
      <c r="G65" s="598">
        <f>+'Anexo 1 Matriz SINA Inf Gestión'!E50</f>
        <v>25</v>
      </c>
      <c r="H65" s="462">
        <f>+'Anexo 1 Matriz SINA Inf Gestión'!M50</f>
        <v>0</v>
      </c>
      <c r="I65" s="462">
        <f>+'Anexo 1 Matriz SINA Inf Gestión'!N50</f>
        <v>0</v>
      </c>
      <c r="J65" s="75">
        <f t="shared" si="4"/>
        <v>0</v>
      </c>
      <c r="K65" s="451"/>
      <c r="L65" s="451"/>
      <c r="M65" s="134"/>
      <c r="N65" s="134"/>
      <c r="O65" s="135"/>
      <c r="P65" s="130"/>
      <c r="Q65" s="554">
        <v>64</v>
      </c>
      <c r="R65" s="1">
        <v>15.636704119850187</v>
      </c>
      <c r="T65" s="544"/>
    </row>
    <row r="66" spans="1:20" s="1" customFormat="1" ht="36" customHeight="1">
      <c r="A66" s="882"/>
      <c r="B66" s="829"/>
      <c r="C66" s="527"/>
      <c r="D66" s="426" t="s">
        <v>391</v>
      </c>
      <c r="E66" s="386" t="s">
        <v>187</v>
      </c>
      <c r="F66" s="461">
        <v>267</v>
      </c>
      <c r="G66" s="598">
        <f>+'Anexo 1 Matriz SINA Inf Gestión'!E51</f>
        <v>267</v>
      </c>
      <c r="H66" s="462">
        <f>+'Anexo 1 Matriz SINA Inf Gestión'!M51</f>
        <v>153492929</v>
      </c>
      <c r="I66" s="462">
        <f>+'Anexo 1 Matriz SINA Inf Gestión'!N51</f>
        <v>123424801</v>
      </c>
      <c r="J66" s="75">
        <f>+H66-I66</f>
        <v>30068128</v>
      </c>
      <c r="K66" s="451"/>
      <c r="L66" s="451"/>
      <c r="M66" s="134"/>
      <c r="N66" s="134"/>
      <c r="O66" s="135"/>
      <c r="P66" s="376"/>
      <c r="Q66" s="554">
        <v>62.546816479400746</v>
      </c>
      <c r="R66" s="1">
        <v>18.25</v>
      </c>
    </row>
    <row r="67" spans="1:20" s="1" customFormat="1" ht="36" customHeight="1">
      <c r="A67" s="882"/>
      <c r="B67" s="829"/>
      <c r="C67" s="527"/>
      <c r="D67" s="429" t="s">
        <v>390</v>
      </c>
      <c r="E67" s="386" t="s">
        <v>179</v>
      </c>
      <c r="F67" s="461">
        <v>100</v>
      </c>
      <c r="G67" s="598">
        <f>+'Anexo 1 Matriz SINA Inf Gestión'!E52</f>
        <v>100</v>
      </c>
      <c r="H67" s="462">
        <f>+'Anexo 1 Matriz SINA Inf Gestión'!M52</f>
        <v>0</v>
      </c>
      <c r="I67" s="462">
        <f>+'Anexo 1 Matriz SINA Inf Gestión'!N52</f>
        <v>0</v>
      </c>
      <c r="J67" s="75">
        <f>+H67-I67</f>
        <v>0</v>
      </c>
      <c r="K67" s="451"/>
      <c r="L67" s="451"/>
      <c r="M67" s="134"/>
      <c r="N67" s="134"/>
      <c r="O67" s="135"/>
      <c r="P67" s="130"/>
      <c r="Q67" s="1">
        <v>75</v>
      </c>
    </row>
    <row r="68" spans="1:20" s="1" customFormat="1" ht="36" customHeight="1">
      <c r="A68" s="882"/>
      <c r="B68" s="829"/>
      <c r="C68" s="527"/>
      <c r="D68" s="426" t="s">
        <v>455</v>
      </c>
      <c r="E68" s="386" t="s">
        <v>387</v>
      </c>
      <c r="F68" s="461">
        <v>4</v>
      </c>
      <c r="G68" s="598">
        <f>+'Anexo 1 Matriz SINA Inf Gestión'!E53</f>
        <v>4</v>
      </c>
      <c r="H68" s="462">
        <f>+'Anexo 1 Matriz SINA Inf Gestión'!M53</f>
        <v>131812080</v>
      </c>
      <c r="I68" s="462">
        <f>+'Anexo 1 Matriz SINA Inf Gestión'!N53</f>
        <v>130465716</v>
      </c>
      <c r="J68" s="75">
        <f>+H68-I68</f>
        <v>1346364</v>
      </c>
      <c r="K68" s="451"/>
      <c r="L68" s="451"/>
      <c r="M68" s="134"/>
      <c r="N68" s="134"/>
      <c r="O68" s="135"/>
      <c r="P68" s="130"/>
      <c r="Q68" s="1">
        <v>75</v>
      </c>
    </row>
    <row r="69" spans="1:20" s="1" customFormat="1" ht="36" customHeight="1">
      <c r="A69" s="882"/>
      <c r="B69" s="829"/>
      <c r="C69" s="529"/>
      <c r="D69" s="463" t="s">
        <v>514</v>
      </c>
      <c r="E69" s="386" t="s">
        <v>515</v>
      </c>
      <c r="F69" s="461" t="s">
        <v>518</v>
      </c>
      <c r="G69" s="596" t="s">
        <v>518</v>
      </c>
      <c r="H69" s="462">
        <f>+'Anexo 1 Matriz SINA Inf Gestión'!M54</f>
        <v>85901272</v>
      </c>
      <c r="I69" s="462">
        <f>+'Anexo 1 Matriz SINA Inf Gestión'!N54</f>
        <v>85901272</v>
      </c>
      <c r="J69" s="75">
        <f>+H69-I69</f>
        <v>0</v>
      </c>
      <c r="K69" s="451"/>
      <c r="L69" s="451"/>
      <c r="M69" s="134"/>
      <c r="N69" s="134"/>
      <c r="O69" s="135"/>
      <c r="P69" s="130"/>
    </row>
    <row r="70" spans="1:20" s="1" customFormat="1" ht="20.25" customHeight="1">
      <c r="A70" s="882"/>
      <c r="B70" s="829"/>
      <c r="C70" s="529"/>
      <c r="D70" s="876" t="s">
        <v>319</v>
      </c>
      <c r="E70" s="876"/>
      <c r="F70" s="876"/>
      <c r="G70" s="876"/>
      <c r="H70" s="458">
        <f>SUM(H62:H69)</f>
        <v>2924210004.7000003</v>
      </c>
      <c r="I70" s="464"/>
      <c r="J70" s="867">
        <f>+H70-I71</f>
        <v>38676564.692000389</v>
      </c>
      <c r="K70" s="451"/>
      <c r="L70" s="451"/>
      <c r="M70" s="134"/>
      <c r="N70" s="134"/>
      <c r="O70" s="135"/>
      <c r="P70" s="130"/>
    </row>
    <row r="71" spans="1:20" s="1" customFormat="1" ht="20.25" customHeight="1">
      <c r="A71" s="882"/>
      <c r="B71" s="873"/>
      <c r="C71" s="529"/>
      <c r="D71" s="876" t="s">
        <v>320</v>
      </c>
      <c r="E71" s="876"/>
      <c r="F71" s="876"/>
      <c r="G71" s="876"/>
      <c r="H71" s="876"/>
      <c r="I71" s="465">
        <f>SUM(I62:I70)</f>
        <v>2885533440.0079999</v>
      </c>
      <c r="J71" s="867"/>
      <c r="K71" s="451"/>
      <c r="L71" s="451"/>
      <c r="M71" s="134"/>
      <c r="N71" s="134"/>
      <c r="O71" s="135"/>
      <c r="P71" s="130"/>
    </row>
    <row r="72" spans="1:20" s="1" customFormat="1" ht="20.25" customHeight="1">
      <c r="A72" s="882"/>
      <c r="B72" s="849"/>
      <c r="C72" s="335"/>
      <c r="D72" s="877" t="s">
        <v>321</v>
      </c>
      <c r="E72" s="877"/>
      <c r="F72" s="877"/>
      <c r="G72" s="877"/>
      <c r="H72" s="877"/>
      <c r="I72" s="434">
        <f>+'Anexo 1 Matriz SINA Inf Gestión'!O46/100</f>
        <v>0.98677367062220678</v>
      </c>
      <c r="J72" s="867"/>
      <c r="K72" s="451"/>
      <c r="L72" s="451"/>
      <c r="M72" s="134"/>
      <c r="N72" s="134"/>
      <c r="O72" s="135"/>
      <c r="P72" s="130"/>
    </row>
    <row r="73" spans="1:20" s="1" customFormat="1" ht="20.25" customHeight="1">
      <c r="A73" s="882"/>
      <c r="B73" s="849"/>
      <c r="C73" s="335"/>
      <c r="D73" s="859" t="s">
        <v>526</v>
      </c>
      <c r="E73" s="860"/>
      <c r="F73" s="860"/>
      <c r="G73" s="860"/>
      <c r="H73" s="861"/>
      <c r="I73" s="673">
        <f>+'Anexo 1 Matriz SINA Inf Gestión'!F46/100</f>
        <v>1</v>
      </c>
      <c r="J73" s="867"/>
      <c r="K73" s="451"/>
      <c r="L73" s="451"/>
      <c r="M73" s="134"/>
      <c r="N73" s="134"/>
      <c r="O73" s="135"/>
      <c r="P73" s="130"/>
    </row>
    <row r="74" spans="1:20" s="1" customFormat="1" ht="16.5" customHeight="1">
      <c r="A74" s="878" t="s">
        <v>305</v>
      </c>
      <c r="B74" s="847" t="s">
        <v>306</v>
      </c>
      <c r="C74" s="532"/>
      <c r="D74" s="868" t="s">
        <v>541</v>
      </c>
      <c r="E74" s="848" t="s">
        <v>95</v>
      </c>
      <c r="F74" s="848" t="s">
        <v>308</v>
      </c>
      <c r="G74" s="848"/>
      <c r="H74" s="862" t="s">
        <v>309</v>
      </c>
      <c r="I74" s="862"/>
      <c r="J74" s="863"/>
      <c r="K74" s="451"/>
      <c r="L74" s="451"/>
      <c r="M74" s="134"/>
      <c r="N74" s="134"/>
      <c r="O74" s="135"/>
      <c r="P74" s="130"/>
    </row>
    <row r="75" spans="1:20" s="1" customFormat="1" ht="44.25" customHeight="1">
      <c r="A75" s="878"/>
      <c r="B75" s="847"/>
      <c r="C75" s="542"/>
      <c r="D75" s="869"/>
      <c r="E75" s="848"/>
      <c r="F75" s="455" t="s">
        <v>310</v>
      </c>
      <c r="G75" s="584" t="s">
        <v>311</v>
      </c>
      <c r="H75" s="456" t="s">
        <v>312</v>
      </c>
      <c r="I75" s="534" t="s">
        <v>313</v>
      </c>
      <c r="J75" s="535" t="s">
        <v>314</v>
      </c>
      <c r="K75" s="451"/>
      <c r="L75" s="451"/>
      <c r="M75" s="134"/>
      <c r="N75" s="134"/>
      <c r="O75" s="135"/>
      <c r="P75" s="130"/>
    </row>
    <row r="76" spans="1:20" s="1" customFormat="1" ht="68.25" customHeight="1">
      <c r="A76" s="895" t="s">
        <v>470</v>
      </c>
      <c r="B76" s="829" t="s">
        <v>476</v>
      </c>
      <c r="C76" s="527"/>
      <c r="D76" s="430" t="s">
        <v>394</v>
      </c>
      <c r="E76" s="394" t="s">
        <v>1</v>
      </c>
      <c r="F76" s="386">
        <v>25</v>
      </c>
      <c r="G76" s="386">
        <f>+'Anexo 1 Matriz SINA Inf Gestión'!E57</f>
        <v>25</v>
      </c>
      <c r="H76" s="435">
        <f>+'Anexo 1 Matriz SINA Inf Gestión'!M57</f>
        <v>349607558.60000002</v>
      </c>
      <c r="I76" s="435">
        <f>+'Anexo 1 Matriz SINA Inf Gestión'!N57</f>
        <v>346589043</v>
      </c>
      <c r="J76" s="75">
        <f>+H76-I76</f>
        <v>3018515.6000000238</v>
      </c>
      <c r="K76" s="451"/>
      <c r="L76" s="451"/>
      <c r="M76" s="134">
        <v>175228</v>
      </c>
      <c r="N76" s="134">
        <v>45086</v>
      </c>
      <c r="O76" s="135">
        <v>334406</v>
      </c>
      <c r="P76" s="130"/>
    </row>
    <row r="77" spans="1:20" s="1" customFormat="1" ht="57" customHeight="1">
      <c r="A77" s="895"/>
      <c r="B77" s="829"/>
      <c r="C77" s="527"/>
      <c r="D77" s="429" t="s">
        <v>395</v>
      </c>
      <c r="E77" s="394" t="s">
        <v>1</v>
      </c>
      <c r="F77" s="386">
        <v>27</v>
      </c>
      <c r="G77" s="386">
        <f>+'Anexo 1 Matriz SINA Inf Gestión'!E58</f>
        <v>27</v>
      </c>
      <c r="H77" s="435">
        <f>+'Anexo 1 Matriz SINA Inf Gestión'!M58</f>
        <v>0</v>
      </c>
      <c r="I77" s="435">
        <f>+'Anexo 1 Matriz SINA Inf Gestión'!N58</f>
        <v>0</v>
      </c>
      <c r="J77" s="75">
        <f>+H77-I77</f>
        <v>0</v>
      </c>
      <c r="K77" s="451"/>
      <c r="L77" s="451"/>
      <c r="M77" s="134"/>
      <c r="N77" s="134"/>
      <c r="O77" s="135"/>
      <c r="P77" s="130"/>
      <c r="Q77" s="1">
        <v>0</v>
      </c>
      <c r="R77" s="1">
        <v>17.82</v>
      </c>
    </row>
    <row r="78" spans="1:20" s="1" customFormat="1" ht="73.5" customHeight="1">
      <c r="A78" s="895"/>
      <c r="B78" s="829"/>
      <c r="C78" s="527"/>
      <c r="D78" s="466" t="s">
        <v>396</v>
      </c>
      <c r="E78" s="394" t="s">
        <v>489</v>
      </c>
      <c r="F78" s="386">
        <v>3</v>
      </c>
      <c r="G78" s="386">
        <f>+'Anexo 1 Matriz SINA Inf Gestión'!E59</f>
        <v>3</v>
      </c>
      <c r="H78" s="435">
        <f>+'Anexo 1 Matriz SINA Inf Gestión'!M59</f>
        <v>287247164</v>
      </c>
      <c r="I78" s="435">
        <f>+'Anexo 1 Matriz SINA Inf Gestión'!N59</f>
        <v>269415046.44800001</v>
      </c>
      <c r="J78" s="75">
        <f>+H78-I78</f>
        <v>17832117.551999986</v>
      </c>
      <c r="K78" s="451"/>
      <c r="L78" s="451"/>
      <c r="M78" s="134"/>
      <c r="N78" s="134"/>
      <c r="O78" s="135"/>
      <c r="P78" s="130"/>
      <c r="Q78" s="1">
        <v>25</v>
      </c>
      <c r="R78" s="1">
        <v>6.75</v>
      </c>
    </row>
    <row r="79" spans="1:20" s="1" customFormat="1" ht="33.75" customHeight="1">
      <c r="A79" s="895"/>
      <c r="B79" s="829"/>
      <c r="C79" s="527"/>
      <c r="D79" s="467" t="s">
        <v>519</v>
      </c>
      <c r="E79" s="394" t="s">
        <v>397</v>
      </c>
      <c r="F79" s="386">
        <v>1</v>
      </c>
      <c r="G79" s="386">
        <f>+'Anexo 1 Matriz SINA Inf Gestión'!E60</f>
        <v>1</v>
      </c>
      <c r="H79" s="435">
        <f>+'Anexo 1 Matriz SINA Inf Gestión'!M60</f>
        <v>43241900.487999998</v>
      </c>
      <c r="I79" s="435">
        <f>+'Anexo 1 Matriz SINA Inf Gestión'!N60</f>
        <v>43241900</v>
      </c>
      <c r="J79" s="75">
        <f>+H79-I79</f>
        <v>0.48799999803304672</v>
      </c>
      <c r="K79" s="451"/>
      <c r="L79" s="451"/>
      <c r="M79" s="134"/>
      <c r="N79" s="134"/>
      <c r="O79" s="135"/>
      <c r="P79" s="130"/>
    </row>
    <row r="80" spans="1:20" s="1" customFormat="1" ht="33.75" customHeight="1">
      <c r="A80" s="895"/>
      <c r="B80" s="829"/>
      <c r="C80" s="527"/>
      <c r="D80" s="467" t="s">
        <v>398</v>
      </c>
      <c r="E80" s="394" t="s">
        <v>399</v>
      </c>
      <c r="F80" s="386">
        <v>2</v>
      </c>
      <c r="G80" s="386">
        <f>+'Anexo 1 Matriz SINA Inf Gestión'!E61</f>
        <v>2</v>
      </c>
      <c r="H80" s="435">
        <f>+'Anexo 1 Matriz SINA Inf Gestión'!M61</f>
        <v>0</v>
      </c>
      <c r="I80" s="435">
        <f>+'Anexo 1 Matriz SINA Inf Gestión'!N61</f>
        <v>0</v>
      </c>
      <c r="J80" s="75">
        <f t="shared" ref="J80" si="5">+H80-I80</f>
        <v>0</v>
      </c>
      <c r="K80" s="451"/>
      <c r="L80" s="451"/>
      <c r="M80" s="134"/>
      <c r="N80" s="134"/>
      <c r="O80" s="135"/>
      <c r="P80" s="130"/>
    </row>
    <row r="81" spans="1:18" s="1" customFormat="1" ht="69.75" customHeight="1">
      <c r="A81" s="895"/>
      <c r="B81" s="829"/>
      <c r="C81" s="527"/>
      <c r="D81" s="463" t="s">
        <v>400</v>
      </c>
      <c r="E81" s="394" t="s">
        <v>399</v>
      </c>
      <c r="F81" s="386">
        <v>2</v>
      </c>
      <c r="G81" s="386">
        <f>+'Anexo 1 Matriz SINA Inf Gestión'!E62</f>
        <v>2</v>
      </c>
      <c r="H81" s="435">
        <f>+'Anexo 1 Matriz SINA Inf Gestión'!M62</f>
        <v>2104913572</v>
      </c>
      <c r="I81" s="435">
        <f>+'Anexo 1 Matriz SINA Inf Gestión'!N62</f>
        <v>2104002685.0439999</v>
      </c>
      <c r="J81" s="75">
        <f>+H81-I81</f>
        <v>910886.95600008965</v>
      </c>
      <c r="K81" s="451"/>
      <c r="L81" s="451"/>
      <c r="M81" s="134"/>
      <c r="N81" s="134"/>
      <c r="O81" s="135"/>
      <c r="P81" s="130"/>
    </row>
    <row r="82" spans="1:18" s="1" customFormat="1" ht="33.75" customHeight="1">
      <c r="A82" s="895"/>
      <c r="B82" s="829"/>
      <c r="C82" s="529"/>
      <c r="D82" s="463" t="s">
        <v>514</v>
      </c>
      <c r="E82" s="394" t="s">
        <v>515</v>
      </c>
      <c r="F82" s="461" t="s">
        <v>518</v>
      </c>
      <c r="G82" s="596" t="s">
        <v>518</v>
      </c>
      <c r="H82" s="435">
        <f>+'Anexo 1 Matriz SINA Inf Gestión'!M63</f>
        <v>57991564</v>
      </c>
      <c r="I82" s="435">
        <f>+'Anexo 1 Matriz SINA Inf Gestión'!N63</f>
        <v>57991564</v>
      </c>
      <c r="J82" s="75">
        <f>+H82-I82</f>
        <v>0</v>
      </c>
      <c r="K82" s="451"/>
      <c r="L82" s="451"/>
      <c r="M82" s="134"/>
      <c r="N82" s="134"/>
      <c r="O82" s="135"/>
      <c r="P82" s="130"/>
    </row>
    <row r="83" spans="1:18" s="1" customFormat="1" ht="15">
      <c r="A83" s="895"/>
      <c r="B83" s="874"/>
      <c r="C83" s="468"/>
      <c r="D83" s="875" t="s">
        <v>319</v>
      </c>
      <c r="E83" s="876"/>
      <c r="F83" s="876"/>
      <c r="G83" s="876"/>
      <c r="H83" s="458">
        <f>SUM(H76:H82)</f>
        <v>2843001759.0880003</v>
      </c>
      <c r="I83" s="387"/>
      <c r="J83" s="867">
        <f>+H83-I84</f>
        <v>21761520.596000671</v>
      </c>
      <c r="K83" s="139"/>
      <c r="L83" s="451"/>
      <c r="M83" s="134">
        <v>630821</v>
      </c>
      <c r="N83" s="134"/>
      <c r="O83" s="135"/>
      <c r="P83" s="130"/>
    </row>
    <row r="84" spans="1:18" s="1" customFormat="1" ht="15">
      <c r="A84" s="895"/>
      <c r="B84" s="874"/>
      <c r="C84" s="537"/>
      <c r="D84" s="876" t="s">
        <v>320</v>
      </c>
      <c r="E84" s="876"/>
      <c r="F84" s="876"/>
      <c r="G84" s="876"/>
      <c r="H84" s="876"/>
      <c r="I84" s="458">
        <f>SUM(I76:I83)</f>
        <v>2821240238.4919996</v>
      </c>
      <c r="J84" s="867"/>
      <c r="K84" s="136"/>
      <c r="L84" s="451"/>
      <c r="M84" s="134">
        <v>4107244</v>
      </c>
      <c r="N84" s="134"/>
      <c r="O84" s="135"/>
      <c r="P84" s="130"/>
    </row>
    <row r="85" spans="1:18" s="1" customFormat="1" ht="15">
      <c r="A85" s="895"/>
      <c r="B85" s="894"/>
      <c r="C85" s="538"/>
      <c r="D85" s="877" t="s">
        <v>321</v>
      </c>
      <c r="E85" s="877"/>
      <c r="F85" s="877"/>
      <c r="G85" s="877"/>
      <c r="H85" s="877"/>
      <c r="I85" s="663">
        <f>+'Anexo 1 Matriz SINA Inf Gestión'!O56/100</f>
        <v>0.99234558314062338</v>
      </c>
      <c r="J85" s="867"/>
      <c r="K85" s="136"/>
      <c r="L85" s="451"/>
      <c r="M85" s="134"/>
      <c r="N85" s="134"/>
      <c r="O85" s="135"/>
      <c r="P85" s="130"/>
    </row>
    <row r="86" spans="1:18" s="1" customFormat="1" ht="15">
      <c r="A86" s="895"/>
      <c r="B86" s="894"/>
      <c r="C86" s="538"/>
      <c r="D86" s="859" t="s">
        <v>526</v>
      </c>
      <c r="E86" s="860"/>
      <c r="F86" s="860"/>
      <c r="G86" s="860"/>
      <c r="H86" s="861"/>
      <c r="I86" s="513">
        <f>+'Anexo 1 Matriz SINA Inf Gestión'!F56/100</f>
        <v>1</v>
      </c>
      <c r="J86" s="867"/>
      <c r="K86" s="136"/>
      <c r="L86" s="451"/>
      <c r="M86" s="134"/>
      <c r="N86" s="134"/>
      <c r="O86" s="135"/>
      <c r="P86" s="130"/>
    </row>
    <row r="87" spans="1:18" s="1" customFormat="1" ht="23.25" customHeight="1">
      <c r="A87" s="895"/>
      <c r="B87" s="847" t="s">
        <v>306</v>
      </c>
      <c r="C87" s="532"/>
      <c r="D87" s="868" t="s">
        <v>541</v>
      </c>
      <c r="E87" s="848" t="s">
        <v>95</v>
      </c>
      <c r="F87" s="848" t="s">
        <v>308</v>
      </c>
      <c r="G87" s="848"/>
      <c r="H87" s="862" t="s">
        <v>309</v>
      </c>
      <c r="I87" s="862"/>
      <c r="J87" s="863"/>
      <c r="K87" s="451"/>
      <c r="L87" s="451"/>
      <c r="M87" s="140"/>
      <c r="N87" s="137"/>
      <c r="O87" s="141"/>
      <c r="P87" s="130"/>
    </row>
    <row r="88" spans="1:18" s="1" customFormat="1" ht="33.75" customHeight="1">
      <c r="A88" s="895"/>
      <c r="B88" s="847"/>
      <c r="C88" s="542"/>
      <c r="D88" s="869"/>
      <c r="E88" s="848"/>
      <c r="F88" s="455" t="s">
        <v>310</v>
      </c>
      <c r="G88" s="584" t="s">
        <v>311</v>
      </c>
      <c r="H88" s="456" t="s">
        <v>312</v>
      </c>
      <c r="I88" s="534" t="s">
        <v>313</v>
      </c>
      <c r="J88" s="535" t="s">
        <v>314</v>
      </c>
      <c r="K88" s="451"/>
      <c r="L88" s="451"/>
      <c r="M88" s="140"/>
      <c r="N88" s="137"/>
      <c r="O88" s="141"/>
      <c r="P88" s="130"/>
    </row>
    <row r="89" spans="1:18" s="1" customFormat="1" ht="50.25" customHeight="1">
      <c r="A89" s="895"/>
      <c r="B89" s="873" t="s">
        <v>540</v>
      </c>
      <c r="C89" s="529"/>
      <c r="D89" s="430" t="s">
        <v>401</v>
      </c>
      <c r="E89" s="394" t="s">
        <v>1</v>
      </c>
      <c r="F89" s="386">
        <v>20</v>
      </c>
      <c r="G89" s="386">
        <f>+'Anexo 1 Matriz SINA Inf Gestión'!E65</f>
        <v>20</v>
      </c>
      <c r="H89" s="435">
        <f>+'Anexo 1 Matriz SINA Inf Gestión'!M65</f>
        <v>0</v>
      </c>
      <c r="I89" s="435">
        <f>+'Anexo 1 Matriz SINA Inf Gestión'!N65</f>
        <v>0</v>
      </c>
      <c r="J89" s="75">
        <f>+H89-I89</f>
        <v>0</v>
      </c>
      <c r="K89" s="451"/>
      <c r="L89" s="451"/>
      <c r="M89" s="140"/>
      <c r="N89" s="137"/>
      <c r="O89" s="141"/>
      <c r="P89" s="130"/>
      <c r="Q89" s="1">
        <v>0</v>
      </c>
    </row>
    <row r="90" spans="1:18" s="1" customFormat="1" ht="44.25" customHeight="1">
      <c r="A90" s="895"/>
      <c r="B90" s="873"/>
      <c r="C90" s="529"/>
      <c r="D90" s="469" t="s">
        <v>403</v>
      </c>
      <c r="E90" s="394" t="s">
        <v>130</v>
      </c>
      <c r="F90" s="386">
        <v>2</v>
      </c>
      <c r="G90" s="386">
        <f>+'Anexo 1 Matriz SINA Inf Gestión'!E66</f>
        <v>2</v>
      </c>
      <c r="H90" s="435">
        <f>+'Anexo 1 Matriz SINA Inf Gestión'!M66</f>
        <v>150000000</v>
      </c>
      <c r="I90" s="435">
        <f>+'Anexo 1 Matriz SINA Inf Gestión'!N66</f>
        <v>149999909.19999999</v>
      </c>
      <c r="J90" s="75">
        <f t="shared" ref="J90:J91" si="6">+H90-I90</f>
        <v>90.800000011920929</v>
      </c>
      <c r="K90" s="451"/>
      <c r="L90" s="451"/>
      <c r="M90" s="140"/>
      <c r="N90" s="137"/>
      <c r="O90" s="141"/>
      <c r="P90" s="376"/>
      <c r="Q90" s="1">
        <v>50</v>
      </c>
      <c r="R90" s="1">
        <v>10</v>
      </c>
    </row>
    <row r="91" spans="1:18" s="1" customFormat="1" ht="61.5" customHeight="1">
      <c r="A91" s="895"/>
      <c r="B91" s="873"/>
      <c r="C91" s="529"/>
      <c r="D91" s="470" t="s">
        <v>405</v>
      </c>
      <c r="E91" s="394" t="s">
        <v>130</v>
      </c>
      <c r="F91" s="386">
        <v>1</v>
      </c>
      <c r="G91" s="386">
        <f>+'Anexo 1 Matriz SINA Inf Gestión'!E68</f>
        <v>1</v>
      </c>
      <c r="H91" s="435">
        <f>+'Anexo 1 Matriz SINA Inf Gestión'!M68</f>
        <v>400000000</v>
      </c>
      <c r="I91" s="435">
        <f>+'Anexo 1 Matriz SINA Inf Gestión'!N68</f>
        <v>395543698.80000001</v>
      </c>
      <c r="J91" s="75">
        <f t="shared" si="6"/>
        <v>4456301.1999999881</v>
      </c>
      <c r="K91" s="451"/>
      <c r="L91" s="451"/>
      <c r="M91" s="140"/>
      <c r="N91" s="137"/>
      <c r="O91" s="141"/>
      <c r="P91" s="130"/>
    </row>
    <row r="92" spans="1:18" s="1" customFormat="1" ht="15">
      <c r="A92" s="895"/>
      <c r="B92" s="874"/>
      <c r="C92" s="537"/>
      <c r="D92" s="875" t="s">
        <v>319</v>
      </c>
      <c r="E92" s="876"/>
      <c r="F92" s="876"/>
      <c r="G92" s="876"/>
      <c r="H92" s="458">
        <f>SUM(H89:H91)</f>
        <v>550000000</v>
      </c>
      <c r="I92" s="583"/>
      <c r="J92" s="867">
        <f>+H92-I93</f>
        <v>4456392</v>
      </c>
      <c r="K92" s="451"/>
      <c r="L92" s="451"/>
      <c r="M92" s="140"/>
      <c r="N92" s="137"/>
      <c r="O92" s="141"/>
      <c r="P92" s="130"/>
    </row>
    <row r="93" spans="1:18" s="1" customFormat="1" ht="15">
      <c r="A93" s="895"/>
      <c r="B93" s="874"/>
      <c r="C93" s="537"/>
      <c r="D93" s="876" t="s">
        <v>320</v>
      </c>
      <c r="E93" s="876"/>
      <c r="F93" s="876"/>
      <c r="G93" s="876"/>
      <c r="H93" s="876"/>
      <c r="I93" s="458">
        <f>SUM(I89:I92)</f>
        <v>545543608</v>
      </c>
      <c r="J93" s="867"/>
      <c r="K93" s="451"/>
      <c r="L93" s="451"/>
      <c r="M93" s="140"/>
      <c r="N93" s="137"/>
      <c r="O93" s="141"/>
      <c r="P93" s="130"/>
    </row>
    <row r="94" spans="1:18" s="1" customFormat="1" ht="15">
      <c r="A94" s="895"/>
      <c r="B94" s="874"/>
      <c r="C94" s="537"/>
      <c r="D94" s="877" t="s">
        <v>321</v>
      </c>
      <c r="E94" s="877"/>
      <c r="F94" s="877"/>
      <c r="G94" s="877"/>
      <c r="H94" s="877"/>
      <c r="I94" s="552">
        <f>+'Anexo 1 Matriz SINA Inf Gestión'!O64/100</f>
        <v>0.99189746909090915</v>
      </c>
      <c r="J94" s="867"/>
      <c r="K94" s="451"/>
      <c r="L94" s="451"/>
      <c r="M94" s="140"/>
      <c r="N94" s="137"/>
      <c r="O94" s="141"/>
      <c r="P94" s="130"/>
    </row>
    <row r="95" spans="1:18" s="1" customFormat="1" ht="15">
      <c r="A95" s="895"/>
      <c r="B95" s="874"/>
      <c r="C95" s="537"/>
      <c r="D95" s="859" t="s">
        <v>526</v>
      </c>
      <c r="E95" s="860"/>
      <c r="F95" s="860"/>
      <c r="G95" s="860"/>
      <c r="H95" s="861"/>
      <c r="I95" s="513">
        <f>+'Anexo 1 Matriz SINA Inf Gestión'!F64/100</f>
        <v>1</v>
      </c>
      <c r="J95" s="867"/>
      <c r="K95" s="451"/>
      <c r="L95" s="451"/>
      <c r="M95" s="140"/>
      <c r="N95" s="137"/>
      <c r="O95" s="141"/>
      <c r="P95" s="130"/>
    </row>
    <row r="96" spans="1:18" s="1" customFormat="1" ht="19.5" customHeight="1">
      <c r="A96" s="878" t="s">
        <v>305</v>
      </c>
      <c r="B96" s="847" t="s">
        <v>306</v>
      </c>
      <c r="C96" s="532"/>
      <c r="D96" s="868" t="s">
        <v>541</v>
      </c>
      <c r="E96" s="848" t="s">
        <v>95</v>
      </c>
      <c r="F96" s="848" t="s">
        <v>308</v>
      </c>
      <c r="G96" s="848"/>
      <c r="H96" s="862" t="s">
        <v>309</v>
      </c>
      <c r="I96" s="862"/>
      <c r="J96" s="863"/>
      <c r="K96" s="451"/>
      <c r="L96" s="451"/>
      <c r="M96" s="134"/>
      <c r="N96" s="134"/>
      <c r="O96" s="135"/>
      <c r="P96" s="130"/>
    </row>
    <row r="97" spans="1:16" s="1" customFormat="1" ht="28.5" customHeight="1">
      <c r="A97" s="878"/>
      <c r="B97" s="847"/>
      <c r="C97" s="542"/>
      <c r="D97" s="869"/>
      <c r="E97" s="848"/>
      <c r="F97" s="455" t="s">
        <v>310</v>
      </c>
      <c r="G97" s="584" t="s">
        <v>311</v>
      </c>
      <c r="H97" s="471" t="s">
        <v>312</v>
      </c>
      <c r="I97" s="455" t="s">
        <v>313</v>
      </c>
      <c r="J97" s="472" t="s">
        <v>314</v>
      </c>
      <c r="K97" s="451"/>
      <c r="L97" s="451"/>
      <c r="M97" s="134"/>
      <c r="N97" s="134"/>
      <c r="O97" s="135"/>
      <c r="P97" s="130"/>
    </row>
    <row r="98" spans="1:16" s="1" customFormat="1" ht="68.25" customHeight="1">
      <c r="A98" s="899" t="s">
        <v>471</v>
      </c>
      <c r="B98" s="849" t="s">
        <v>472</v>
      </c>
      <c r="C98" s="527"/>
      <c r="D98" s="430" t="s">
        <v>408</v>
      </c>
      <c r="E98" s="394" t="s">
        <v>179</v>
      </c>
      <c r="F98" s="386">
        <v>100</v>
      </c>
      <c r="G98" s="386">
        <f>+'Anexo 1 Matriz SINA Inf Gestión'!E71</f>
        <v>100</v>
      </c>
      <c r="H98" s="435">
        <f>+'Anexo 1 Matriz SINA Inf Gestión'!M71</f>
        <v>0</v>
      </c>
      <c r="I98" s="435">
        <f>+'Anexo 1 Matriz SINA Inf Gestión'!N71</f>
        <v>0</v>
      </c>
      <c r="J98" s="75">
        <f t="shared" ref="J98:J113" si="7">+H98-I98</f>
        <v>0</v>
      </c>
      <c r="K98" s="451"/>
      <c r="L98" s="451"/>
      <c r="M98" s="142">
        <v>951912</v>
      </c>
      <c r="N98" s="134">
        <v>69813</v>
      </c>
      <c r="O98" s="135">
        <v>412670</v>
      </c>
      <c r="P98" s="376"/>
    </row>
    <row r="99" spans="1:16" s="1" customFormat="1" ht="60.75" customHeight="1">
      <c r="A99" s="882"/>
      <c r="B99" s="850"/>
      <c r="C99" s="527"/>
      <c r="D99" s="429" t="s">
        <v>409</v>
      </c>
      <c r="E99" s="394" t="s">
        <v>179</v>
      </c>
      <c r="F99" s="386">
        <v>100</v>
      </c>
      <c r="G99" s="386">
        <f>+'Anexo 1 Matriz SINA Inf Gestión'!E72</f>
        <v>100</v>
      </c>
      <c r="H99" s="435">
        <f>+'Anexo 1 Matriz SINA Inf Gestión'!M72</f>
        <v>0</v>
      </c>
      <c r="I99" s="435">
        <f>+'Anexo 1 Matriz SINA Inf Gestión'!N72</f>
        <v>0</v>
      </c>
      <c r="J99" s="75">
        <f t="shared" si="7"/>
        <v>0</v>
      </c>
      <c r="K99" s="451"/>
      <c r="L99" s="451"/>
      <c r="M99" s="142"/>
      <c r="N99" s="134"/>
      <c r="O99" s="135"/>
      <c r="P99" s="130"/>
    </row>
    <row r="100" spans="1:16" s="1" customFormat="1" ht="48" customHeight="1">
      <c r="A100" s="882"/>
      <c r="B100" s="850"/>
      <c r="C100" s="527"/>
      <c r="D100" s="429" t="s">
        <v>410</v>
      </c>
      <c r="E100" s="394" t="s">
        <v>179</v>
      </c>
      <c r="F100" s="386">
        <v>100</v>
      </c>
      <c r="G100" s="386">
        <f>+'Anexo 1 Matriz SINA Inf Gestión'!E73</f>
        <v>100</v>
      </c>
      <c r="H100" s="435">
        <f>+'Anexo 1 Matriz SINA Inf Gestión'!M73</f>
        <v>0</v>
      </c>
      <c r="I100" s="435">
        <f>+'Anexo 1 Matriz SINA Inf Gestión'!N73</f>
        <v>0</v>
      </c>
      <c r="J100" s="75">
        <f t="shared" si="7"/>
        <v>0</v>
      </c>
      <c r="K100" s="451"/>
      <c r="L100" s="451"/>
      <c r="M100" s="142"/>
      <c r="N100" s="134"/>
      <c r="O100" s="135"/>
      <c r="P100" s="130"/>
    </row>
    <row r="101" spans="1:16" s="1" customFormat="1" ht="48.75" customHeight="1">
      <c r="A101" s="882"/>
      <c r="B101" s="850"/>
      <c r="C101" s="527"/>
      <c r="D101" s="430" t="s">
        <v>411</v>
      </c>
      <c r="E101" s="394" t="s">
        <v>1</v>
      </c>
      <c r="F101" s="386">
        <v>100</v>
      </c>
      <c r="G101" s="386">
        <f>+'Anexo 1 Matriz SINA Inf Gestión'!E74</f>
        <v>100</v>
      </c>
      <c r="H101" s="435">
        <f>+'Anexo 1 Matriz SINA Inf Gestión'!M74</f>
        <v>485190748.05570596</v>
      </c>
      <c r="I101" s="435">
        <f>+'Anexo 1 Matriz SINA Inf Gestión'!N74</f>
        <v>482582170.06</v>
      </c>
      <c r="J101" s="75">
        <f>+H101-I101</f>
        <v>2608577.9957059622</v>
      </c>
      <c r="K101" s="451"/>
      <c r="L101" s="451"/>
      <c r="M101" s="142"/>
      <c r="N101" s="134"/>
      <c r="O101" s="135"/>
      <c r="P101" s="130"/>
    </row>
    <row r="102" spans="1:16" s="1" customFormat="1" ht="47.25" customHeight="1">
      <c r="A102" s="882"/>
      <c r="B102" s="850"/>
      <c r="C102" s="527"/>
      <c r="D102" s="430" t="s">
        <v>412</v>
      </c>
      <c r="E102" s="394" t="s">
        <v>490</v>
      </c>
      <c r="F102" s="386">
        <v>60</v>
      </c>
      <c r="G102" s="386">
        <f>+'Anexo 1 Matriz SINA Inf Gestión'!E75</f>
        <v>60</v>
      </c>
      <c r="H102" s="435">
        <f>+'Anexo 1 Matriz SINA Inf Gestión'!M75</f>
        <v>0</v>
      </c>
      <c r="I102" s="435">
        <f>+'Anexo 1 Matriz SINA Inf Gestión'!N75</f>
        <v>0</v>
      </c>
      <c r="J102" s="75">
        <f t="shared" si="7"/>
        <v>0</v>
      </c>
      <c r="K102" s="451"/>
      <c r="L102" s="451"/>
      <c r="M102" s="142"/>
      <c r="N102" s="134"/>
      <c r="O102" s="135"/>
      <c r="P102" s="130"/>
    </row>
    <row r="103" spans="1:16" s="1" customFormat="1" ht="56.25" customHeight="1">
      <c r="A103" s="882"/>
      <c r="B103" s="850"/>
      <c r="C103" s="527"/>
      <c r="D103" s="430" t="s">
        <v>413</v>
      </c>
      <c r="E103" s="394" t="s">
        <v>179</v>
      </c>
      <c r="F103" s="386">
        <v>35</v>
      </c>
      <c r="G103" s="386">
        <f>+'Anexo 1 Matriz SINA Inf Gestión'!E76</f>
        <v>35</v>
      </c>
      <c r="H103" s="435">
        <f>+'Anexo 1 Matriz SINA Inf Gestión'!M76</f>
        <v>147879388.45120201</v>
      </c>
      <c r="I103" s="435">
        <f>+'Anexo 1 Matriz SINA Inf Gestión'!N76</f>
        <v>141899063.30399999</v>
      </c>
      <c r="J103" s="75">
        <f>+H103-I103</f>
        <v>5980325.1472020149</v>
      </c>
      <c r="K103" s="451"/>
      <c r="L103" s="451"/>
      <c r="M103" s="142"/>
      <c r="N103" s="134"/>
      <c r="O103" s="135"/>
      <c r="P103" s="376"/>
    </row>
    <row r="104" spans="1:16" s="1" customFormat="1" ht="78" customHeight="1">
      <c r="A104" s="882"/>
      <c r="B104" s="850"/>
      <c r="C104" s="527"/>
      <c r="D104" s="426" t="s">
        <v>414</v>
      </c>
      <c r="E104" s="394" t="s">
        <v>179</v>
      </c>
      <c r="F104" s="386">
        <v>100</v>
      </c>
      <c r="G104" s="386">
        <f>+'Anexo 1 Matriz SINA Inf Gestión'!E77</f>
        <v>100</v>
      </c>
      <c r="H104" s="435">
        <f>+'Anexo 1 Matriz SINA Inf Gestión'!M77</f>
        <v>49447000.119999997</v>
      </c>
      <c r="I104" s="435">
        <f>+'Anexo 1 Matriz SINA Inf Gestión'!N77</f>
        <v>49436960</v>
      </c>
      <c r="J104" s="75">
        <f t="shared" si="7"/>
        <v>10040.119999997318</v>
      </c>
      <c r="K104" s="451"/>
      <c r="L104" s="451"/>
      <c r="M104" s="142"/>
      <c r="N104" s="134"/>
      <c r="O104" s="135"/>
      <c r="P104" s="130"/>
    </row>
    <row r="105" spans="1:16" s="1" customFormat="1" ht="53.25" customHeight="1">
      <c r="A105" s="882"/>
      <c r="B105" s="850"/>
      <c r="C105" s="527"/>
      <c r="D105" s="473" t="s">
        <v>415</v>
      </c>
      <c r="E105" s="394" t="s">
        <v>181</v>
      </c>
      <c r="F105" s="503">
        <v>1</v>
      </c>
      <c r="G105" s="386">
        <f>+'Anexo 1 Matriz SINA Inf Gestión'!E78</f>
        <v>1</v>
      </c>
      <c r="H105" s="435">
        <f>+'Anexo 1 Matriz SINA Inf Gestión'!M78</f>
        <v>610307386</v>
      </c>
      <c r="I105" s="435">
        <f>+'Anexo 1 Matriz SINA Inf Gestión'!N78</f>
        <v>610137270.24800026</v>
      </c>
      <c r="J105" s="75">
        <f t="shared" si="7"/>
        <v>170115.75199973583</v>
      </c>
      <c r="K105" s="451"/>
      <c r="L105" s="451"/>
      <c r="M105" s="142">
        <v>561108</v>
      </c>
      <c r="N105" s="134">
        <v>210274</v>
      </c>
      <c r="O105" s="135"/>
      <c r="P105" s="130"/>
    </row>
    <row r="106" spans="1:16" s="1" customFormat="1" ht="55.5" customHeight="1">
      <c r="A106" s="882"/>
      <c r="B106" s="850"/>
      <c r="C106" s="527"/>
      <c r="D106" s="473" t="s">
        <v>416</v>
      </c>
      <c r="E106" s="394" t="s">
        <v>417</v>
      </c>
      <c r="F106" s="503">
        <v>1</v>
      </c>
      <c r="G106" s="386">
        <f>+'Anexo 1 Matriz SINA Inf Gestión'!E79</f>
        <v>1</v>
      </c>
      <c r="H106" s="435">
        <f>+'Anexo 1 Matriz SINA Inf Gestión'!M79</f>
        <v>10432858.34</v>
      </c>
      <c r="I106" s="435">
        <f>+'Anexo 1 Matriz SINA Inf Gestión'!N79</f>
        <v>10432858</v>
      </c>
      <c r="J106" s="75">
        <f t="shared" si="7"/>
        <v>0.33999999985098839</v>
      </c>
      <c r="K106" s="451"/>
      <c r="L106" s="451"/>
      <c r="M106" s="142">
        <v>425686</v>
      </c>
      <c r="N106" s="134">
        <v>63158</v>
      </c>
      <c r="O106" s="135"/>
      <c r="P106" s="130"/>
    </row>
    <row r="107" spans="1:16" s="1" customFormat="1" ht="38.25" customHeight="1">
      <c r="A107" s="882"/>
      <c r="B107" s="850"/>
      <c r="C107" s="527"/>
      <c r="D107" s="463" t="s">
        <v>418</v>
      </c>
      <c r="E107" s="394" t="s">
        <v>181</v>
      </c>
      <c r="F107" s="503">
        <v>1</v>
      </c>
      <c r="G107" s="386">
        <f>+'Anexo 1 Matriz SINA Inf Gestión'!E80</f>
        <v>1</v>
      </c>
      <c r="H107" s="435">
        <f>+'Anexo 1 Matriz SINA Inf Gestión'!M80</f>
        <v>16522687.439999999</v>
      </c>
      <c r="I107" s="435">
        <f>+'Anexo 1 Matriz SINA Inf Gestión'!N80</f>
        <v>16522687.300000001</v>
      </c>
      <c r="J107" s="75">
        <f t="shared" si="7"/>
        <v>0.1399999987334013</v>
      </c>
      <c r="K107" s="451"/>
      <c r="L107" s="451"/>
      <c r="M107" s="142"/>
      <c r="N107" s="134"/>
      <c r="O107" s="135"/>
      <c r="P107" s="130"/>
    </row>
    <row r="108" spans="1:16" s="1" customFormat="1" ht="40.5" customHeight="1">
      <c r="A108" s="882"/>
      <c r="B108" s="850"/>
      <c r="C108" s="527"/>
      <c r="D108" s="473" t="s">
        <v>419</v>
      </c>
      <c r="E108" s="394" t="s">
        <v>191</v>
      </c>
      <c r="F108" s="503">
        <v>1</v>
      </c>
      <c r="G108" s="386">
        <f>+'Anexo 1 Matriz SINA Inf Gestión'!E81</f>
        <v>1</v>
      </c>
      <c r="H108" s="435">
        <f>+'Anexo 1 Matriz SINA Inf Gestión'!M81</f>
        <v>176979642</v>
      </c>
      <c r="I108" s="435">
        <f>+'Anexo 1 Matriz SINA Inf Gestión'!N81</f>
        <v>172859643</v>
      </c>
      <c r="J108" s="75">
        <f t="shared" si="7"/>
        <v>4119999</v>
      </c>
      <c r="K108" s="451"/>
      <c r="L108" s="451"/>
      <c r="M108" s="142"/>
      <c r="N108" s="134"/>
      <c r="O108" s="135"/>
      <c r="P108" s="130"/>
    </row>
    <row r="109" spans="1:16" s="1" customFormat="1" ht="40.5" customHeight="1">
      <c r="A109" s="882"/>
      <c r="B109" s="850"/>
      <c r="C109" s="527"/>
      <c r="D109" s="463" t="s">
        <v>420</v>
      </c>
      <c r="E109" s="394" t="s">
        <v>1</v>
      </c>
      <c r="F109" s="386">
        <v>100</v>
      </c>
      <c r="G109" s="386">
        <f>+'Anexo 1 Matriz SINA Inf Gestión'!E82</f>
        <v>100</v>
      </c>
      <c r="H109" s="435">
        <f>+'Anexo 1 Matriz SINA Inf Gestión'!M82</f>
        <v>7429600</v>
      </c>
      <c r="I109" s="435">
        <f>+'Anexo 1 Matriz SINA Inf Gestión'!N82</f>
        <v>7429600</v>
      </c>
      <c r="J109" s="75">
        <f t="shared" si="7"/>
        <v>0</v>
      </c>
      <c r="K109" s="451"/>
      <c r="L109" s="451"/>
      <c r="M109" s="142"/>
      <c r="N109" s="134"/>
      <c r="O109" s="135"/>
      <c r="P109" s="130"/>
    </row>
    <row r="110" spans="1:16" s="1" customFormat="1" ht="30">
      <c r="A110" s="882"/>
      <c r="B110" s="850"/>
      <c r="C110" s="527"/>
      <c r="D110" s="463" t="s">
        <v>421</v>
      </c>
      <c r="E110" s="394" t="s">
        <v>180</v>
      </c>
      <c r="F110" s="386">
        <v>37</v>
      </c>
      <c r="G110" s="386">
        <f>+'Anexo 1 Matriz SINA Inf Gestión'!E83</f>
        <v>37</v>
      </c>
      <c r="H110" s="435">
        <f>+'Anexo 1 Matriz SINA Inf Gestión'!M83</f>
        <v>7429600</v>
      </c>
      <c r="I110" s="435">
        <f>+'Anexo 1 Matriz SINA Inf Gestión'!N83</f>
        <v>7429600</v>
      </c>
      <c r="J110" s="75">
        <f t="shared" si="7"/>
        <v>0</v>
      </c>
      <c r="K110" s="451"/>
      <c r="L110" s="451"/>
      <c r="M110" s="142"/>
      <c r="N110" s="134"/>
      <c r="O110" s="135"/>
      <c r="P110" s="130"/>
    </row>
    <row r="111" spans="1:16" s="1" customFormat="1" ht="30">
      <c r="A111" s="882"/>
      <c r="B111" s="850"/>
      <c r="C111" s="527"/>
      <c r="D111" s="463" t="s">
        <v>0</v>
      </c>
      <c r="E111" s="394" t="s">
        <v>422</v>
      </c>
      <c r="F111" s="386">
        <v>1</v>
      </c>
      <c r="G111" s="658">
        <f>+'Anexo 1 Matriz SINA Inf Gestión'!E84</f>
        <v>1</v>
      </c>
      <c r="H111" s="435">
        <f>+'Anexo 1 Matriz SINA Inf Gestión'!M84</f>
        <v>154895170.15000001</v>
      </c>
      <c r="I111" s="435">
        <f>+'Anexo 1 Matriz SINA Inf Gestión'!N84</f>
        <v>154895112</v>
      </c>
      <c r="J111" s="75">
        <f t="shared" si="7"/>
        <v>58.150000005960464</v>
      </c>
      <c r="K111" s="451"/>
      <c r="L111" s="451"/>
      <c r="M111" s="142"/>
      <c r="N111" s="134"/>
      <c r="O111" s="135"/>
      <c r="P111" s="130"/>
    </row>
    <row r="112" spans="1:16" s="1" customFormat="1" ht="19.5" customHeight="1">
      <c r="A112" s="882"/>
      <c r="B112" s="850"/>
      <c r="C112" s="527"/>
      <c r="D112" s="474" t="s">
        <v>423</v>
      </c>
      <c r="E112" s="394" t="s">
        <v>1</v>
      </c>
      <c r="F112" s="386">
        <v>90</v>
      </c>
      <c r="G112" s="386">
        <f>+'Anexo 1 Matriz SINA Inf Gestión'!E85</f>
        <v>90</v>
      </c>
      <c r="H112" s="435">
        <f>+'Anexo 1 Matriz SINA Inf Gestión'!M85</f>
        <v>37148000</v>
      </c>
      <c r="I112" s="435">
        <f>+'Anexo 1 Matriz SINA Inf Gestión'!N85</f>
        <v>37148000</v>
      </c>
      <c r="J112" s="75">
        <f t="shared" si="7"/>
        <v>0</v>
      </c>
      <c r="K112" s="451"/>
      <c r="L112" s="451"/>
      <c r="M112" s="142"/>
      <c r="N112" s="134"/>
      <c r="O112" s="135"/>
      <c r="P112" s="376"/>
    </row>
    <row r="113" spans="1:16" s="1" customFormat="1" ht="30">
      <c r="A113" s="882"/>
      <c r="B113" s="850"/>
      <c r="C113" s="527"/>
      <c r="D113" s="463" t="s">
        <v>514</v>
      </c>
      <c r="E113" s="394" t="s">
        <v>515</v>
      </c>
      <c r="F113" s="386" t="s">
        <v>518</v>
      </c>
      <c r="G113" s="503" t="s">
        <v>518</v>
      </c>
      <c r="H113" s="435">
        <f>+'Anexo 1 Matriz SINA Inf Gestión'!M86</f>
        <v>65077269</v>
      </c>
      <c r="I113" s="435">
        <f>+'Anexo 1 Matriz SINA Inf Gestión'!N86</f>
        <v>65077268.947999999</v>
      </c>
      <c r="J113" s="75">
        <f t="shared" si="7"/>
        <v>5.2000001072883606E-2</v>
      </c>
      <c r="K113" s="451"/>
      <c r="L113" s="451"/>
      <c r="M113" s="142"/>
      <c r="N113" s="134"/>
      <c r="O113" s="135"/>
      <c r="P113" s="130"/>
    </row>
    <row r="114" spans="1:16" s="1" customFormat="1" ht="15">
      <c r="A114" s="882"/>
      <c r="B114" s="850"/>
      <c r="C114" s="529"/>
      <c r="D114" s="841" t="s">
        <v>319</v>
      </c>
      <c r="E114" s="842"/>
      <c r="F114" s="842"/>
      <c r="G114" s="843"/>
      <c r="H114" s="458">
        <f>SUM(H98:H113)</f>
        <v>1768739349.5569079</v>
      </c>
      <c r="J114" s="867">
        <f>+H114-I115</f>
        <v>12889116.696907759</v>
      </c>
      <c r="K114" s="136">
        <v>29</v>
      </c>
      <c r="L114" s="451"/>
      <c r="M114" s="142"/>
      <c r="N114" s="134"/>
      <c r="O114" s="135"/>
      <c r="P114" s="130"/>
    </row>
    <row r="115" spans="1:16" s="1" customFormat="1" ht="18" customHeight="1">
      <c r="A115" s="882"/>
      <c r="B115" s="850"/>
      <c r="C115" s="529"/>
      <c r="D115" s="841" t="s">
        <v>320</v>
      </c>
      <c r="E115" s="842"/>
      <c r="F115" s="842"/>
      <c r="G115" s="842"/>
      <c r="H115" s="843"/>
      <c r="I115" s="458">
        <f>SUM(I98:I114)</f>
        <v>1755850232.8600001</v>
      </c>
      <c r="J115" s="867"/>
      <c r="K115" s="451"/>
      <c r="L115" s="451"/>
      <c r="M115" s="137">
        <v>1938706</v>
      </c>
      <c r="N115" s="137">
        <v>343245</v>
      </c>
      <c r="O115" s="141">
        <v>412670</v>
      </c>
      <c r="P115" s="130"/>
    </row>
    <row r="116" spans="1:16" s="1" customFormat="1" ht="18" customHeight="1">
      <c r="A116" s="882"/>
      <c r="B116" s="850"/>
      <c r="C116" s="335"/>
      <c r="D116" s="841" t="s">
        <v>321</v>
      </c>
      <c r="E116" s="842"/>
      <c r="F116" s="842"/>
      <c r="G116" s="842"/>
      <c r="H116" s="843"/>
      <c r="I116" s="434">
        <f>+'Anexo 1 Matriz SINA Inf Gestión'!O70/100</f>
        <v>0.9927128230057547</v>
      </c>
      <c r="J116" s="867"/>
      <c r="K116" s="451"/>
      <c r="L116" s="451"/>
      <c r="M116" s="137"/>
      <c r="N116" s="137"/>
      <c r="O116" s="141"/>
      <c r="P116" s="130"/>
    </row>
    <row r="117" spans="1:16" s="1" customFormat="1" ht="18" customHeight="1">
      <c r="A117" s="882"/>
      <c r="B117" s="850"/>
      <c r="C117" s="335"/>
      <c r="D117" s="841" t="s">
        <v>526</v>
      </c>
      <c r="E117" s="842"/>
      <c r="F117" s="842"/>
      <c r="G117" s="842"/>
      <c r="H117" s="843"/>
      <c r="I117" s="513">
        <f>+'Anexo 1 Matriz SINA Inf Gestión'!F70/100</f>
        <v>1</v>
      </c>
      <c r="J117" s="867"/>
      <c r="K117" s="451"/>
      <c r="L117" s="451"/>
      <c r="M117" s="137"/>
      <c r="N117" s="137"/>
      <c r="O117" s="141"/>
      <c r="P117" s="130"/>
    </row>
    <row r="118" spans="1:16" s="1" customFormat="1" ht="19.5" customHeight="1">
      <c r="A118" s="900" t="s">
        <v>305</v>
      </c>
      <c r="B118" s="870" t="s">
        <v>306</v>
      </c>
      <c r="C118" s="542"/>
      <c r="D118" s="868" t="s">
        <v>541</v>
      </c>
      <c r="E118" s="848" t="s">
        <v>95</v>
      </c>
      <c r="F118" s="848" t="s">
        <v>308</v>
      </c>
      <c r="G118" s="848"/>
      <c r="H118" s="862" t="s">
        <v>309</v>
      </c>
      <c r="I118" s="862"/>
      <c r="J118" s="863"/>
      <c r="K118" s="451"/>
      <c r="L118" s="451"/>
      <c r="M118" s="134"/>
      <c r="N118" s="134"/>
      <c r="O118" s="135"/>
      <c r="P118" s="130"/>
    </row>
    <row r="119" spans="1:16" s="1" customFormat="1" ht="50.25" customHeight="1">
      <c r="A119" s="901"/>
      <c r="B119" s="871"/>
      <c r="C119" s="543"/>
      <c r="D119" s="869"/>
      <c r="E119" s="848"/>
      <c r="F119" s="455" t="s">
        <v>310</v>
      </c>
      <c r="G119" s="584" t="s">
        <v>311</v>
      </c>
      <c r="H119" s="456" t="s">
        <v>312</v>
      </c>
      <c r="I119" s="534" t="s">
        <v>313</v>
      </c>
      <c r="J119" s="535" t="s">
        <v>314</v>
      </c>
      <c r="K119" s="451"/>
      <c r="L119" s="451"/>
      <c r="M119" s="134"/>
      <c r="N119" s="134"/>
      <c r="O119" s="135"/>
      <c r="P119" s="130"/>
    </row>
    <row r="120" spans="1:16" s="1" customFormat="1" ht="85.5" customHeight="1">
      <c r="A120" s="899" t="s">
        <v>477</v>
      </c>
      <c r="B120" s="849" t="s">
        <v>478</v>
      </c>
      <c r="C120" s="529"/>
      <c r="D120" s="421" t="s">
        <v>425</v>
      </c>
      <c r="E120" s="394" t="s">
        <v>179</v>
      </c>
      <c r="F120" s="386">
        <v>100</v>
      </c>
      <c r="G120" s="386">
        <f>+'Anexo 1 Matriz SINA Inf Gestión'!E89</f>
        <v>100</v>
      </c>
      <c r="H120" s="435">
        <f>+'Anexo 1 Matriz SINA Inf Gestión'!M89</f>
        <v>113500000</v>
      </c>
      <c r="I120" s="435">
        <f>+'Anexo 1 Matriz SINA Inf Gestión'!N89</f>
        <v>101472092</v>
      </c>
      <c r="J120" s="75">
        <f>+H120-I120</f>
        <v>12027908</v>
      </c>
      <c r="K120" s="451"/>
      <c r="L120" s="451"/>
      <c r="M120" s="134"/>
      <c r="N120" s="134"/>
      <c r="O120" s="135"/>
      <c r="P120" s="376"/>
    </row>
    <row r="121" spans="1:16" s="1" customFormat="1" ht="81" customHeight="1">
      <c r="A121" s="882"/>
      <c r="B121" s="850"/>
      <c r="C121" s="529"/>
      <c r="D121" s="391" t="s">
        <v>426</v>
      </c>
      <c r="E121" s="394" t="s">
        <v>179</v>
      </c>
      <c r="F121" s="386">
        <v>100</v>
      </c>
      <c r="G121" s="386">
        <f>+'Anexo 1 Matriz SINA Inf Gestión'!E90</f>
        <v>100</v>
      </c>
      <c r="H121" s="435">
        <f>+'Anexo 1 Matriz SINA Inf Gestión'!M90</f>
        <v>37750000</v>
      </c>
      <c r="I121" s="435">
        <f>+'Anexo 1 Matriz SINA Inf Gestión'!N90</f>
        <v>23092000</v>
      </c>
      <c r="J121" s="75">
        <f t="shared" ref="J121:J123" si="8">+H121-I121</f>
        <v>14658000</v>
      </c>
      <c r="K121" s="451"/>
      <c r="L121" s="451"/>
      <c r="M121" s="134"/>
      <c r="N121" s="134"/>
      <c r="O121" s="135"/>
      <c r="P121" s="130"/>
    </row>
    <row r="122" spans="1:16" s="1" customFormat="1" ht="106.5" customHeight="1">
      <c r="A122" s="882"/>
      <c r="B122" s="850"/>
      <c r="C122" s="630"/>
      <c r="D122" s="431" t="s">
        <v>428</v>
      </c>
      <c r="E122" s="394" t="s">
        <v>429</v>
      </c>
      <c r="F122" s="386">
        <v>5</v>
      </c>
      <c r="G122" s="386">
        <f>+'Anexo 1 Matriz SINA Inf Gestión'!E92</f>
        <v>5</v>
      </c>
      <c r="H122" s="435">
        <f>+'Anexo 1 Matriz SINA Inf Gestión'!M92</f>
        <v>375000000</v>
      </c>
      <c r="I122" s="435">
        <f>+'Anexo 1 Matriz SINA Inf Gestión'!N92</f>
        <v>346756496</v>
      </c>
      <c r="J122" s="75">
        <f t="shared" si="8"/>
        <v>28243504</v>
      </c>
      <c r="K122" s="451"/>
      <c r="L122" s="451"/>
      <c r="M122" s="650"/>
      <c r="N122" s="650"/>
      <c r="O122" s="650"/>
      <c r="P122" s="651"/>
    </row>
    <row r="123" spans="1:16" s="1" customFormat="1" ht="39.75" customHeight="1">
      <c r="A123" s="882"/>
      <c r="B123" s="850"/>
      <c r="C123" s="630"/>
      <c r="D123" s="417" t="s">
        <v>514</v>
      </c>
      <c r="E123" s="394" t="s">
        <v>515</v>
      </c>
      <c r="F123" s="386" t="s">
        <v>518</v>
      </c>
      <c r="G123" s="503" t="s">
        <v>518</v>
      </c>
      <c r="H123" s="435">
        <f>+'Anexo 1 Matriz SINA Inf Gestión'!M94</f>
        <v>30000000.100000001</v>
      </c>
      <c r="I123" s="435">
        <f>+'Anexo 1 Matriz SINA Inf Gestión'!N94</f>
        <v>27013903</v>
      </c>
      <c r="J123" s="75">
        <f t="shared" si="8"/>
        <v>2986097.1000000015</v>
      </c>
      <c r="K123" s="451"/>
      <c r="L123" s="451"/>
      <c r="M123" s="650"/>
      <c r="N123" s="650"/>
      <c r="O123" s="650"/>
      <c r="P123" s="650"/>
    </row>
    <row r="124" spans="1:16" s="1" customFormat="1" ht="18" customHeight="1">
      <c r="A124" s="882"/>
      <c r="B124" s="850"/>
      <c r="C124" s="537"/>
      <c r="D124" s="841" t="s">
        <v>319</v>
      </c>
      <c r="E124" s="842"/>
      <c r="F124" s="842"/>
      <c r="G124" s="843"/>
      <c r="H124" s="458">
        <f>SUM(H120:H123)</f>
        <v>556250000.10000002</v>
      </c>
      <c r="J124" s="867">
        <f>+H124-I125</f>
        <v>57915509.100000024</v>
      </c>
      <c r="K124" s="451"/>
      <c r="L124" s="451"/>
      <c r="M124" s="134"/>
      <c r="N124" s="134"/>
      <c r="O124" s="135"/>
      <c r="P124" s="130"/>
    </row>
    <row r="125" spans="1:16" s="1" customFormat="1" ht="18" customHeight="1">
      <c r="A125" s="882"/>
      <c r="B125" s="850"/>
      <c r="C125" s="537"/>
      <c r="D125" s="841" t="s">
        <v>320</v>
      </c>
      <c r="E125" s="842"/>
      <c r="F125" s="842"/>
      <c r="G125" s="842"/>
      <c r="H125" s="843"/>
      <c r="I125" s="475">
        <f>SUM(I120:I124)</f>
        <v>498334491</v>
      </c>
      <c r="J125" s="867"/>
      <c r="K125" s="451"/>
      <c r="L125" s="451"/>
      <c r="M125" s="134"/>
      <c r="N125" s="134"/>
      <c r="O125" s="135"/>
      <c r="P125" s="130"/>
    </row>
    <row r="126" spans="1:16" s="1" customFormat="1" ht="18" customHeight="1">
      <c r="A126" s="882"/>
      <c r="B126" s="850"/>
      <c r="C126" s="537"/>
      <c r="D126" s="841" t="s">
        <v>321</v>
      </c>
      <c r="E126" s="842"/>
      <c r="F126" s="842"/>
      <c r="G126" s="842"/>
      <c r="H126" s="843"/>
      <c r="I126" s="552">
        <f>+'Anexo 1 Matriz SINA Inf Gestión'!O88/100</f>
        <v>0.89588223085017848</v>
      </c>
      <c r="J126" s="867"/>
      <c r="K126" s="451"/>
      <c r="L126" s="451"/>
      <c r="M126" s="134"/>
      <c r="N126" s="134"/>
      <c r="O126" s="135"/>
      <c r="P126" s="130"/>
    </row>
    <row r="127" spans="1:16" s="1" customFormat="1" ht="18" customHeight="1">
      <c r="A127" s="882"/>
      <c r="B127" s="850"/>
      <c r="C127" s="537"/>
      <c r="D127" s="841" t="s">
        <v>526</v>
      </c>
      <c r="E127" s="842"/>
      <c r="F127" s="842"/>
      <c r="G127" s="842"/>
      <c r="H127" s="843"/>
      <c r="I127" s="513">
        <f>+'Anexo 1 Matriz SINA Inf Gestión'!F88/100</f>
        <v>1</v>
      </c>
      <c r="J127" s="867"/>
      <c r="K127" s="451"/>
      <c r="L127" s="451"/>
      <c r="M127" s="134"/>
      <c r="N127" s="134"/>
      <c r="O127" s="135"/>
      <c r="P127" s="130"/>
    </row>
    <row r="128" spans="1:16" s="1" customFormat="1" ht="16.5" customHeight="1">
      <c r="A128" s="882"/>
      <c r="B128" s="847" t="s">
        <v>306</v>
      </c>
      <c r="C128" s="532"/>
      <c r="D128" s="868" t="s">
        <v>307</v>
      </c>
      <c r="E128" s="848" t="s">
        <v>95</v>
      </c>
      <c r="F128" s="848" t="s">
        <v>308</v>
      </c>
      <c r="G128" s="848"/>
      <c r="H128" s="862" t="s">
        <v>309</v>
      </c>
      <c r="I128" s="862"/>
      <c r="J128" s="863"/>
      <c r="K128" s="451"/>
      <c r="L128" s="451"/>
      <c r="M128" s="134"/>
      <c r="N128" s="134"/>
      <c r="O128" s="135"/>
      <c r="P128" s="130"/>
    </row>
    <row r="129" spans="1:16" s="1" customFormat="1" ht="30">
      <c r="A129" s="882"/>
      <c r="B129" s="847"/>
      <c r="C129" s="532"/>
      <c r="D129" s="869"/>
      <c r="E129" s="848"/>
      <c r="F129" s="455" t="s">
        <v>310</v>
      </c>
      <c r="G129" s="584" t="s">
        <v>311</v>
      </c>
      <c r="H129" s="456" t="s">
        <v>312</v>
      </c>
      <c r="I129" s="534" t="s">
        <v>313</v>
      </c>
      <c r="J129" s="535" t="s">
        <v>314</v>
      </c>
      <c r="K129" s="451"/>
      <c r="L129" s="451"/>
      <c r="M129" s="134"/>
      <c r="N129" s="134"/>
      <c r="O129" s="135"/>
      <c r="P129" s="130"/>
    </row>
    <row r="130" spans="1:16" s="1" customFormat="1" ht="40.5" customHeight="1">
      <c r="A130" s="882"/>
      <c r="B130" s="849" t="s">
        <v>543</v>
      </c>
      <c r="C130" s="335"/>
      <c r="D130" s="463" t="s">
        <v>431</v>
      </c>
      <c r="E130" s="394" t="s">
        <v>432</v>
      </c>
      <c r="F130" s="386">
        <v>1</v>
      </c>
      <c r="G130" s="386">
        <f>+'Anexo 1 Matriz SINA Inf Gestión'!E96</f>
        <v>1</v>
      </c>
      <c r="H130" s="435">
        <f>+'Anexo 1 Matriz SINA Inf Gestión'!M96</f>
        <v>0</v>
      </c>
      <c r="I130" s="435">
        <f>+'Anexo 1 Matriz SINA Inf Gestión'!N96</f>
        <v>0</v>
      </c>
      <c r="J130" s="75">
        <f t="shared" ref="J130:J133" si="9">+H130-I130</f>
        <v>0</v>
      </c>
      <c r="K130" s="451"/>
      <c r="L130" s="451"/>
      <c r="M130" s="134"/>
      <c r="N130" s="134"/>
      <c r="O130" s="135"/>
      <c r="P130" s="130"/>
    </row>
    <row r="131" spans="1:16" s="1" customFormat="1" ht="38.25" customHeight="1">
      <c r="A131" s="882"/>
      <c r="B131" s="850"/>
      <c r="C131" s="529"/>
      <c r="D131" s="463" t="s">
        <v>433</v>
      </c>
      <c r="E131" s="394" t="s">
        <v>130</v>
      </c>
      <c r="F131" s="386">
        <v>1</v>
      </c>
      <c r="G131" s="386">
        <f>+'Anexo 1 Matriz SINA Inf Gestión'!E97</f>
        <v>1</v>
      </c>
      <c r="H131" s="435">
        <f>+'Anexo 1 Matriz SINA Inf Gestión'!M97</f>
        <v>915507226.5</v>
      </c>
      <c r="I131" s="435">
        <f>+'Anexo 1 Matriz SINA Inf Gestión'!N97</f>
        <v>915495373</v>
      </c>
      <c r="J131" s="75">
        <f t="shared" si="9"/>
        <v>11853.5</v>
      </c>
      <c r="K131" s="451"/>
      <c r="L131" s="451"/>
      <c r="M131" s="134"/>
      <c r="N131" s="134"/>
      <c r="O131" s="135"/>
      <c r="P131" s="130"/>
    </row>
    <row r="132" spans="1:16" s="1" customFormat="1" ht="57.75" customHeight="1">
      <c r="A132" s="882"/>
      <c r="B132" s="850"/>
      <c r="C132" s="529"/>
      <c r="D132" s="463" t="s">
        <v>434</v>
      </c>
      <c r="E132" s="394" t="s">
        <v>1</v>
      </c>
      <c r="F132" s="386">
        <v>100</v>
      </c>
      <c r="G132" s="386">
        <f>+'Anexo 1 Matriz SINA Inf Gestión'!E98</f>
        <v>100</v>
      </c>
      <c r="H132" s="435">
        <f>+'Anexo 1 Matriz SINA Inf Gestión'!M98</f>
        <v>3856950431.2451997</v>
      </c>
      <c r="I132" s="435">
        <f>+'Anexo 1 Matriz SINA Inf Gestión'!N98</f>
        <v>3856950431</v>
      </c>
      <c r="J132" s="75">
        <f t="shared" si="9"/>
        <v>0.24519968032836914</v>
      </c>
      <c r="K132" s="451"/>
      <c r="L132" s="451"/>
      <c r="M132" s="134"/>
      <c r="N132" s="134"/>
      <c r="O132" s="135"/>
      <c r="P132" s="130"/>
    </row>
    <row r="133" spans="1:16" s="1" customFormat="1" ht="77.25" customHeight="1">
      <c r="A133" s="882"/>
      <c r="B133" s="850"/>
      <c r="C133" s="537"/>
      <c r="D133" s="463" t="s">
        <v>435</v>
      </c>
      <c r="E133" s="394" t="s">
        <v>436</v>
      </c>
      <c r="F133" s="386">
        <v>38</v>
      </c>
      <c r="G133" s="386">
        <f>+'Anexo 1 Matriz SINA Inf Gestión'!E99</f>
        <v>38</v>
      </c>
      <c r="H133" s="435">
        <f>+'Anexo 1 Matriz SINA Inf Gestión'!M99</f>
        <v>295000000</v>
      </c>
      <c r="I133" s="435">
        <f>+'Anexo 1 Matriz SINA Inf Gestión'!N99</f>
        <v>294906773</v>
      </c>
      <c r="J133" s="75">
        <f t="shared" si="9"/>
        <v>93227</v>
      </c>
      <c r="K133" s="451"/>
      <c r="L133" s="451"/>
      <c r="M133" s="134"/>
      <c r="N133" s="134"/>
      <c r="O133" s="135"/>
      <c r="P133" s="130"/>
    </row>
    <row r="134" spans="1:16" s="1" customFormat="1" ht="15">
      <c r="A134" s="882"/>
      <c r="B134" s="850"/>
      <c r="C134" s="537"/>
      <c r="D134" s="859" t="s">
        <v>319</v>
      </c>
      <c r="E134" s="860"/>
      <c r="F134" s="860"/>
      <c r="G134" s="861"/>
      <c r="H134" s="475">
        <f>SUM(H130:H133)</f>
        <v>5067457657.7451992</v>
      </c>
      <c r="I134" s="479"/>
      <c r="J134" s="867">
        <f>+H134-I135</f>
        <v>105080.74519920349</v>
      </c>
      <c r="K134" s="451"/>
      <c r="L134" s="451"/>
      <c r="M134" s="134"/>
      <c r="N134" s="134"/>
      <c r="O134" s="135"/>
      <c r="P134" s="130"/>
    </row>
    <row r="135" spans="1:16" s="1" customFormat="1" ht="18" customHeight="1">
      <c r="A135" s="882"/>
      <c r="B135" s="850"/>
      <c r="C135" s="537"/>
      <c r="D135" s="859" t="s">
        <v>320</v>
      </c>
      <c r="E135" s="860"/>
      <c r="F135" s="860"/>
      <c r="G135" s="860"/>
      <c r="H135" s="861"/>
      <c r="I135" s="458">
        <f>SUM(I130:I134)</f>
        <v>5067352577</v>
      </c>
      <c r="J135" s="867"/>
      <c r="K135" s="451"/>
      <c r="L135" s="451"/>
      <c r="M135" s="134"/>
      <c r="N135" s="134"/>
      <c r="O135" s="135"/>
      <c r="P135" s="130"/>
    </row>
    <row r="136" spans="1:16" s="1" customFormat="1" ht="18" customHeight="1">
      <c r="A136" s="882"/>
      <c r="B136" s="850"/>
      <c r="C136" s="537"/>
      <c r="D136" s="841" t="s">
        <v>321</v>
      </c>
      <c r="E136" s="842"/>
      <c r="F136" s="842"/>
      <c r="G136" s="842"/>
      <c r="H136" s="843"/>
      <c r="I136" s="552">
        <f>+'Anexo 1 Matriz SINA Inf Gestión'!O95/100</f>
        <v>0.99997926361653189</v>
      </c>
      <c r="J136" s="867"/>
      <c r="K136" s="451"/>
      <c r="L136" s="451"/>
      <c r="M136" s="134"/>
      <c r="N136" s="134"/>
      <c r="O136" s="135"/>
      <c r="P136" s="130"/>
    </row>
    <row r="137" spans="1:16" s="1" customFormat="1" ht="18" customHeight="1">
      <c r="A137" s="882"/>
      <c r="B137" s="850"/>
      <c r="C137" s="537"/>
      <c r="D137" s="859" t="s">
        <v>526</v>
      </c>
      <c r="E137" s="860"/>
      <c r="F137" s="860"/>
      <c r="G137" s="860"/>
      <c r="H137" s="861"/>
      <c r="I137" s="513">
        <f>+'Anexo 1 Matriz SINA Inf Gestión'!F95/100</f>
        <v>1</v>
      </c>
      <c r="J137" s="867"/>
      <c r="K137" s="451"/>
      <c r="L137" s="451"/>
      <c r="M137" s="134"/>
      <c r="N137" s="134"/>
      <c r="O137" s="135"/>
      <c r="P137" s="130"/>
    </row>
    <row r="138" spans="1:16" s="1" customFormat="1" ht="26.25" customHeight="1">
      <c r="A138" s="878" t="s">
        <v>305</v>
      </c>
      <c r="B138" s="847" t="s">
        <v>306</v>
      </c>
      <c r="C138" s="532"/>
      <c r="D138" s="476"/>
      <c r="E138" s="848" t="s">
        <v>95</v>
      </c>
      <c r="F138" s="848" t="s">
        <v>308</v>
      </c>
      <c r="G138" s="848"/>
      <c r="H138" s="862" t="s">
        <v>309</v>
      </c>
      <c r="I138" s="862"/>
      <c r="J138" s="863"/>
      <c r="K138" s="451"/>
      <c r="L138" s="451"/>
      <c r="M138" s="134"/>
      <c r="N138" s="134"/>
      <c r="O138" s="135"/>
      <c r="P138" s="130"/>
    </row>
    <row r="139" spans="1:16" s="1" customFormat="1" ht="47.25" customHeight="1">
      <c r="A139" s="878"/>
      <c r="B139" s="847"/>
      <c r="C139" s="532"/>
      <c r="D139" s="530" t="s">
        <v>541</v>
      </c>
      <c r="E139" s="848"/>
      <c r="F139" s="455" t="s">
        <v>310</v>
      </c>
      <c r="G139" s="584" t="s">
        <v>311</v>
      </c>
      <c r="H139" s="456" t="s">
        <v>312</v>
      </c>
      <c r="I139" s="534" t="s">
        <v>313</v>
      </c>
      <c r="J139" s="535" t="s">
        <v>314</v>
      </c>
      <c r="K139" s="451"/>
      <c r="L139" s="451"/>
      <c r="M139" s="134"/>
      <c r="N139" s="134"/>
      <c r="O139" s="135"/>
      <c r="P139" s="130"/>
    </row>
    <row r="140" spans="1:16" s="1" customFormat="1" ht="38.25" customHeight="1">
      <c r="A140" s="899" t="s">
        <v>473</v>
      </c>
      <c r="B140" s="849" t="s">
        <v>474</v>
      </c>
      <c r="C140" s="529"/>
      <c r="D140" s="463" t="s">
        <v>438</v>
      </c>
      <c r="E140" s="394" t="s">
        <v>511</v>
      </c>
      <c r="F140" s="386">
        <v>1</v>
      </c>
      <c r="G140" s="386">
        <f>+'Anexo 1 Matriz SINA Inf Gestión'!E102</f>
        <v>1</v>
      </c>
      <c r="H140" s="435">
        <f>+'Anexo 1 Matriz SINA Inf Gestión'!M102</f>
        <v>168830125.19999999</v>
      </c>
      <c r="I140" s="435">
        <f>+'Anexo 1 Matriz SINA Inf Gestión'!N102</f>
        <v>168830125</v>
      </c>
      <c r="J140" s="75">
        <f t="shared" ref="J140:J145" si="10">+H140-I140</f>
        <v>0.19999998807907104</v>
      </c>
      <c r="K140" s="451"/>
      <c r="L140" s="451"/>
      <c r="M140" s="134">
        <v>70091</v>
      </c>
      <c r="N140" s="134"/>
      <c r="O140" s="135">
        <v>413662</v>
      </c>
      <c r="P140" s="130"/>
    </row>
    <row r="141" spans="1:16" s="1" customFormat="1" ht="38.25" customHeight="1">
      <c r="A141" s="882"/>
      <c r="B141" s="850"/>
      <c r="C141" s="529"/>
      <c r="D141" s="463" t="s">
        <v>439</v>
      </c>
      <c r="E141" s="394" t="s">
        <v>1</v>
      </c>
      <c r="F141" s="386">
        <v>100</v>
      </c>
      <c r="G141" s="386">
        <f>+'Anexo 1 Matriz SINA Inf Gestión'!E103</f>
        <v>100</v>
      </c>
      <c r="H141" s="435">
        <f>+'Anexo 1 Matriz SINA Inf Gestión'!M103</f>
        <v>515805688</v>
      </c>
      <c r="I141" s="435">
        <f>+'Anexo 1 Matriz SINA Inf Gestión'!N103</f>
        <v>510142753</v>
      </c>
      <c r="J141" s="75">
        <f t="shared" si="10"/>
        <v>5662935</v>
      </c>
      <c r="K141" s="451"/>
      <c r="L141" s="451"/>
      <c r="M141" s="134"/>
      <c r="N141" s="134"/>
      <c r="O141" s="135"/>
      <c r="P141" s="130"/>
    </row>
    <row r="142" spans="1:16" s="1" customFormat="1" ht="40.5" customHeight="1">
      <c r="A142" s="882"/>
      <c r="B142" s="850"/>
      <c r="C142" s="529"/>
      <c r="D142" s="463" t="s">
        <v>544</v>
      </c>
      <c r="E142" s="394" t="s">
        <v>178</v>
      </c>
      <c r="F142" s="386">
        <v>1</v>
      </c>
      <c r="G142" s="658">
        <f>+'Anexo 1 Matriz SINA Inf Gestión'!E104</f>
        <v>0.96</v>
      </c>
      <c r="H142" s="435">
        <f>+'Anexo 1 Matriz SINA Inf Gestión'!M104</f>
        <v>72269356.299999997</v>
      </c>
      <c r="I142" s="435">
        <f>+'Anexo 1 Matriz SINA Inf Gestión'!N104</f>
        <v>72264611</v>
      </c>
      <c r="J142" s="75">
        <f t="shared" si="10"/>
        <v>4745.2999999970198</v>
      </c>
      <c r="K142" s="451"/>
      <c r="L142" s="451"/>
      <c r="M142" s="134"/>
      <c r="N142" s="134"/>
      <c r="O142" s="135"/>
      <c r="P142" s="130"/>
    </row>
    <row r="143" spans="1:16" s="1" customFormat="1" ht="61.5" customHeight="1">
      <c r="A143" s="882"/>
      <c r="B143" s="850"/>
      <c r="C143" s="529"/>
      <c r="D143" s="463" t="s">
        <v>442</v>
      </c>
      <c r="E143" s="394" t="s">
        <v>443</v>
      </c>
      <c r="F143" s="386">
        <v>1</v>
      </c>
      <c r="G143" s="658">
        <f>+'Anexo 1 Matriz SINA Inf Gestión'!E106</f>
        <v>1</v>
      </c>
      <c r="H143" s="435">
        <f>+'Anexo 1 Matriz SINA Inf Gestión'!M106</f>
        <v>85217780</v>
      </c>
      <c r="I143" s="435">
        <f>+'Anexo 1 Matriz SINA Inf Gestión'!N106</f>
        <v>84873326</v>
      </c>
      <c r="J143" s="75">
        <f t="shared" si="10"/>
        <v>344454</v>
      </c>
      <c r="K143" s="451"/>
      <c r="L143" s="451"/>
      <c r="M143" s="134"/>
      <c r="N143" s="134"/>
      <c r="O143" s="135"/>
      <c r="P143" s="130"/>
    </row>
    <row r="144" spans="1:16" s="1" customFormat="1" ht="25.5" customHeight="1">
      <c r="A144" s="882"/>
      <c r="B144" s="850"/>
      <c r="C144" s="529"/>
      <c r="D144" s="463" t="s">
        <v>445</v>
      </c>
      <c r="E144" s="394" t="s">
        <v>191</v>
      </c>
      <c r="F144" s="386">
        <v>1</v>
      </c>
      <c r="G144" s="386">
        <f>+'Anexo 1 Matriz SINA Inf Gestión'!E108</f>
        <v>1</v>
      </c>
      <c r="H144" s="550">
        <v>0</v>
      </c>
      <c r="I144" s="550">
        <v>0</v>
      </c>
      <c r="J144" s="75">
        <f t="shared" si="10"/>
        <v>0</v>
      </c>
      <c r="K144" s="451"/>
      <c r="L144" s="451"/>
      <c r="M144" s="134"/>
      <c r="N144" s="134"/>
      <c r="O144" s="135"/>
      <c r="P144" s="130"/>
    </row>
    <row r="145" spans="1:18" s="1" customFormat="1" ht="35.25" customHeight="1">
      <c r="A145" s="882"/>
      <c r="B145" s="850"/>
      <c r="C145" s="529"/>
      <c r="D145" s="459" t="s">
        <v>514</v>
      </c>
      <c r="E145" s="394" t="s">
        <v>515</v>
      </c>
      <c r="F145" s="386" t="s">
        <v>518</v>
      </c>
      <c r="G145" s="503" t="s">
        <v>518</v>
      </c>
      <c r="H145" s="435">
        <f>+'Anexo 1 Matriz SINA Inf Gestión'!M110</f>
        <v>4601854</v>
      </c>
      <c r="I145" s="435">
        <f>+'Anexo 1 Matriz SINA Inf Gestión'!N110</f>
        <v>4601854</v>
      </c>
      <c r="J145" s="75">
        <f t="shared" si="10"/>
        <v>0</v>
      </c>
      <c r="K145" s="451"/>
      <c r="L145" s="451"/>
      <c r="M145" s="134"/>
      <c r="N145" s="134"/>
      <c r="O145" s="135"/>
      <c r="P145" s="130"/>
    </row>
    <row r="146" spans="1:18" s="1" customFormat="1" ht="15">
      <c r="A146" s="882"/>
      <c r="B146" s="850"/>
      <c r="C146" s="537"/>
      <c r="D146" s="841" t="s">
        <v>319</v>
      </c>
      <c r="E146" s="842"/>
      <c r="F146" s="842"/>
      <c r="G146" s="843"/>
      <c r="H146" s="458">
        <f>SUM(H140:H145)</f>
        <v>846724803.5</v>
      </c>
      <c r="I146" s="435"/>
      <c r="J146" s="867">
        <f>+H146-I147</f>
        <v>6012134.5</v>
      </c>
      <c r="K146" s="477">
        <v>21</v>
      </c>
      <c r="L146" s="451"/>
      <c r="M146" s="134"/>
      <c r="N146" s="134"/>
      <c r="O146" s="135"/>
      <c r="P146" s="130"/>
    </row>
    <row r="147" spans="1:18" s="144" customFormat="1" ht="19.5" customHeight="1">
      <c r="A147" s="882"/>
      <c r="B147" s="850"/>
      <c r="C147" s="537"/>
      <c r="D147" s="841" t="s">
        <v>320</v>
      </c>
      <c r="E147" s="842"/>
      <c r="F147" s="842"/>
      <c r="G147" s="842"/>
      <c r="H147" s="843"/>
      <c r="I147" s="458">
        <f>SUM(I140:I146)</f>
        <v>840712669</v>
      </c>
      <c r="J147" s="867"/>
      <c r="K147" s="136">
        <v>8.7142857142857135</v>
      </c>
      <c r="L147" s="136"/>
      <c r="M147" s="137">
        <v>70091</v>
      </c>
      <c r="N147" s="137"/>
      <c r="O147" s="137">
        <v>413662</v>
      </c>
      <c r="P147" s="36"/>
    </row>
    <row r="148" spans="1:18" s="144" customFormat="1" ht="19.5" customHeight="1">
      <c r="A148" s="882"/>
      <c r="B148" s="850"/>
      <c r="C148" s="537"/>
      <c r="D148" s="841" t="s">
        <v>321</v>
      </c>
      <c r="E148" s="842"/>
      <c r="F148" s="842"/>
      <c r="G148" s="842"/>
      <c r="H148" s="843"/>
      <c r="I148" s="434">
        <f>+'Anexo 1 Matriz SINA Inf Gestión'!O101/100</f>
        <v>0.99289954129706781</v>
      </c>
      <c r="J148" s="867"/>
      <c r="K148" s="136"/>
      <c r="L148" s="136"/>
      <c r="M148" s="137"/>
      <c r="N148" s="137"/>
      <c r="O148" s="137"/>
      <c r="P148" s="36"/>
    </row>
    <row r="149" spans="1:18" s="144" customFormat="1" ht="19.5" customHeight="1">
      <c r="A149" s="882"/>
      <c r="B149" s="850"/>
      <c r="C149" s="537"/>
      <c r="D149" s="841" t="s">
        <v>566</v>
      </c>
      <c r="E149" s="842"/>
      <c r="F149" s="842"/>
      <c r="G149" s="842"/>
      <c r="H149" s="843"/>
      <c r="I149" s="663">
        <f>+'Anexo 1 Matriz SINA Inf Gestión'!F101/100</f>
        <v>0.99199999999999999</v>
      </c>
      <c r="J149" s="867"/>
      <c r="K149" s="136"/>
      <c r="L149" s="136"/>
      <c r="M149" s="137"/>
      <c r="N149" s="137"/>
      <c r="O149" s="137"/>
      <c r="P149" s="36"/>
    </row>
    <row r="150" spans="1:18" s="144" customFormat="1" ht="37.5" customHeight="1">
      <c r="A150" s="882"/>
      <c r="B150" s="847" t="s">
        <v>306</v>
      </c>
      <c r="C150" s="532"/>
      <c r="D150" s="532"/>
      <c r="E150" s="848" t="s">
        <v>95</v>
      </c>
      <c r="F150" s="848" t="s">
        <v>308</v>
      </c>
      <c r="G150" s="848"/>
      <c r="H150" s="862" t="s">
        <v>309</v>
      </c>
      <c r="I150" s="862"/>
      <c r="J150" s="863"/>
      <c r="K150" s="136"/>
      <c r="L150" s="136"/>
      <c r="M150" s="137"/>
      <c r="N150" s="137"/>
      <c r="O150" s="137"/>
      <c r="P150" s="36"/>
    </row>
    <row r="151" spans="1:18" s="144" customFormat="1" ht="46.9" customHeight="1">
      <c r="A151" s="882"/>
      <c r="B151" s="847"/>
      <c r="C151" s="532"/>
      <c r="D151" s="530" t="s">
        <v>541</v>
      </c>
      <c r="E151" s="848"/>
      <c r="F151" s="455" t="s">
        <v>310</v>
      </c>
      <c r="G151" s="584" t="s">
        <v>311</v>
      </c>
      <c r="H151" s="456" t="s">
        <v>312</v>
      </c>
      <c r="I151" s="534" t="s">
        <v>313</v>
      </c>
      <c r="J151" s="535" t="s">
        <v>314</v>
      </c>
      <c r="K151" s="136"/>
      <c r="L151" s="136"/>
      <c r="M151" s="137"/>
      <c r="N151" s="137"/>
      <c r="O151" s="137"/>
      <c r="P151" s="36"/>
    </row>
    <row r="152" spans="1:18" s="144" customFormat="1" ht="36.75" customHeight="1">
      <c r="A152" s="882"/>
      <c r="B152" s="849" t="s">
        <v>530</v>
      </c>
      <c r="C152" s="335"/>
      <c r="D152" s="429" t="s">
        <v>447</v>
      </c>
      <c r="E152" s="394" t="s">
        <v>1</v>
      </c>
      <c r="F152" s="386">
        <v>100</v>
      </c>
      <c r="G152" s="690">
        <f>+'Anexo 1 Matriz SINA Inf Gestión'!E112</f>
        <v>100</v>
      </c>
      <c r="H152" s="460">
        <f>+'Anexo 1 Matriz SINA Inf Gestión'!M112</f>
        <v>0</v>
      </c>
      <c r="I152" s="460"/>
      <c r="J152" s="75">
        <f>+H152-I152</f>
        <v>0</v>
      </c>
      <c r="K152" s="136"/>
      <c r="L152" s="136"/>
      <c r="M152" s="137"/>
      <c r="N152" s="137"/>
      <c r="O152" s="137"/>
      <c r="P152" s="36"/>
      <c r="Q152" s="144">
        <v>0.25</v>
      </c>
      <c r="R152" s="144">
        <v>66</v>
      </c>
    </row>
    <row r="153" spans="1:18" s="144" customFormat="1" ht="15">
      <c r="A153" s="882"/>
      <c r="B153" s="850"/>
      <c r="C153" s="533"/>
      <c r="D153" s="466" t="s">
        <v>448</v>
      </c>
      <c r="E153" s="394" t="s">
        <v>494</v>
      </c>
      <c r="F153" s="386">
        <v>1</v>
      </c>
      <c r="G153" s="690">
        <f>+'Anexo 1 Matriz SINA Inf Gestión'!E113</f>
        <v>1</v>
      </c>
      <c r="H153" s="460">
        <f>+'Anexo 1 Matriz SINA Inf Gestión'!M113</f>
        <v>1117227105</v>
      </c>
      <c r="I153" s="460">
        <f>+'Anexo 1 Matriz SINA Inf Gestión'!N113</f>
        <v>918023782.5</v>
      </c>
      <c r="J153" s="75">
        <f t="shared" ref="J153:J156" si="11">+H153-I153</f>
        <v>199203322.5</v>
      </c>
      <c r="K153" s="136"/>
      <c r="L153" s="136"/>
      <c r="M153" s="137"/>
      <c r="N153" s="137"/>
      <c r="O153" s="137"/>
      <c r="P153" s="36"/>
      <c r="Q153" s="144">
        <v>25</v>
      </c>
      <c r="R153" s="144">
        <v>37.5</v>
      </c>
    </row>
    <row r="154" spans="1:18" s="144" customFormat="1" ht="28.5">
      <c r="A154" s="882"/>
      <c r="B154" s="850"/>
      <c r="C154" s="533"/>
      <c r="D154" s="426" t="s">
        <v>451</v>
      </c>
      <c r="E154" s="394" t="s">
        <v>495</v>
      </c>
      <c r="F154" s="386">
        <v>1</v>
      </c>
      <c r="G154" s="690">
        <f>+'Anexo 1 Matriz SINA Inf Gestión'!E115</f>
        <v>1</v>
      </c>
      <c r="H154" s="460">
        <f>+'Anexo 1 Matriz SINA Inf Gestión'!M115</f>
        <v>210067174</v>
      </c>
      <c r="I154" s="460">
        <f>+'Anexo 1 Matriz SINA Inf Gestión'!N115</f>
        <v>191466625</v>
      </c>
      <c r="J154" s="75">
        <f t="shared" si="11"/>
        <v>18600549</v>
      </c>
      <c r="K154" s="136"/>
      <c r="L154" s="136"/>
      <c r="M154" s="145"/>
      <c r="N154" s="137"/>
      <c r="O154" s="137"/>
      <c r="P154" s="36"/>
    </row>
    <row r="155" spans="1:18" s="144" customFormat="1" ht="43.5" thickBot="1">
      <c r="A155" s="882"/>
      <c r="B155" s="850"/>
      <c r="C155" s="533"/>
      <c r="D155" s="478" t="s">
        <v>452</v>
      </c>
      <c r="E155" s="394" t="s">
        <v>191</v>
      </c>
      <c r="F155" s="386">
        <v>1</v>
      </c>
      <c r="G155" s="690">
        <f>+'Anexo 1 Matriz SINA Inf Gestión'!E115</f>
        <v>1</v>
      </c>
      <c r="H155" s="460">
        <f>+'Anexo 1 Matriz SINA Inf Gestión'!M116</f>
        <v>307547804</v>
      </c>
      <c r="I155" s="460">
        <f>+'Anexo 1 Matriz SINA Inf Gestión'!N116</f>
        <v>303707434</v>
      </c>
      <c r="J155" s="75">
        <f t="shared" si="11"/>
        <v>3840370</v>
      </c>
      <c r="K155" s="136"/>
      <c r="L155" s="136"/>
      <c r="M155" s="145"/>
      <c r="N155" s="137"/>
      <c r="O155" s="137"/>
      <c r="P155" s="36"/>
    </row>
    <row r="156" spans="1:18" s="144" customFormat="1" ht="66" customHeight="1">
      <c r="A156" s="882"/>
      <c r="B156" s="850"/>
      <c r="C156" s="533"/>
      <c r="D156" s="459" t="s">
        <v>514</v>
      </c>
      <c r="E156" s="394" t="s">
        <v>515</v>
      </c>
      <c r="F156" s="386" t="s">
        <v>518</v>
      </c>
      <c r="G156" s="503" t="s">
        <v>518</v>
      </c>
      <c r="H156" s="460">
        <f>+'Anexo 1 Matriz SINA Inf Gestión'!M117</f>
        <v>40157917</v>
      </c>
      <c r="I156" s="435">
        <f>+'Anexo 1 Matriz SINA Inf Gestión'!N117</f>
        <v>40157917</v>
      </c>
      <c r="J156" s="75">
        <f t="shared" si="11"/>
        <v>0</v>
      </c>
      <c r="K156" s="136"/>
      <c r="L156" s="136"/>
      <c r="M156" s="145"/>
      <c r="N156" s="137"/>
      <c r="O156" s="137"/>
      <c r="P156" s="36"/>
    </row>
    <row r="157" spans="1:18" s="144" customFormat="1" ht="15">
      <c r="A157" s="882"/>
      <c r="B157" s="850"/>
      <c r="C157" s="533"/>
      <c r="D157" s="841" t="s">
        <v>319</v>
      </c>
      <c r="E157" s="842"/>
      <c r="F157" s="842"/>
      <c r="G157" s="843"/>
      <c r="H157" s="458">
        <f>SUM(H152:H156)</f>
        <v>1675000000</v>
      </c>
      <c r="J157" s="515"/>
      <c r="K157" s="146"/>
      <c r="L157" s="136"/>
      <c r="M157" s="136"/>
      <c r="N157" s="137"/>
      <c r="O157" s="137"/>
      <c r="P157" s="375"/>
    </row>
    <row r="158" spans="1:18" s="144" customFormat="1" ht="18" customHeight="1">
      <c r="A158" s="882"/>
      <c r="B158" s="850"/>
      <c r="C158" s="541"/>
      <c r="D158" s="841" t="s">
        <v>320</v>
      </c>
      <c r="E158" s="842"/>
      <c r="F158" s="842"/>
      <c r="G158" s="842"/>
      <c r="H158" s="843"/>
      <c r="I158" s="458">
        <f>SUM(I152:I157)</f>
        <v>1453355758.5</v>
      </c>
      <c r="J158" s="515">
        <f>+H157-I158</f>
        <v>221644241.5</v>
      </c>
      <c r="K158" s="146"/>
      <c r="L158" s="136"/>
      <c r="M158" s="136"/>
      <c r="N158" s="137"/>
      <c r="O158" s="137"/>
      <c r="P158" s="375"/>
      <c r="R158" s="136"/>
    </row>
    <row r="159" spans="1:18" s="144" customFormat="1" ht="18" customHeight="1" thickBot="1">
      <c r="A159" s="882"/>
      <c r="B159" s="850"/>
      <c r="C159" s="533"/>
      <c r="D159" s="902" t="s">
        <v>545</v>
      </c>
      <c r="E159" s="903"/>
      <c r="F159" s="903"/>
      <c r="G159" s="903"/>
      <c r="H159" s="904"/>
      <c r="I159" s="434">
        <f>+'Anexo 1 Matriz SINA Inf Gestión'!O111/100</f>
        <v>0.86767507970149249</v>
      </c>
      <c r="J159" s="516"/>
      <c r="K159" s="143"/>
      <c r="L159" s="136"/>
      <c r="M159" s="136"/>
      <c r="N159" s="137"/>
      <c r="O159" s="137"/>
      <c r="P159" s="375"/>
      <c r="R159" s="136"/>
    </row>
    <row r="160" spans="1:18" s="144" customFormat="1" ht="18" customHeight="1" thickBot="1">
      <c r="A160" s="882"/>
      <c r="B160" s="850"/>
      <c r="C160" s="533"/>
      <c r="D160" s="841" t="s">
        <v>526</v>
      </c>
      <c r="E160" s="842"/>
      <c r="F160" s="842"/>
      <c r="G160" s="842"/>
      <c r="H160" s="843"/>
      <c r="I160" s="513">
        <f>+'Anexo 1 Matriz SINA Inf Gestión'!F111/100</f>
        <v>1</v>
      </c>
      <c r="J160" s="516"/>
      <c r="K160" s="143"/>
      <c r="L160" s="136"/>
      <c r="M160" s="136"/>
      <c r="N160" s="137"/>
      <c r="O160" s="137"/>
      <c r="P160" s="375"/>
      <c r="R160" s="136"/>
    </row>
    <row r="161" spans="1:19" ht="18" customHeight="1" thickBot="1">
      <c r="A161" s="854" t="s">
        <v>570</v>
      </c>
      <c r="B161" s="855"/>
      <c r="C161" s="855"/>
      <c r="D161" s="855"/>
      <c r="E161" s="855"/>
      <c r="F161" s="855"/>
      <c r="G161" s="855"/>
      <c r="H161" s="856"/>
      <c r="I161" s="664">
        <f>+'Anexo 1 Matriz SINA Inf Gestión'!M118</f>
        <v>28214806441.31411</v>
      </c>
      <c r="J161" s="864">
        <f>+I161-I162</f>
        <v>506524849.70610809</v>
      </c>
    </row>
    <row r="162" spans="1:19" ht="18" customHeight="1" thickBot="1">
      <c r="A162" s="857" t="s">
        <v>571</v>
      </c>
      <c r="B162" s="858"/>
      <c r="C162" s="858"/>
      <c r="D162" s="858"/>
      <c r="E162" s="858"/>
      <c r="F162" s="858"/>
      <c r="G162" s="858"/>
      <c r="H162" s="858"/>
      <c r="I162" s="676">
        <f>+'Anexo 1 Matriz SINA Inf Gestión'!N118</f>
        <v>27708281591.608002</v>
      </c>
      <c r="J162" s="865"/>
    </row>
    <row r="163" spans="1:19" ht="18" customHeight="1" thickBot="1">
      <c r="A163" s="851" t="s">
        <v>572</v>
      </c>
      <c r="B163" s="852"/>
      <c r="C163" s="852"/>
      <c r="D163" s="852"/>
      <c r="E163" s="852"/>
      <c r="F163" s="852"/>
      <c r="G163" s="852"/>
      <c r="H163" s="853"/>
      <c r="I163" s="677">
        <f>+'Anexo 1 Matriz SINA Inf Gestión'!O118/100</f>
        <v>0.98204755184978287</v>
      </c>
      <c r="J163" s="865"/>
      <c r="S163" s="735"/>
    </row>
    <row r="164" spans="1:19" ht="18" customHeight="1" thickBot="1">
      <c r="A164" s="844" t="s">
        <v>527</v>
      </c>
      <c r="B164" s="845"/>
      <c r="C164" s="845"/>
      <c r="D164" s="845"/>
      <c r="E164" s="845"/>
      <c r="F164" s="845"/>
      <c r="G164" s="845"/>
      <c r="H164" s="846"/>
      <c r="I164" s="678">
        <f>+'Anexo 1 Matriz SINA Inf Gestión'!F118/100</f>
        <v>0.99352585356804335</v>
      </c>
      <c r="J164" s="866"/>
    </row>
    <row r="165" spans="1:19" s="1" customFormat="1">
      <c r="A165" s="653"/>
      <c r="B165" s="654"/>
      <c r="C165" s="654"/>
      <c r="D165" s="653"/>
      <c r="E165" s="653"/>
      <c r="F165" s="654"/>
      <c r="G165" s="655"/>
      <c r="H165" s="656"/>
      <c r="I165" s="656"/>
      <c r="J165" s="656"/>
      <c r="K165" s="451"/>
      <c r="L165" s="451"/>
      <c r="M165" s="650"/>
      <c r="N165" s="650"/>
      <c r="O165" s="650"/>
      <c r="P165" s="650"/>
    </row>
    <row r="166" spans="1:19" s="1" customFormat="1">
      <c r="A166" s="653"/>
      <c r="B166" s="654"/>
      <c r="C166" s="654"/>
      <c r="D166" s="653"/>
      <c r="E166" s="653"/>
      <c r="F166" s="654"/>
      <c r="G166" s="655"/>
      <c r="H166" s="656"/>
      <c r="I166" s="656"/>
      <c r="J166" s="656"/>
      <c r="K166" s="451"/>
      <c r="L166" s="451"/>
      <c r="M166" s="650"/>
      <c r="N166" s="650"/>
      <c r="O166" s="650"/>
      <c r="P166" s="650"/>
    </row>
    <row r="167" spans="1:19" s="1" customFormat="1">
      <c r="A167" s="653"/>
      <c r="B167" s="654"/>
      <c r="C167" s="654"/>
      <c r="D167" s="653"/>
      <c r="E167" s="653"/>
      <c r="F167" s="654"/>
      <c r="G167" s="655"/>
      <c r="H167" s="656"/>
      <c r="I167" s="656"/>
      <c r="J167" s="656"/>
      <c r="K167" s="451"/>
      <c r="L167" s="451"/>
      <c r="M167" s="650"/>
      <c r="N167" s="650"/>
      <c r="O167" s="650"/>
      <c r="P167" s="650"/>
    </row>
    <row r="168" spans="1:19" s="1" customFormat="1">
      <c r="A168" s="653"/>
      <c r="B168" s="654"/>
      <c r="C168" s="654"/>
      <c r="D168" s="653"/>
      <c r="E168" s="653"/>
      <c r="F168" s="654"/>
      <c r="G168" s="655"/>
      <c r="H168" s="656"/>
      <c r="I168" s="656"/>
      <c r="J168" s="656"/>
      <c r="K168" s="451">
        <v>22411801755</v>
      </c>
      <c r="L168" s="451"/>
      <c r="M168" s="650"/>
      <c r="N168" s="650"/>
      <c r="O168" s="650"/>
      <c r="P168" s="650"/>
    </row>
    <row r="169" spans="1:19" s="1" customFormat="1">
      <c r="A169" s="653"/>
      <c r="B169" s="654"/>
      <c r="C169" s="654"/>
      <c r="D169" s="653"/>
      <c r="E169" s="653"/>
      <c r="F169" s="654"/>
      <c r="G169" s="655"/>
      <c r="H169" s="656"/>
      <c r="I169" s="733"/>
      <c r="J169" s="656"/>
      <c r="K169" s="451"/>
      <c r="L169" s="451"/>
      <c r="M169" s="650"/>
      <c r="N169" s="650"/>
      <c r="O169" s="650"/>
      <c r="P169" s="650"/>
    </row>
    <row r="170" spans="1:19" s="1" customFormat="1">
      <c r="A170" s="653"/>
      <c r="B170" s="654"/>
      <c r="C170" s="654"/>
      <c r="D170" s="653"/>
      <c r="E170" s="653"/>
      <c r="F170" s="654"/>
      <c r="G170" s="655"/>
      <c r="H170" s="656"/>
      <c r="I170" s="685"/>
      <c r="J170" s="656"/>
      <c r="K170" s="451"/>
      <c r="L170" s="451"/>
      <c r="M170" s="650"/>
      <c r="N170" s="650"/>
      <c r="O170" s="650"/>
      <c r="P170" s="650"/>
    </row>
    <row r="171" spans="1:19" s="1" customFormat="1">
      <c r="A171" s="653"/>
      <c r="B171" s="654"/>
      <c r="C171" s="654"/>
      <c r="D171" s="653"/>
      <c r="E171" s="653"/>
      <c r="F171" s="654"/>
      <c r="G171" s="655"/>
      <c r="H171" s="656"/>
      <c r="I171" s="733">
        <f>28214806442-I161</f>
        <v>0.68589019775390625</v>
      </c>
      <c r="J171" s="656"/>
      <c r="K171" s="451"/>
      <c r="L171" s="451"/>
      <c r="M171" s="650"/>
      <c r="N171" s="650"/>
      <c r="O171" s="650"/>
      <c r="P171" s="650"/>
    </row>
    <row r="172" spans="1:19" s="1" customFormat="1">
      <c r="A172" s="653"/>
      <c r="B172" s="654"/>
      <c r="C172" s="654"/>
      <c r="D172" s="653"/>
      <c r="E172" s="653"/>
      <c r="F172" s="654"/>
      <c r="G172" s="655"/>
      <c r="H172" s="656"/>
      <c r="I172" s="656"/>
      <c r="J172" s="656"/>
      <c r="K172" s="451"/>
      <c r="L172" s="451"/>
      <c r="M172" s="650"/>
      <c r="N172" s="650"/>
      <c r="O172" s="650"/>
      <c r="P172" s="650"/>
    </row>
    <row r="173" spans="1:19" s="1" customFormat="1">
      <c r="A173" s="653"/>
      <c r="B173" s="654"/>
      <c r="C173" s="654"/>
      <c r="D173" s="653"/>
      <c r="E173" s="653"/>
      <c r="F173" s="654"/>
      <c r="G173" s="655"/>
      <c r="H173" s="656"/>
      <c r="I173" s="656"/>
      <c r="J173" s="656"/>
      <c r="K173" s="451"/>
      <c r="L173" s="451"/>
      <c r="M173" s="650"/>
      <c r="N173" s="650"/>
      <c r="O173" s="650"/>
      <c r="P173" s="650"/>
    </row>
    <row r="174" spans="1:19" s="1" customFormat="1">
      <c r="A174" s="653"/>
      <c r="B174" s="654"/>
      <c r="C174" s="654"/>
      <c r="D174" s="653"/>
      <c r="E174" s="653"/>
      <c r="F174" s="654"/>
      <c r="G174" s="655"/>
      <c r="H174" s="656"/>
      <c r="I174" s="656"/>
      <c r="J174" s="656"/>
      <c r="K174" s="451"/>
      <c r="L174" s="451"/>
      <c r="M174" s="650"/>
      <c r="N174" s="650"/>
      <c r="O174" s="650"/>
      <c r="P174" s="650"/>
    </row>
    <row r="175" spans="1:19" s="1" customFormat="1">
      <c r="A175" s="653"/>
      <c r="B175" s="654"/>
      <c r="C175" s="654"/>
      <c r="D175" s="653"/>
      <c r="E175" s="653"/>
      <c r="F175" s="654"/>
      <c r="G175" s="655"/>
      <c r="H175" s="656"/>
      <c r="I175" s="656"/>
      <c r="J175" s="656"/>
      <c r="K175" s="451"/>
      <c r="L175" s="451"/>
      <c r="M175" s="650"/>
      <c r="N175" s="650"/>
      <c r="O175" s="650"/>
      <c r="P175" s="650"/>
    </row>
    <row r="176" spans="1:19" s="1" customFormat="1">
      <c r="A176" s="653"/>
      <c r="B176" s="654"/>
      <c r="C176" s="654"/>
      <c r="D176" s="653"/>
      <c r="E176" s="653"/>
      <c r="F176" s="654"/>
      <c r="G176" s="655"/>
      <c r="H176" s="656"/>
      <c r="I176" s="656"/>
      <c r="J176" s="656"/>
      <c r="K176" s="451"/>
      <c r="L176" s="451"/>
      <c r="M176" s="650"/>
      <c r="N176" s="650"/>
      <c r="O176" s="650"/>
      <c r="P176" s="650"/>
    </row>
    <row r="177" spans="1:16" s="1" customFormat="1">
      <c r="A177" s="653"/>
      <c r="B177" s="654"/>
      <c r="C177" s="654"/>
      <c r="D177" s="653"/>
      <c r="E177" s="653"/>
      <c r="F177" s="654"/>
      <c r="G177" s="655"/>
      <c r="H177" s="656"/>
      <c r="I177" s="656"/>
      <c r="J177" s="656"/>
      <c r="K177" s="451"/>
      <c r="L177" s="451"/>
      <c r="M177" s="650"/>
      <c r="N177" s="650"/>
      <c r="O177" s="650"/>
      <c r="P177" s="650"/>
    </row>
    <row r="178" spans="1:16" s="1" customFormat="1">
      <c r="A178" s="653"/>
      <c r="B178" s="654"/>
      <c r="C178" s="654"/>
      <c r="D178" s="653"/>
      <c r="E178" s="653"/>
      <c r="F178" s="654"/>
      <c r="G178" s="655"/>
      <c r="H178" s="656"/>
      <c r="I178" s="656"/>
      <c r="J178" s="656"/>
      <c r="K178" s="451"/>
      <c r="L178" s="451"/>
      <c r="M178" s="650"/>
      <c r="N178" s="650"/>
      <c r="O178" s="650"/>
      <c r="P178" s="650"/>
    </row>
    <row r="179" spans="1:16" s="1" customFormat="1">
      <c r="A179" s="653"/>
      <c r="B179" s="654"/>
      <c r="C179" s="654"/>
      <c r="D179" s="653"/>
      <c r="E179" s="653"/>
      <c r="F179" s="654"/>
      <c r="G179" s="655"/>
      <c r="H179" s="656"/>
      <c r="I179" s="656"/>
      <c r="J179" s="656"/>
      <c r="K179" s="451"/>
      <c r="L179" s="451"/>
      <c r="M179" s="650"/>
      <c r="N179" s="650"/>
      <c r="O179" s="650"/>
      <c r="P179" s="650"/>
    </row>
    <row r="180" spans="1:16" s="1" customFormat="1">
      <c r="A180" s="653"/>
      <c r="B180" s="654"/>
      <c r="C180" s="654"/>
      <c r="D180" s="653"/>
      <c r="E180" s="653"/>
      <c r="F180" s="654"/>
      <c r="G180" s="655"/>
      <c r="H180" s="656"/>
      <c r="I180" s="656"/>
      <c r="J180" s="656"/>
      <c r="K180" s="451"/>
      <c r="L180" s="451"/>
      <c r="M180" s="650"/>
      <c r="N180" s="650"/>
      <c r="O180" s="650"/>
      <c r="P180" s="650"/>
    </row>
    <row r="181" spans="1:16" s="1" customFormat="1">
      <c r="A181" s="653"/>
      <c r="B181" s="654"/>
      <c r="C181" s="654"/>
      <c r="D181" s="653"/>
      <c r="E181" s="653"/>
      <c r="F181" s="654"/>
      <c r="G181" s="655"/>
      <c r="H181" s="656"/>
      <c r="I181" s="656"/>
      <c r="J181" s="656"/>
      <c r="K181" s="451"/>
      <c r="L181" s="451"/>
      <c r="M181" s="650"/>
      <c r="N181" s="650"/>
      <c r="O181" s="650"/>
      <c r="P181" s="650"/>
    </row>
    <row r="182" spans="1:16" s="1" customFormat="1">
      <c r="A182" s="653"/>
      <c r="B182" s="654"/>
      <c r="C182" s="654"/>
      <c r="D182" s="653"/>
      <c r="E182" s="653"/>
      <c r="F182" s="654"/>
      <c r="G182" s="655"/>
      <c r="H182" s="656"/>
      <c r="I182" s="656"/>
      <c r="J182" s="656"/>
      <c r="K182" s="451"/>
      <c r="L182" s="451"/>
      <c r="M182" s="650"/>
      <c r="N182" s="650"/>
      <c r="O182" s="650"/>
      <c r="P182" s="650"/>
    </row>
    <row r="183" spans="1:16" s="1" customFormat="1">
      <c r="A183" s="653"/>
      <c r="B183" s="654"/>
      <c r="C183" s="654"/>
      <c r="D183" s="653"/>
      <c r="E183" s="653"/>
      <c r="F183" s="654"/>
      <c r="G183" s="655"/>
      <c r="H183" s="656"/>
      <c r="I183" s="656"/>
      <c r="J183" s="656"/>
      <c r="K183" s="451"/>
      <c r="L183" s="451"/>
      <c r="M183" s="650"/>
      <c r="N183" s="650"/>
      <c r="O183" s="650"/>
      <c r="P183" s="650"/>
    </row>
    <row r="184" spans="1:16" s="1" customFormat="1">
      <c r="A184" s="653"/>
      <c r="B184" s="654"/>
      <c r="C184" s="654"/>
      <c r="D184" s="653"/>
      <c r="E184" s="653"/>
      <c r="F184" s="654"/>
      <c r="G184" s="655"/>
      <c r="H184" s="656"/>
      <c r="I184" s="656"/>
      <c r="J184" s="656"/>
      <c r="K184" s="451"/>
      <c r="L184" s="451"/>
      <c r="M184" s="650"/>
      <c r="N184" s="650"/>
      <c r="O184" s="650"/>
      <c r="P184" s="650"/>
    </row>
    <row r="185" spans="1:16" s="1" customFormat="1">
      <c r="A185" s="653"/>
      <c r="B185" s="654"/>
      <c r="C185" s="654"/>
      <c r="D185" s="653"/>
      <c r="E185" s="653"/>
      <c r="F185" s="654"/>
      <c r="G185" s="655"/>
      <c r="H185" s="656"/>
      <c r="I185" s="656"/>
      <c r="J185" s="656"/>
      <c r="K185" s="451"/>
      <c r="L185" s="451"/>
      <c r="M185" s="650"/>
      <c r="N185" s="650"/>
      <c r="O185" s="650"/>
      <c r="P185" s="650"/>
    </row>
    <row r="186" spans="1:16" s="1" customFormat="1">
      <c r="A186" s="653"/>
      <c r="B186" s="654"/>
      <c r="C186" s="654"/>
      <c r="D186" s="653"/>
      <c r="E186" s="653"/>
      <c r="F186" s="654"/>
      <c r="G186" s="655"/>
      <c r="H186" s="656"/>
      <c r="I186" s="656"/>
      <c r="J186" s="656"/>
      <c r="K186" s="451"/>
      <c r="L186" s="451"/>
      <c r="M186" s="650"/>
      <c r="N186" s="650"/>
      <c r="O186" s="650"/>
      <c r="P186" s="650"/>
    </row>
    <row r="187" spans="1:16" s="1" customFormat="1">
      <c r="A187" s="653"/>
      <c r="B187" s="654"/>
      <c r="C187" s="654"/>
      <c r="D187" s="653"/>
      <c r="E187" s="653"/>
      <c r="F187" s="654"/>
      <c r="G187" s="655"/>
      <c r="H187" s="656"/>
      <c r="I187" s="656"/>
      <c r="J187" s="656"/>
      <c r="K187" s="451"/>
      <c r="L187" s="451"/>
      <c r="M187" s="650"/>
      <c r="N187" s="650"/>
      <c r="O187" s="650"/>
      <c r="P187" s="650"/>
    </row>
    <row r="188" spans="1:16" s="1" customFormat="1">
      <c r="A188" s="653"/>
      <c r="B188" s="654"/>
      <c r="C188" s="654"/>
      <c r="D188" s="653"/>
      <c r="E188" s="653"/>
      <c r="F188" s="654"/>
      <c r="G188" s="655"/>
      <c r="H188" s="656"/>
      <c r="I188" s="656"/>
      <c r="J188" s="656"/>
      <c r="K188" s="451"/>
      <c r="L188" s="451"/>
      <c r="M188" s="650"/>
      <c r="N188" s="650"/>
      <c r="O188" s="650"/>
      <c r="P188" s="650"/>
    </row>
    <row r="189" spans="1:16" s="1" customFormat="1">
      <c r="A189" s="653"/>
      <c r="B189" s="654"/>
      <c r="C189" s="654"/>
      <c r="D189" s="653"/>
      <c r="E189" s="653"/>
      <c r="F189" s="654"/>
      <c r="G189" s="655"/>
      <c r="H189" s="656"/>
      <c r="I189" s="656"/>
      <c r="J189" s="656"/>
      <c r="K189" s="451"/>
      <c r="L189" s="451"/>
      <c r="M189" s="650"/>
      <c r="N189" s="650"/>
      <c r="O189" s="650"/>
      <c r="P189" s="650"/>
    </row>
    <row r="190" spans="1:16" s="1" customFormat="1">
      <c r="A190" s="653"/>
      <c r="B190" s="654"/>
      <c r="C190" s="654"/>
      <c r="D190" s="653"/>
      <c r="E190" s="653"/>
      <c r="F190" s="654"/>
      <c r="G190" s="655"/>
      <c r="H190" s="656"/>
      <c r="I190" s="656"/>
      <c r="J190" s="656"/>
      <c r="K190" s="451"/>
      <c r="L190" s="451"/>
      <c r="M190" s="650"/>
      <c r="N190" s="650"/>
      <c r="O190" s="650"/>
      <c r="P190" s="650"/>
    </row>
    <row r="191" spans="1:16" s="1" customFormat="1">
      <c r="A191" s="653"/>
      <c r="B191" s="654"/>
      <c r="C191" s="654"/>
      <c r="D191" s="653"/>
      <c r="E191" s="653"/>
      <c r="F191" s="654"/>
      <c r="G191" s="655"/>
      <c r="H191" s="656"/>
      <c r="I191" s="656"/>
      <c r="J191" s="656"/>
      <c r="K191" s="451"/>
      <c r="L191" s="451"/>
      <c r="M191" s="650"/>
      <c r="N191" s="650"/>
      <c r="O191" s="650"/>
      <c r="P191" s="650"/>
    </row>
    <row r="192" spans="1:16" s="1" customFormat="1">
      <c r="A192" s="653"/>
      <c r="B192" s="654"/>
      <c r="C192" s="654"/>
      <c r="D192" s="653"/>
      <c r="E192" s="653"/>
      <c r="F192" s="654"/>
      <c r="G192" s="655"/>
      <c r="H192" s="656"/>
      <c r="I192" s="656"/>
      <c r="J192" s="656"/>
      <c r="K192" s="451"/>
      <c r="L192" s="451"/>
      <c r="M192" s="650"/>
      <c r="N192" s="650"/>
      <c r="O192" s="650"/>
      <c r="P192" s="650"/>
    </row>
    <row r="193" spans="1:16" s="1" customFormat="1">
      <c r="A193" s="653"/>
      <c r="B193" s="654"/>
      <c r="C193" s="654"/>
      <c r="D193" s="653"/>
      <c r="E193" s="653"/>
      <c r="F193" s="654"/>
      <c r="G193" s="655"/>
      <c r="H193" s="656"/>
      <c r="I193" s="656"/>
      <c r="J193" s="656"/>
      <c r="K193" s="451"/>
      <c r="L193" s="451"/>
      <c r="M193" s="650"/>
      <c r="N193" s="650"/>
      <c r="O193" s="650"/>
      <c r="P193" s="650"/>
    </row>
    <row r="194" spans="1:16" s="1" customFormat="1">
      <c r="A194" s="653"/>
      <c r="B194" s="654"/>
      <c r="C194" s="654"/>
      <c r="D194" s="653"/>
      <c r="E194" s="653"/>
      <c r="F194" s="654"/>
      <c r="G194" s="655"/>
      <c r="H194" s="656"/>
      <c r="I194" s="656"/>
      <c r="J194" s="656"/>
      <c r="K194" s="451"/>
      <c r="L194" s="451"/>
      <c r="M194" s="650"/>
      <c r="N194" s="650"/>
      <c r="O194" s="650"/>
      <c r="P194" s="650"/>
    </row>
    <row r="195" spans="1:16" s="1" customFormat="1">
      <c r="B195" s="447"/>
      <c r="C195" s="447"/>
      <c r="F195" s="447"/>
      <c r="G195" s="652"/>
      <c r="H195" s="148"/>
      <c r="I195" s="148"/>
      <c r="J195" s="148"/>
      <c r="K195" s="451"/>
      <c r="L195" s="451"/>
      <c r="M195" s="650"/>
      <c r="N195" s="650"/>
      <c r="O195" s="650"/>
      <c r="P195" s="650"/>
    </row>
    <row r="196" spans="1:16" s="1" customFormat="1">
      <c r="B196" s="447"/>
      <c r="C196" s="447"/>
      <c r="F196" s="447"/>
      <c r="G196" s="652"/>
      <c r="H196" s="148"/>
      <c r="I196" s="148"/>
      <c r="J196" s="148"/>
      <c r="K196" s="451"/>
      <c r="L196" s="451"/>
      <c r="M196" s="650"/>
      <c r="N196" s="650"/>
      <c r="O196" s="650"/>
      <c r="P196" s="650"/>
    </row>
    <row r="197" spans="1:16" s="1" customFormat="1">
      <c r="B197" s="447"/>
      <c r="C197" s="447"/>
      <c r="F197" s="447"/>
      <c r="G197" s="652"/>
      <c r="H197" s="148"/>
      <c r="I197" s="148"/>
      <c r="J197" s="148"/>
      <c r="K197" s="451"/>
      <c r="L197" s="451"/>
      <c r="M197" s="650"/>
      <c r="N197" s="650"/>
      <c r="O197" s="650"/>
      <c r="P197" s="650"/>
    </row>
    <row r="198" spans="1:16" s="1" customFormat="1">
      <c r="B198" s="447"/>
      <c r="C198" s="447"/>
      <c r="F198" s="447"/>
      <c r="G198" s="652"/>
      <c r="H198" s="148"/>
      <c r="I198" s="148"/>
      <c r="J198" s="148"/>
      <c r="K198" s="451"/>
      <c r="L198" s="451"/>
      <c r="M198" s="650"/>
      <c r="N198" s="650"/>
      <c r="O198" s="650"/>
      <c r="P198" s="650"/>
    </row>
    <row r="199" spans="1:16" s="1" customFormat="1">
      <c r="B199" s="447"/>
      <c r="C199" s="447"/>
      <c r="F199" s="447"/>
      <c r="G199" s="652"/>
      <c r="H199" s="148"/>
      <c r="I199" s="148"/>
      <c r="J199" s="148"/>
      <c r="K199" s="451"/>
      <c r="L199" s="451"/>
      <c r="M199" s="650"/>
      <c r="N199" s="650"/>
      <c r="O199" s="650"/>
      <c r="P199" s="650"/>
    </row>
    <row r="200" spans="1:16" s="1" customFormat="1">
      <c r="B200" s="447"/>
      <c r="C200" s="447"/>
      <c r="F200" s="447"/>
      <c r="G200" s="652"/>
      <c r="H200" s="148"/>
      <c r="I200" s="148"/>
      <c r="J200" s="148"/>
      <c r="K200" s="451"/>
      <c r="L200" s="451"/>
      <c r="M200" s="650"/>
      <c r="N200" s="650"/>
      <c r="O200" s="650"/>
      <c r="P200" s="650"/>
    </row>
    <row r="201" spans="1:16" s="1" customFormat="1">
      <c r="B201" s="447"/>
      <c r="C201" s="447"/>
      <c r="F201" s="447"/>
      <c r="G201" s="652"/>
      <c r="H201" s="148"/>
      <c r="I201" s="148"/>
      <c r="J201" s="148"/>
      <c r="K201" s="451"/>
      <c r="L201" s="451"/>
      <c r="M201" s="650"/>
      <c r="N201" s="650"/>
      <c r="O201" s="650"/>
      <c r="P201" s="650"/>
    </row>
    <row r="202" spans="1:16" s="1" customFormat="1">
      <c r="B202" s="447"/>
      <c r="C202" s="447"/>
      <c r="F202" s="447"/>
      <c r="G202" s="652"/>
      <c r="H202" s="148"/>
      <c r="I202" s="148"/>
      <c r="J202" s="148"/>
      <c r="K202" s="451"/>
      <c r="L202" s="451"/>
      <c r="M202" s="650"/>
      <c r="N202" s="650"/>
      <c r="O202" s="650"/>
      <c r="P202" s="650"/>
    </row>
    <row r="203" spans="1:16" s="1" customFormat="1">
      <c r="B203" s="447"/>
      <c r="C203" s="447"/>
      <c r="F203" s="447"/>
      <c r="G203" s="652"/>
      <c r="H203" s="148"/>
      <c r="I203" s="148"/>
      <c r="J203" s="148"/>
      <c r="K203" s="451"/>
      <c r="L203" s="451"/>
      <c r="M203" s="650"/>
      <c r="N203" s="650"/>
      <c r="O203" s="650"/>
      <c r="P203" s="650"/>
    </row>
    <row r="204" spans="1:16" s="1" customFormat="1">
      <c r="B204" s="447"/>
      <c r="C204" s="447"/>
      <c r="F204" s="447"/>
      <c r="G204" s="652"/>
      <c r="H204" s="148"/>
      <c r="I204" s="148"/>
      <c r="J204" s="148"/>
      <c r="K204" s="451"/>
      <c r="L204" s="451"/>
      <c r="M204" s="650"/>
      <c r="N204" s="650"/>
      <c r="O204" s="650"/>
      <c r="P204" s="650"/>
    </row>
    <row r="205" spans="1:16" s="1" customFormat="1">
      <c r="B205" s="447"/>
      <c r="C205" s="447"/>
      <c r="F205" s="447"/>
      <c r="G205" s="652"/>
      <c r="H205" s="148"/>
      <c r="I205" s="148"/>
      <c r="J205" s="148"/>
      <c r="K205" s="451"/>
      <c r="L205" s="451"/>
      <c r="M205" s="650"/>
      <c r="N205" s="650"/>
      <c r="O205" s="650"/>
      <c r="P205" s="650"/>
    </row>
    <row r="206" spans="1:16" s="1" customFormat="1">
      <c r="B206" s="447"/>
      <c r="C206" s="447"/>
      <c r="F206" s="447"/>
      <c r="G206" s="652"/>
      <c r="H206" s="148"/>
      <c r="I206" s="148"/>
      <c r="J206" s="148"/>
      <c r="K206" s="451"/>
      <c r="L206" s="451"/>
      <c r="M206" s="650"/>
      <c r="N206" s="650"/>
      <c r="O206" s="650"/>
      <c r="P206" s="650"/>
    </row>
    <row r="207" spans="1:16" s="1" customFormat="1">
      <c r="B207" s="447"/>
      <c r="C207" s="447"/>
      <c r="F207" s="447"/>
      <c r="G207" s="652"/>
      <c r="H207" s="148"/>
      <c r="I207" s="148"/>
      <c r="J207" s="148"/>
      <c r="K207" s="451"/>
      <c r="L207" s="451"/>
      <c r="M207" s="650"/>
      <c r="N207" s="650"/>
      <c r="O207" s="650"/>
      <c r="P207" s="650"/>
    </row>
    <row r="208" spans="1:16" s="1" customFormat="1">
      <c r="B208" s="447"/>
      <c r="C208" s="447"/>
      <c r="F208" s="447"/>
      <c r="G208" s="652"/>
      <c r="H208" s="148"/>
      <c r="I208" s="148"/>
      <c r="J208" s="148"/>
      <c r="K208" s="451"/>
      <c r="L208" s="451"/>
      <c r="M208" s="650"/>
      <c r="N208" s="650"/>
      <c r="O208" s="650"/>
      <c r="P208" s="650"/>
    </row>
    <row r="209" spans="2:16" s="1" customFormat="1">
      <c r="B209" s="447"/>
      <c r="C209" s="447"/>
      <c r="F209" s="447"/>
      <c r="G209" s="652"/>
      <c r="H209" s="148"/>
      <c r="I209" s="148"/>
      <c r="J209" s="148"/>
      <c r="K209" s="451"/>
      <c r="L209" s="451"/>
      <c r="M209" s="650"/>
      <c r="N209" s="650"/>
      <c r="O209" s="650"/>
      <c r="P209" s="650"/>
    </row>
    <row r="210" spans="2:16" s="1" customFormat="1">
      <c r="B210" s="447"/>
      <c r="C210" s="447"/>
      <c r="F210" s="447"/>
      <c r="G210" s="652"/>
      <c r="H210" s="148"/>
      <c r="I210" s="148"/>
      <c r="J210" s="148"/>
      <c r="K210" s="451"/>
      <c r="L210" s="451"/>
      <c r="M210" s="650"/>
      <c r="N210" s="650"/>
      <c r="O210" s="650"/>
      <c r="P210" s="650"/>
    </row>
    <row r="211" spans="2:16" s="1" customFormat="1">
      <c r="B211" s="447"/>
      <c r="C211" s="447"/>
      <c r="F211" s="447"/>
      <c r="G211" s="652"/>
      <c r="H211" s="148"/>
      <c r="I211" s="148"/>
      <c r="J211" s="148"/>
      <c r="K211" s="451"/>
      <c r="L211" s="451"/>
      <c r="M211" s="650"/>
      <c r="N211" s="650"/>
      <c r="O211" s="650"/>
      <c r="P211" s="650"/>
    </row>
    <row r="212" spans="2:16" s="1" customFormat="1">
      <c r="B212" s="447"/>
      <c r="C212" s="447"/>
      <c r="F212" s="447"/>
      <c r="G212" s="652"/>
      <c r="H212" s="148"/>
      <c r="I212" s="148"/>
      <c r="J212" s="148"/>
      <c r="K212" s="451"/>
      <c r="L212" s="451"/>
      <c r="M212" s="650"/>
      <c r="N212" s="650"/>
      <c r="O212" s="650"/>
      <c r="P212" s="650"/>
    </row>
    <row r="213" spans="2:16" s="1" customFormat="1">
      <c r="B213" s="447"/>
      <c r="C213" s="447"/>
      <c r="F213" s="447"/>
      <c r="G213" s="652"/>
      <c r="H213" s="148"/>
      <c r="I213" s="148"/>
      <c r="J213" s="148"/>
      <c r="K213" s="451"/>
      <c r="L213" s="451"/>
      <c r="M213" s="650"/>
      <c r="N213" s="650"/>
      <c r="O213" s="650"/>
      <c r="P213" s="650"/>
    </row>
    <row r="214" spans="2:16" s="1" customFormat="1">
      <c r="B214" s="447"/>
      <c r="C214" s="447"/>
      <c r="F214" s="447"/>
      <c r="G214" s="652"/>
      <c r="H214" s="148"/>
      <c r="I214" s="148"/>
      <c r="J214" s="148"/>
      <c r="K214" s="451"/>
      <c r="L214" s="451"/>
      <c r="M214" s="650"/>
      <c r="N214" s="650"/>
      <c r="O214" s="650"/>
      <c r="P214" s="650"/>
    </row>
    <row r="215" spans="2:16" s="1" customFormat="1">
      <c r="B215" s="447"/>
      <c r="C215" s="447"/>
      <c r="F215" s="447"/>
      <c r="G215" s="652"/>
      <c r="H215" s="148"/>
      <c r="I215" s="148"/>
      <c r="J215" s="148"/>
      <c r="K215" s="451"/>
      <c r="L215" s="451"/>
      <c r="M215" s="650"/>
      <c r="N215" s="650"/>
      <c r="O215" s="650"/>
      <c r="P215" s="650"/>
    </row>
    <row r="216" spans="2:16" s="1" customFormat="1">
      <c r="B216" s="447"/>
      <c r="C216" s="447"/>
      <c r="F216" s="447"/>
      <c r="G216" s="652"/>
      <c r="H216" s="148"/>
      <c r="I216" s="148"/>
      <c r="J216" s="148"/>
      <c r="K216" s="451"/>
      <c r="L216" s="451"/>
      <c r="M216" s="650"/>
      <c r="N216" s="650"/>
      <c r="O216" s="650"/>
      <c r="P216" s="650"/>
    </row>
    <row r="217" spans="2:16" s="1" customFormat="1">
      <c r="B217" s="447"/>
      <c r="C217" s="447"/>
      <c r="F217" s="447"/>
      <c r="G217" s="652"/>
      <c r="H217" s="148"/>
      <c r="I217" s="148"/>
      <c r="J217" s="148"/>
      <c r="K217" s="451"/>
      <c r="L217" s="451"/>
      <c r="M217" s="650"/>
      <c r="N217" s="650"/>
      <c r="O217" s="650"/>
      <c r="P217" s="650"/>
    </row>
    <row r="218" spans="2:16" s="1" customFormat="1">
      <c r="B218" s="447"/>
      <c r="C218" s="447"/>
      <c r="F218" s="447"/>
      <c r="G218" s="652"/>
      <c r="H218" s="148"/>
      <c r="I218" s="148"/>
      <c r="J218" s="148"/>
      <c r="K218" s="451"/>
      <c r="L218" s="451"/>
      <c r="M218" s="650"/>
      <c r="N218" s="650"/>
      <c r="O218" s="650"/>
      <c r="P218" s="650"/>
    </row>
    <row r="219" spans="2:16" s="1" customFormat="1">
      <c r="B219" s="447"/>
      <c r="C219" s="447"/>
      <c r="F219" s="447"/>
      <c r="G219" s="652"/>
      <c r="H219" s="148"/>
      <c r="I219" s="148"/>
      <c r="J219" s="148"/>
      <c r="K219" s="451"/>
      <c r="L219" s="451"/>
      <c r="M219" s="650"/>
      <c r="N219" s="650"/>
      <c r="O219" s="650"/>
      <c r="P219" s="650"/>
    </row>
    <row r="220" spans="2:16" s="1" customFormat="1">
      <c r="B220" s="447"/>
      <c r="C220" s="447"/>
      <c r="F220" s="447"/>
      <c r="G220" s="652"/>
      <c r="H220" s="148"/>
      <c r="I220" s="148"/>
      <c r="J220" s="148"/>
      <c r="K220" s="451"/>
      <c r="L220" s="451"/>
      <c r="M220" s="650"/>
      <c r="N220" s="650"/>
      <c r="O220" s="650"/>
      <c r="P220" s="650"/>
    </row>
    <row r="221" spans="2:16" s="1" customFormat="1">
      <c r="B221" s="447"/>
      <c r="C221" s="447"/>
      <c r="F221" s="447"/>
      <c r="G221" s="652"/>
      <c r="H221" s="148"/>
      <c r="I221" s="148"/>
      <c r="J221" s="148"/>
      <c r="K221" s="451"/>
      <c r="L221" s="451"/>
      <c r="M221" s="650"/>
      <c r="N221" s="650"/>
      <c r="O221" s="650"/>
      <c r="P221" s="650"/>
    </row>
    <row r="222" spans="2:16" s="1" customFormat="1">
      <c r="B222" s="447"/>
      <c r="C222" s="447"/>
      <c r="F222" s="447"/>
      <c r="G222" s="652"/>
      <c r="H222" s="148"/>
      <c r="I222" s="148"/>
      <c r="J222" s="148"/>
      <c r="K222" s="451"/>
      <c r="L222" s="451"/>
      <c r="M222" s="650"/>
      <c r="N222" s="650"/>
      <c r="O222" s="650"/>
      <c r="P222" s="650"/>
    </row>
    <row r="223" spans="2:16" s="1" customFormat="1">
      <c r="B223" s="447"/>
      <c r="C223" s="447"/>
      <c r="F223" s="447"/>
      <c r="G223" s="652"/>
      <c r="H223" s="148"/>
      <c r="I223" s="148"/>
      <c r="J223" s="148"/>
      <c r="K223" s="451"/>
      <c r="L223" s="451"/>
      <c r="M223" s="650"/>
      <c r="N223" s="650"/>
      <c r="O223" s="650"/>
      <c r="P223" s="650"/>
    </row>
    <row r="224" spans="2:16" s="1" customFormat="1">
      <c r="B224" s="447"/>
      <c r="C224" s="447"/>
      <c r="F224" s="447"/>
      <c r="G224" s="652"/>
      <c r="H224" s="148"/>
      <c r="I224" s="148"/>
      <c r="J224" s="148"/>
      <c r="K224" s="451"/>
      <c r="L224" s="451"/>
      <c r="M224" s="650"/>
      <c r="N224" s="650"/>
      <c r="O224" s="650"/>
      <c r="P224" s="650"/>
    </row>
    <row r="225" spans="2:16" s="1" customFormat="1">
      <c r="B225" s="447"/>
      <c r="C225" s="447"/>
      <c r="F225" s="447"/>
      <c r="G225" s="652"/>
      <c r="H225" s="148"/>
      <c r="I225" s="148"/>
      <c r="J225" s="148"/>
      <c r="K225" s="451"/>
      <c r="L225" s="451"/>
      <c r="M225" s="650"/>
      <c r="N225" s="650"/>
      <c r="O225" s="650"/>
      <c r="P225" s="650"/>
    </row>
    <row r="226" spans="2:16" s="1" customFormat="1">
      <c r="B226" s="447"/>
      <c r="C226" s="447"/>
      <c r="F226" s="447"/>
      <c r="G226" s="652"/>
      <c r="H226" s="148"/>
      <c r="I226" s="148"/>
      <c r="J226" s="148"/>
      <c r="K226" s="451"/>
      <c r="L226" s="451"/>
      <c r="M226" s="650"/>
      <c r="N226" s="650"/>
      <c r="O226" s="650"/>
      <c r="P226" s="650"/>
    </row>
    <row r="227" spans="2:16" s="1" customFormat="1">
      <c r="B227" s="447"/>
      <c r="C227" s="447"/>
      <c r="F227" s="447"/>
      <c r="G227" s="652"/>
      <c r="H227" s="148"/>
      <c r="I227" s="148"/>
      <c r="J227" s="148"/>
      <c r="K227" s="451"/>
      <c r="L227" s="451"/>
      <c r="M227" s="650"/>
      <c r="N227" s="650"/>
      <c r="O227" s="650"/>
      <c r="P227" s="650"/>
    </row>
    <row r="228" spans="2:16" s="1" customFormat="1">
      <c r="B228" s="447"/>
      <c r="C228" s="447"/>
      <c r="F228" s="447"/>
      <c r="G228" s="652"/>
      <c r="H228" s="148"/>
      <c r="I228" s="148"/>
      <c r="J228" s="148"/>
      <c r="K228" s="451"/>
      <c r="L228" s="451"/>
      <c r="M228" s="650"/>
      <c r="N228" s="650"/>
      <c r="O228" s="650"/>
      <c r="P228" s="650"/>
    </row>
    <row r="229" spans="2:16" s="1" customFormat="1">
      <c r="B229" s="447"/>
      <c r="C229" s="447"/>
      <c r="F229" s="447"/>
      <c r="G229" s="652"/>
      <c r="H229" s="148"/>
      <c r="I229" s="148"/>
      <c r="J229" s="148"/>
      <c r="K229" s="451"/>
      <c r="L229" s="451"/>
      <c r="M229" s="650"/>
      <c r="N229" s="650"/>
      <c r="O229" s="650"/>
      <c r="P229" s="650"/>
    </row>
  </sheetData>
  <mergeCells count="152">
    <mergeCell ref="A48:A73"/>
    <mergeCell ref="J56:J59"/>
    <mergeCell ref="D146:G146"/>
    <mergeCell ref="A120:A137"/>
    <mergeCell ref="D134:G134"/>
    <mergeCell ref="D135:H135"/>
    <mergeCell ref="B152:B160"/>
    <mergeCell ref="E150:E151"/>
    <mergeCell ref="A138:A139"/>
    <mergeCell ref="B140:B149"/>
    <mergeCell ref="D127:H127"/>
    <mergeCell ref="B120:B127"/>
    <mergeCell ref="D147:H147"/>
    <mergeCell ref="A118:A119"/>
    <mergeCell ref="D136:H136"/>
    <mergeCell ref="D157:G157"/>
    <mergeCell ref="D158:H158"/>
    <mergeCell ref="D159:H159"/>
    <mergeCell ref="A96:A97"/>
    <mergeCell ref="B96:B97"/>
    <mergeCell ref="D96:D97"/>
    <mergeCell ref="A98:A117"/>
    <mergeCell ref="A140:A160"/>
    <mergeCell ref="D117:H117"/>
    <mergeCell ref="A1:I3"/>
    <mergeCell ref="B4:J4"/>
    <mergeCell ref="A5:B5"/>
    <mergeCell ref="D5:E5"/>
    <mergeCell ref="H5:J5"/>
    <mergeCell ref="B74:B75"/>
    <mergeCell ref="D74:D75"/>
    <mergeCell ref="E74:E75"/>
    <mergeCell ref="F74:G74"/>
    <mergeCell ref="F22:G22"/>
    <mergeCell ref="D43:H43"/>
    <mergeCell ref="D44:H44"/>
    <mergeCell ref="D73:H73"/>
    <mergeCell ref="D56:G56"/>
    <mergeCell ref="H22:J22"/>
    <mergeCell ref="B24:B37"/>
    <mergeCell ref="D34:G34"/>
    <mergeCell ref="J34:J37"/>
    <mergeCell ref="D35:H35"/>
    <mergeCell ref="D37:H37"/>
    <mergeCell ref="D45:H45"/>
    <mergeCell ref="B48:B59"/>
    <mergeCell ref="D57:H57"/>
    <mergeCell ref="D58:H58"/>
    <mergeCell ref="B6:J6"/>
    <mergeCell ref="E7:E8"/>
    <mergeCell ref="F7:G7"/>
    <mergeCell ref="H7:J7"/>
    <mergeCell ref="A7:A8"/>
    <mergeCell ref="B7:B8"/>
    <mergeCell ref="D85:H85"/>
    <mergeCell ref="B87:B88"/>
    <mergeCell ref="E87:E88"/>
    <mergeCell ref="B76:B86"/>
    <mergeCell ref="D83:G83"/>
    <mergeCell ref="A76:A95"/>
    <mergeCell ref="D87:D88"/>
    <mergeCell ref="B60:B61"/>
    <mergeCell ref="D60:D61"/>
    <mergeCell ref="E60:E61"/>
    <mergeCell ref="F60:G60"/>
    <mergeCell ref="D59:H59"/>
    <mergeCell ref="A74:A75"/>
    <mergeCell ref="H74:J74"/>
    <mergeCell ref="H60:J60"/>
    <mergeCell ref="B62:B73"/>
    <mergeCell ref="D70:G70"/>
    <mergeCell ref="J70:J73"/>
    <mergeCell ref="D18:G18"/>
    <mergeCell ref="J18:J20"/>
    <mergeCell ref="D19:H19"/>
    <mergeCell ref="D20:H20"/>
    <mergeCell ref="D7:D8"/>
    <mergeCell ref="A9:A45"/>
    <mergeCell ref="B9:B20"/>
    <mergeCell ref="H38:J38"/>
    <mergeCell ref="D42:G42"/>
    <mergeCell ref="J42:J45"/>
    <mergeCell ref="D21:H21"/>
    <mergeCell ref="D22:D23"/>
    <mergeCell ref="E22:E23"/>
    <mergeCell ref="A46:A47"/>
    <mergeCell ref="B46:B47"/>
    <mergeCell ref="D46:D47"/>
    <mergeCell ref="E46:E47"/>
    <mergeCell ref="F46:G46"/>
    <mergeCell ref="B38:B39"/>
    <mergeCell ref="D38:D39"/>
    <mergeCell ref="E38:E39"/>
    <mergeCell ref="F38:G38"/>
    <mergeCell ref="B40:B45"/>
    <mergeCell ref="B118:B119"/>
    <mergeCell ref="H118:J118"/>
    <mergeCell ref="D118:D119"/>
    <mergeCell ref="J114:J117"/>
    <mergeCell ref="B98:B117"/>
    <mergeCell ref="F118:G118"/>
    <mergeCell ref="E118:E119"/>
    <mergeCell ref="B22:B23"/>
    <mergeCell ref="D36:H36"/>
    <mergeCell ref="B89:B95"/>
    <mergeCell ref="D92:G92"/>
    <mergeCell ref="J92:J95"/>
    <mergeCell ref="D93:H93"/>
    <mergeCell ref="D94:H94"/>
    <mergeCell ref="H46:J46"/>
    <mergeCell ref="J83:J86"/>
    <mergeCell ref="D84:H84"/>
    <mergeCell ref="D115:H115"/>
    <mergeCell ref="D71:H71"/>
    <mergeCell ref="D72:H72"/>
    <mergeCell ref="D116:H116"/>
    <mergeCell ref="F87:G87"/>
    <mergeCell ref="H87:J87"/>
    <mergeCell ref="D86:H86"/>
    <mergeCell ref="D95:H95"/>
    <mergeCell ref="J134:J137"/>
    <mergeCell ref="E96:E97"/>
    <mergeCell ref="F96:G96"/>
    <mergeCell ref="H96:J96"/>
    <mergeCell ref="J146:J149"/>
    <mergeCell ref="H128:J128"/>
    <mergeCell ref="H138:J138"/>
    <mergeCell ref="E128:E129"/>
    <mergeCell ref="F128:G128"/>
    <mergeCell ref="D148:H148"/>
    <mergeCell ref="D128:D129"/>
    <mergeCell ref="E138:E139"/>
    <mergeCell ref="F138:G138"/>
    <mergeCell ref="J124:J127"/>
    <mergeCell ref="D114:G114"/>
    <mergeCell ref="D124:G124"/>
    <mergeCell ref="D125:H125"/>
    <mergeCell ref="D126:H126"/>
    <mergeCell ref="D160:H160"/>
    <mergeCell ref="A164:H164"/>
    <mergeCell ref="B128:B129"/>
    <mergeCell ref="B150:B151"/>
    <mergeCell ref="F150:G150"/>
    <mergeCell ref="B130:B137"/>
    <mergeCell ref="A163:H163"/>
    <mergeCell ref="A161:H161"/>
    <mergeCell ref="A162:H162"/>
    <mergeCell ref="B138:B139"/>
    <mergeCell ref="D137:H137"/>
    <mergeCell ref="D149:H149"/>
    <mergeCell ref="H150:J150"/>
    <mergeCell ref="J161:J164"/>
  </mergeCells>
  <pageMargins left="0.19685039370078741" right="0.19685039370078741" top="0.74803149606299213" bottom="0.74803149606299213" header="0.31496062992125984" footer="0.31496062992125984"/>
  <pageSetup scale="47" fitToWidth="0" orientation="landscape" verticalDpi="597" r:id="rId1"/>
  <headerFooter alignWithMargins="0"/>
  <rowBreaks count="6" manualBreakCount="6">
    <brk id="21" max="16383" man="1"/>
    <brk id="45" max="16" man="1"/>
    <brk id="73" max="16383" man="1"/>
    <brk id="95" max="16383" man="1"/>
    <brk id="117" max="16383" man="1"/>
    <brk id="137"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242"/>
  <sheetViews>
    <sheetView topLeftCell="A163" zoomScale="71" zoomScaleNormal="71" workbookViewId="0">
      <selection activeCell="I188" sqref="I188"/>
    </sheetView>
  </sheetViews>
  <sheetFormatPr baseColWidth="10" defaultRowHeight="14.25"/>
  <cols>
    <col min="1" max="1" width="22.28515625" style="446" customWidth="1"/>
    <col min="2" max="2" width="26.42578125" style="447" customWidth="1"/>
    <col min="3" max="3" width="29" style="447" hidden="1" customWidth="1"/>
    <col min="4" max="4" width="66.5703125" style="446" customWidth="1"/>
    <col min="5" max="5" width="18.42578125" style="446" customWidth="1"/>
    <col min="6" max="6" width="21" style="147" customWidth="1"/>
    <col min="7" max="7" width="17.5703125" style="715" customWidth="1"/>
    <col min="8" max="8" width="24.140625" style="148" customWidth="1"/>
    <col min="9" max="9" width="25.140625" style="149" customWidth="1"/>
    <col min="10" max="10" width="26.85546875" style="149" customWidth="1"/>
    <col min="11" max="11" width="18.42578125" style="445" hidden="1" customWidth="1"/>
    <col min="12" max="12" width="17" style="445" hidden="1" customWidth="1"/>
    <col min="13" max="14" width="14.42578125" style="134" hidden="1" customWidth="1"/>
    <col min="15" max="15" width="14.42578125" style="135" hidden="1" customWidth="1"/>
    <col min="16" max="16" width="14.42578125" style="130" hidden="1" customWidth="1"/>
    <col min="17" max="17" width="13" style="1" hidden="1" customWidth="1"/>
    <col min="18" max="18" width="27.7109375" style="1" hidden="1" customWidth="1"/>
    <col min="19" max="19" width="30" style="451" customWidth="1"/>
    <col min="20" max="20" width="29.7109375" style="723" customWidth="1"/>
    <col min="21" max="16384" width="11.42578125" style="446"/>
  </cols>
  <sheetData>
    <row r="1" spans="1:37" s="440" customFormat="1" ht="34.5" customHeight="1">
      <c r="A1" s="890" t="s">
        <v>542</v>
      </c>
      <c r="B1" s="886"/>
      <c r="C1" s="886"/>
      <c r="D1" s="886"/>
      <c r="E1" s="886"/>
      <c r="F1" s="886"/>
      <c r="G1" s="886"/>
      <c r="H1" s="886"/>
      <c r="I1" s="886"/>
      <c r="J1" s="438" t="s">
        <v>300</v>
      </c>
      <c r="K1" s="439"/>
      <c r="L1" s="439"/>
      <c r="M1" s="127"/>
      <c r="N1" s="127"/>
      <c r="O1" s="128"/>
      <c r="P1" s="129"/>
      <c r="Q1" s="481"/>
      <c r="R1" s="481"/>
      <c r="S1" s="734"/>
      <c r="T1" s="720"/>
    </row>
    <row r="2" spans="1:37" s="440" customFormat="1" ht="28.5" customHeight="1">
      <c r="A2" s="878"/>
      <c r="B2" s="848"/>
      <c r="C2" s="848"/>
      <c r="D2" s="848"/>
      <c r="E2" s="848"/>
      <c r="F2" s="848"/>
      <c r="G2" s="848"/>
      <c r="H2" s="848"/>
      <c r="I2" s="848"/>
      <c r="J2" s="441" t="s">
        <v>301</v>
      </c>
      <c r="K2" s="439"/>
      <c r="L2" s="439"/>
      <c r="M2" s="127"/>
      <c r="N2" s="127"/>
      <c r="O2" s="128"/>
      <c r="P2" s="129"/>
      <c r="Q2" s="481"/>
      <c r="R2" s="481"/>
      <c r="S2" s="734"/>
      <c r="T2" s="720"/>
    </row>
    <row r="3" spans="1:37" s="440" customFormat="1" ht="25.5" customHeight="1" thickBot="1">
      <c r="A3" s="878"/>
      <c r="B3" s="848"/>
      <c r="C3" s="848"/>
      <c r="D3" s="848"/>
      <c r="E3" s="848"/>
      <c r="F3" s="848"/>
      <c r="G3" s="848"/>
      <c r="H3" s="848"/>
      <c r="I3" s="848"/>
      <c r="J3" s="442" t="s">
        <v>302</v>
      </c>
      <c r="K3" s="439"/>
      <c r="L3" s="439"/>
      <c r="M3" s="127"/>
      <c r="N3" s="127"/>
      <c r="O3" s="128"/>
      <c r="P3" s="129"/>
      <c r="Q3" s="481"/>
      <c r="R3" s="481"/>
      <c r="S3" s="734"/>
      <c r="T3" s="720"/>
    </row>
    <row r="4" spans="1:37" s="440" customFormat="1" ht="8.25" customHeight="1">
      <c r="A4" s="443"/>
      <c r="B4" s="835"/>
      <c r="C4" s="835"/>
      <c r="D4" s="835"/>
      <c r="E4" s="835"/>
      <c r="F4" s="835"/>
      <c r="G4" s="835"/>
      <c r="H4" s="835"/>
      <c r="I4" s="835"/>
      <c r="J4" s="896"/>
      <c r="K4" s="439"/>
      <c r="L4" s="439"/>
      <c r="M4" s="127"/>
      <c r="N4" s="127"/>
      <c r="O4" s="128"/>
      <c r="P4" s="129"/>
      <c r="Q4" s="481"/>
      <c r="R4" s="481"/>
      <c r="S4" s="734"/>
      <c r="T4" s="720"/>
    </row>
    <row r="5" spans="1:37" s="440" customFormat="1" ht="39" customHeight="1">
      <c r="A5" s="878" t="s">
        <v>303</v>
      </c>
      <c r="B5" s="848"/>
      <c r="C5" s="696"/>
      <c r="D5" s="897" t="s">
        <v>574</v>
      </c>
      <c r="E5" s="898"/>
      <c r="F5" s="699"/>
      <c r="G5" s="455" t="s">
        <v>304</v>
      </c>
      <c r="H5" s="835" t="s">
        <v>625</v>
      </c>
      <c r="I5" s="835"/>
      <c r="J5" s="896"/>
      <c r="K5" s="439"/>
      <c r="L5" s="439"/>
      <c r="M5" s="127"/>
      <c r="N5" s="127"/>
      <c r="O5" s="128"/>
      <c r="P5" s="129"/>
      <c r="Q5" s="481"/>
      <c r="R5" s="481"/>
      <c r="S5" s="734"/>
      <c r="T5" s="720"/>
    </row>
    <row r="6" spans="1:37" ht="8.25" customHeight="1" thickBot="1">
      <c r="A6" s="444"/>
      <c r="B6" s="884"/>
      <c r="C6" s="884"/>
      <c r="D6" s="884"/>
      <c r="E6" s="884"/>
      <c r="F6" s="884"/>
      <c r="G6" s="884"/>
      <c r="H6" s="884"/>
      <c r="I6" s="884"/>
      <c r="J6" s="885"/>
      <c r="M6" s="127"/>
      <c r="N6" s="127"/>
      <c r="O6" s="128"/>
      <c r="T6" s="720"/>
      <c r="U6" s="440"/>
      <c r="V6" s="440"/>
      <c r="W6" s="440"/>
      <c r="X6" s="440"/>
      <c r="Y6" s="440"/>
      <c r="Z6" s="440"/>
      <c r="AA6" s="440"/>
      <c r="AB6" s="440"/>
      <c r="AC6" s="440"/>
      <c r="AD6" s="440"/>
      <c r="AE6" s="440"/>
      <c r="AF6" s="440"/>
      <c r="AG6" s="440"/>
      <c r="AH6" s="440"/>
      <c r="AI6" s="440"/>
      <c r="AJ6" s="440"/>
      <c r="AK6" s="440"/>
    </row>
    <row r="7" spans="1:37" s="447" customFormat="1" ht="15.75" customHeight="1">
      <c r="A7" s="890" t="s">
        <v>305</v>
      </c>
      <c r="B7" s="892" t="s">
        <v>306</v>
      </c>
      <c r="C7" s="703"/>
      <c r="D7" s="880" t="s">
        <v>541</v>
      </c>
      <c r="E7" s="886" t="s">
        <v>95</v>
      </c>
      <c r="F7" s="886" t="s">
        <v>308</v>
      </c>
      <c r="G7" s="886"/>
      <c r="H7" s="888" t="s">
        <v>309</v>
      </c>
      <c r="I7" s="888"/>
      <c r="J7" s="889"/>
      <c r="K7" s="2"/>
      <c r="L7" s="2"/>
      <c r="M7" s="127"/>
      <c r="N7" s="127"/>
      <c r="O7" s="128"/>
      <c r="P7" s="37"/>
      <c r="S7" s="2"/>
      <c r="T7" s="720"/>
      <c r="U7" s="440"/>
      <c r="V7" s="440"/>
      <c r="W7" s="440"/>
      <c r="X7" s="440"/>
      <c r="Y7" s="440"/>
      <c r="Z7" s="440"/>
      <c r="AA7" s="440"/>
      <c r="AB7" s="440"/>
      <c r="AC7" s="440"/>
      <c r="AD7" s="440"/>
      <c r="AE7" s="440"/>
      <c r="AF7" s="440"/>
      <c r="AG7" s="440"/>
      <c r="AH7" s="440"/>
      <c r="AI7" s="440"/>
      <c r="AJ7" s="440"/>
      <c r="AK7" s="440"/>
    </row>
    <row r="8" spans="1:37" s="1" customFormat="1" ht="45.75" customHeight="1" thickBot="1">
      <c r="A8" s="891"/>
      <c r="B8" s="893"/>
      <c r="C8" s="704"/>
      <c r="D8" s="881"/>
      <c r="E8" s="887"/>
      <c r="F8" s="448" t="s">
        <v>310</v>
      </c>
      <c r="G8" s="713" t="s">
        <v>311</v>
      </c>
      <c r="H8" s="449" t="s">
        <v>312</v>
      </c>
      <c r="I8" s="449" t="s">
        <v>313</v>
      </c>
      <c r="J8" s="450" t="s">
        <v>314</v>
      </c>
      <c r="K8" s="451"/>
      <c r="L8" s="451"/>
      <c r="M8" s="132" t="s">
        <v>315</v>
      </c>
      <c r="N8" s="132" t="s">
        <v>315</v>
      </c>
      <c r="O8" s="133" t="s">
        <v>316</v>
      </c>
      <c r="P8" s="36" t="s">
        <v>317</v>
      </c>
      <c r="S8" s="451"/>
      <c r="T8" s="720"/>
    </row>
    <row r="9" spans="1:37" s="1" customFormat="1" ht="76.5" customHeight="1">
      <c r="A9" s="882" t="s">
        <v>529</v>
      </c>
      <c r="B9" s="883" t="s">
        <v>538</v>
      </c>
      <c r="C9" s="452"/>
      <c r="D9" s="424" t="s">
        <v>364</v>
      </c>
      <c r="E9" s="547" t="s">
        <v>402</v>
      </c>
      <c r="F9" s="548">
        <f>+'MATRIZ GENERAL CONSOLIDADA'!D7</f>
        <v>25</v>
      </c>
      <c r="G9" s="548">
        <f>+'MATRIZ GENERAL CONSOLIDADA'!F7</f>
        <v>25</v>
      </c>
      <c r="H9" s="425">
        <f>+'MATRIZ GENERAL CONSOLIDADA'!E7</f>
        <v>0</v>
      </c>
      <c r="I9" s="497">
        <f>+'MATRIZ GENERAL CONSOLIDADA'!G7</f>
        <v>0</v>
      </c>
      <c r="J9" s="75">
        <f>+H9-I9</f>
        <v>0</v>
      </c>
      <c r="K9" s="453"/>
      <c r="L9" s="451"/>
      <c r="M9" s="134"/>
      <c r="N9" s="134"/>
      <c r="O9" s="135"/>
      <c r="P9" s="376"/>
      <c r="S9" s="451"/>
      <c r="T9" s="721"/>
    </row>
    <row r="10" spans="1:37" s="1" customFormat="1" ht="48" customHeight="1">
      <c r="A10" s="882"/>
      <c r="B10" s="873"/>
      <c r="C10" s="693"/>
      <c r="D10" s="426" t="s">
        <v>368</v>
      </c>
      <c r="E10" s="547" t="s">
        <v>127</v>
      </c>
      <c r="F10" s="548">
        <f>+'MATRIZ GENERAL CONSOLIDADA'!D8</f>
        <v>2.25</v>
      </c>
      <c r="G10" s="548">
        <f>+'MATRIZ GENERAL CONSOLIDADA'!F8</f>
        <v>2.25</v>
      </c>
      <c r="H10" s="425">
        <f>+'MATRIZ GENERAL CONSOLIDADA'!E8</f>
        <v>834632289</v>
      </c>
      <c r="I10" s="497">
        <f>+'MATRIZ GENERAL CONSOLIDADA'!G8</f>
        <v>834632289</v>
      </c>
      <c r="J10" s="75">
        <f>+H10-I10</f>
        <v>0</v>
      </c>
      <c r="K10" s="453"/>
      <c r="L10" s="451"/>
      <c r="M10" s="134"/>
      <c r="N10" s="134"/>
      <c r="O10" s="135"/>
      <c r="P10" s="376"/>
      <c r="S10" s="451"/>
      <c r="T10" s="721"/>
    </row>
    <row r="11" spans="1:37" s="1" customFormat="1" ht="52.5" customHeight="1">
      <c r="A11" s="882"/>
      <c r="B11" s="873"/>
      <c r="C11" s="693"/>
      <c r="D11" s="427" t="s">
        <v>361</v>
      </c>
      <c r="E11" s="547" t="s">
        <v>402</v>
      </c>
      <c r="F11" s="548">
        <f>+'MATRIZ GENERAL CONSOLIDADA'!D9</f>
        <v>65</v>
      </c>
      <c r="G11" s="548">
        <f>+'MATRIZ GENERAL CONSOLIDADA'!F9</f>
        <v>65</v>
      </c>
      <c r="H11" s="425">
        <f>+'MATRIZ GENERAL CONSOLIDADA'!E9</f>
        <v>0</v>
      </c>
      <c r="I11" s="497">
        <f>+'MATRIZ GENERAL CONSOLIDADA'!G9</f>
        <v>0</v>
      </c>
      <c r="J11" s="75">
        <f t="shared" ref="J11:J13" si="0">+H11-I11</f>
        <v>0</v>
      </c>
      <c r="K11" s="453">
        <v>118606003</v>
      </c>
      <c r="L11" s="451"/>
      <c r="M11" s="134">
        <v>35046</v>
      </c>
      <c r="N11" s="134">
        <v>255412</v>
      </c>
      <c r="O11" s="135">
        <v>615140</v>
      </c>
      <c r="P11" s="376"/>
      <c r="Q11" s="1">
        <v>0</v>
      </c>
      <c r="R11" s="451"/>
      <c r="S11" s="451"/>
      <c r="T11" s="721"/>
    </row>
    <row r="12" spans="1:37" s="1" customFormat="1" ht="47.25" customHeight="1">
      <c r="A12" s="882"/>
      <c r="B12" s="873"/>
      <c r="C12" s="693"/>
      <c r="D12" s="428" t="s">
        <v>361</v>
      </c>
      <c r="E12" s="547" t="s">
        <v>132</v>
      </c>
      <c r="F12" s="548">
        <f>+'MATRIZ GENERAL CONSOLIDADA'!D10</f>
        <v>10</v>
      </c>
      <c r="G12" s="548">
        <f>+'MATRIZ GENERAL CONSOLIDADA'!F10</f>
        <v>10</v>
      </c>
      <c r="H12" s="425">
        <f>+'MATRIZ GENERAL CONSOLIDADA'!E10</f>
        <v>1547556715</v>
      </c>
      <c r="I12" s="497">
        <f>+'MATRIZ GENERAL CONSOLIDADA'!G10</f>
        <v>1547556715</v>
      </c>
      <c r="J12" s="75">
        <f t="shared" si="0"/>
        <v>0</v>
      </c>
      <c r="K12" s="453">
        <v>304866161</v>
      </c>
      <c r="L12" s="451"/>
      <c r="M12" s="134">
        <v>79222</v>
      </c>
      <c r="N12" s="134"/>
      <c r="O12" s="135">
        <v>165962</v>
      </c>
      <c r="P12" s="376"/>
      <c r="Q12" s="1">
        <v>0</v>
      </c>
      <c r="S12" s="451" t="s">
        <v>552</v>
      </c>
      <c r="T12" s="721"/>
    </row>
    <row r="13" spans="1:37" s="1" customFormat="1" ht="66.75" customHeight="1">
      <c r="A13" s="882"/>
      <c r="B13" s="873"/>
      <c r="C13" s="693"/>
      <c r="D13" s="429" t="s">
        <v>366</v>
      </c>
      <c r="E13" s="547" t="s">
        <v>1</v>
      </c>
      <c r="F13" s="548">
        <f>+'MATRIZ GENERAL CONSOLIDADA'!D11</f>
        <v>100</v>
      </c>
      <c r="G13" s="548">
        <f>+'MATRIZ GENERAL CONSOLIDADA'!F11</f>
        <v>92.75</v>
      </c>
      <c r="H13" s="425">
        <f>+'MATRIZ GENERAL CONSOLIDADA'!E11</f>
        <v>0</v>
      </c>
      <c r="I13" s="497">
        <f>+'MATRIZ GENERAL CONSOLIDADA'!G11</f>
        <v>0</v>
      </c>
      <c r="J13" s="75">
        <f t="shared" si="0"/>
        <v>0</v>
      </c>
      <c r="K13" s="453">
        <v>423472164</v>
      </c>
      <c r="L13" s="451"/>
      <c r="M13" s="134">
        <v>255412</v>
      </c>
      <c r="N13" s="134"/>
      <c r="O13" s="135">
        <v>489303</v>
      </c>
      <c r="P13" s="376"/>
      <c r="S13" s="451"/>
      <c r="T13" s="721"/>
    </row>
    <row r="14" spans="1:37" s="1" customFormat="1" ht="64.5" customHeight="1">
      <c r="A14" s="882"/>
      <c r="B14" s="873"/>
      <c r="C14" s="693"/>
      <c r="D14" s="426" t="s">
        <v>365</v>
      </c>
      <c r="E14" s="547" t="s">
        <v>132</v>
      </c>
      <c r="F14" s="548">
        <f>+'MATRIZ GENERAL CONSOLIDADA'!D12</f>
        <v>3</v>
      </c>
      <c r="G14" s="588">
        <f>+'MATRIZ GENERAL CONSOLIDADA'!F12</f>
        <v>2.8</v>
      </c>
      <c r="H14" s="425">
        <f>+'MATRIZ GENERAL CONSOLIDADA'!E12</f>
        <v>4101907065</v>
      </c>
      <c r="I14" s="497">
        <f>+'MATRIZ GENERAL CONSOLIDADA'!G12</f>
        <v>4101182466.1079998</v>
      </c>
      <c r="J14" s="75">
        <f>+H14-I14</f>
        <v>724598.89200019836</v>
      </c>
      <c r="K14" s="454" t="s">
        <v>318</v>
      </c>
      <c r="L14" s="451"/>
      <c r="M14" s="134">
        <v>85137</v>
      </c>
      <c r="N14" s="134"/>
      <c r="O14" s="135">
        <v>341394</v>
      </c>
      <c r="P14" s="376"/>
      <c r="S14" s="451"/>
      <c r="T14" s="721"/>
    </row>
    <row r="15" spans="1:37" s="1" customFormat="1" ht="64.5" customHeight="1">
      <c r="A15" s="882"/>
      <c r="B15" s="873"/>
      <c r="C15" s="692"/>
      <c r="D15" s="710" t="s">
        <v>367</v>
      </c>
      <c r="E15" s="711" t="s">
        <v>1</v>
      </c>
      <c r="F15" s="548">
        <f>+'MATRIZ GENERAL CONSOLIDADA'!D13</f>
        <v>100</v>
      </c>
      <c r="G15" s="548">
        <f>+'MATRIZ GENERAL CONSOLIDADA'!F13</f>
        <v>100</v>
      </c>
      <c r="H15" s="425">
        <f>+'MATRIZ GENERAL CONSOLIDADA'!E13</f>
        <v>0</v>
      </c>
      <c r="I15" s="497">
        <f>+'MATRIZ GENERAL CONSOLIDADA'!G13</f>
        <v>0</v>
      </c>
      <c r="J15" s="75"/>
      <c r="K15" s="454"/>
      <c r="L15" s="451"/>
      <c r="M15" s="134"/>
      <c r="N15" s="134"/>
      <c r="O15" s="135"/>
      <c r="P15" s="376"/>
      <c r="S15" s="451"/>
      <c r="T15" s="721"/>
    </row>
    <row r="16" spans="1:37" s="1" customFormat="1" ht="64.5" customHeight="1">
      <c r="A16" s="882"/>
      <c r="B16" s="873"/>
      <c r="C16" s="692"/>
      <c r="D16" s="716" t="s">
        <v>369</v>
      </c>
      <c r="E16" s="717" t="s">
        <v>378</v>
      </c>
      <c r="F16" s="548">
        <f>+'MATRIZ GENERAL CONSOLIDADA'!D14</f>
        <v>6</v>
      </c>
      <c r="G16" s="548">
        <f>+'MATRIZ GENERAL CONSOLIDADA'!F14</f>
        <v>6</v>
      </c>
      <c r="H16" s="425">
        <f>+'MATRIZ GENERAL CONSOLIDADA'!E14</f>
        <v>166990717</v>
      </c>
      <c r="I16" s="497">
        <f>+'MATRIZ GENERAL CONSOLIDADA'!G14</f>
        <v>166990717</v>
      </c>
      <c r="J16" s="75"/>
      <c r="K16" s="454"/>
      <c r="L16" s="451"/>
      <c r="M16" s="134"/>
      <c r="N16" s="134"/>
      <c r="O16" s="135"/>
      <c r="P16" s="376"/>
      <c r="S16" s="451"/>
      <c r="T16" s="721"/>
    </row>
    <row r="17" spans="1:20" s="1" customFormat="1" ht="48" customHeight="1">
      <c r="A17" s="882"/>
      <c r="B17" s="873"/>
      <c r="C17" s="692"/>
      <c r="D17" s="395" t="s">
        <v>363</v>
      </c>
      <c r="E17" s="547" t="s">
        <v>377</v>
      </c>
      <c r="F17" s="548">
        <f>+'MATRIZ GENERAL CONSOLIDADA'!D15</f>
        <v>1</v>
      </c>
      <c r="G17" s="548">
        <f>+'MATRIZ GENERAL CONSOLIDADA'!F15</f>
        <v>1</v>
      </c>
      <c r="H17" s="425">
        <f>+'MATRIZ GENERAL CONSOLIDADA'!E15</f>
        <v>782754904</v>
      </c>
      <c r="I17" s="497">
        <f>+'MATRIZ GENERAL CONSOLIDADA'!G15</f>
        <v>782742904</v>
      </c>
      <c r="J17" s="75">
        <f t="shared" ref="J17:J19" si="1">+H17-I17</f>
        <v>12000</v>
      </c>
      <c r="K17" s="453"/>
      <c r="L17" s="451"/>
      <c r="M17" s="134"/>
      <c r="N17" s="134"/>
      <c r="O17" s="135"/>
      <c r="P17" s="376"/>
      <c r="S17" s="451"/>
      <c r="T17" s="721"/>
    </row>
    <row r="18" spans="1:20" s="1" customFormat="1" ht="48" customHeight="1">
      <c r="A18" s="882"/>
      <c r="B18" s="873"/>
      <c r="C18" s="692"/>
      <c r="D18" s="395" t="s">
        <v>587</v>
      </c>
      <c r="E18" s="547" t="s">
        <v>492</v>
      </c>
      <c r="F18" s="548">
        <f>+'MATRIZ GENERAL CONSOLIDADA'!D16</f>
        <v>37</v>
      </c>
      <c r="G18" s="548">
        <f>+'MATRIZ GENERAL CONSOLIDADA'!F16</f>
        <v>37</v>
      </c>
      <c r="H18" s="425">
        <f>+'MATRIZ GENERAL CONSOLIDADA'!E16</f>
        <v>3442998455</v>
      </c>
      <c r="I18" s="497">
        <f>+'MATRIZ GENERAL CONSOLIDADA'!G16</f>
        <v>3415001729.744</v>
      </c>
      <c r="J18" s="75">
        <f t="shared" si="1"/>
        <v>27996725.256000042</v>
      </c>
      <c r="K18" s="453"/>
      <c r="L18" s="451"/>
      <c r="M18" s="134"/>
      <c r="N18" s="134"/>
      <c r="O18" s="135"/>
      <c r="P18" s="376"/>
      <c r="S18" s="451"/>
      <c r="T18" s="721"/>
    </row>
    <row r="19" spans="1:20" s="1" customFormat="1" ht="47.25" customHeight="1">
      <c r="A19" s="882"/>
      <c r="B19" s="873"/>
      <c r="C19" s="692"/>
      <c r="D19" s="395" t="s">
        <v>371</v>
      </c>
      <c r="E19" s="547" t="s">
        <v>372</v>
      </c>
      <c r="F19" s="548">
        <f>+'MATRIZ GENERAL CONSOLIDADA'!D17</f>
        <v>13</v>
      </c>
      <c r="G19" s="588">
        <f>+'MATRIZ GENERAL CONSOLIDADA'!F17</f>
        <v>13</v>
      </c>
      <c r="H19" s="425">
        <f>+'MATRIZ GENERAL CONSOLIDADA'!E17</f>
        <v>566249899</v>
      </c>
      <c r="I19" s="497">
        <f>+'MATRIZ GENERAL CONSOLIDADA'!G17</f>
        <v>566232499.74399996</v>
      </c>
      <c r="J19" s="75">
        <f t="shared" si="1"/>
        <v>17399.256000041962</v>
      </c>
      <c r="K19" s="453"/>
      <c r="L19" s="451"/>
      <c r="M19" s="134"/>
      <c r="N19" s="134"/>
      <c r="O19" s="135"/>
      <c r="P19" s="376"/>
      <c r="R19" s="574"/>
      <c r="S19" s="451"/>
      <c r="T19" s="721"/>
    </row>
    <row r="20" spans="1:20" s="1" customFormat="1" ht="47.25" customHeight="1">
      <c r="A20" s="882"/>
      <c r="B20" s="873"/>
      <c r="C20" s="692"/>
      <c r="D20" s="712" t="s">
        <v>373</v>
      </c>
      <c r="E20" s="238" t="s">
        <v>192</v>
      </c>
      <c r="F20" s="548">
        <f>+'MATRIZ GENERAL CONSOLIDADA'!D18</f>
        <v>2</v>
      </c>
      <c r="G20" s="548">
        <f>+'MATRIZ GENERAL CONSOLIDADA'!F18</f>
        <v>2</v>
      </c>
      <c r="H20" s="425">
        <f>+'MATRIZ GENERAL CONSOLIDADA'!E18</f>
        <v>943436310</v>
      </c>
      <c r="I20" s="497">
        <f>+'MATRIZ GENERAL CONSOLIDADA'!G18</f>
        <v>943436310</v>
      </c>
      <c r="J20" s="75"/>
      <c r="K20" s="453"/>
      <c r="L20" s="451"/>
      <c r="M20" s="134"/>
      <c r="N20" s="134"/>
      <c r="O20" s="135"/>
      <c r="P20" s="376"/>
      <c r="R20" s="574"/>
      <c r="S20" s="451"/>
      <c r="T20" s="721"/>
    </row>
    <row r="21" spans="1:20" s="1" customFormat="1" ht="18" customHeight="1">
      <c r="A21" s="882"/>
      <c r="B21" s="873"/>
      <c r="C21" s="693"/>
      <c r="D21" s="872" t="s">
        <v>319</v>
      </c>
      <c r="E21" s="872"/>
      <c r="F21" s="872"/>
      <c r="G21" s="872"/>
      <c r="H21" s="458">
        <f>SUM(H9:H20)</f>
        <v>12386526354</v>
      </c>
      <c r="I21" s="432"/>
      <c r="J21" s="867">
        <f>+H21-I22</f>
        <v>28750723.404001236</v>
      </c>
      <c r="K21" s="136" t="e">
        <v>#REF!</v>
      </c>
      <c r="L21" s="451"/>
      <c r="M21" s="134">
        <v>210274</v>
      </c>
      <c r="N21" s="134"/>
      <c r="O21" s="135"/>
      <c r="P21" s="130"/>
      <c r="S21" s="451"/>
      <c r="T21" s="721"/>
    </row>
    <row r="22" spans="1:20" s="1" customFormat="1" ht="18" customHeight="1">
      <c r="A22" s="882"/>
      <c r="B22" s="873"/>
      <c r="C22" s="693"/>
      <c r="D22" s="872" t="s">
        <v>320</v>
      </c>
      <c r="E22" s="872"/>
      <c r="F22" s="872"/>
      <c r="G22" s="872"/>
      <c r="H22" s="872"/>
      <c r="I22" s="433">
        <f>SUM(I9:I21)</f>
        <v>12357775630.595999</v>
      </c>
      <c r="J22" s="879"/>
      <c r="K22" s="136">
        <v>11</v>
      </c>
      <c r="L22" s="451"/>
      <c r="M22" s="134">
        <v>105137</v>
      </c>
      <c r="N22" s="134"/>
      <c r="O22" s="135"/>
      <c r="P22" s="130"/>
      <c r="S22" s="451"/>
      <c r="T22" s="721"/>
    </row>
    <row r="23" spans="1:20" s="1" customFormat="1" ht="18.75" customHeight="1">
      <c r="A23" s="882"/>
      <c r="B23" s="873"/>
      <c r="C23" s="693"/>
      <c r="D23" s="872" t="s">
        <v>321</v>
      </c>
      <c r="E23" s="872"/>
      <c r="F23" s="872"/>
      <c r="G23" s="872"/>
      <c r="H23" s="872"/>
      <c r="I23" s="513">
        <f>+'Anexo 1 Matriz SINA Inf Gestión'!R6/100</f>
        <v>0.99767887117160048</v>
      </c>
      <c r="J23" s="879"/>
      <c r="K23" s="451"/>
      <c r="L23" s="451"/>
      <c r="M23" s="137"/>
      <c r="N23" s="137">
        <v>1025640</v>
      </c>
      <c r="O23" s="135"/>
      <c r="P23" s="130"/>
      <c r="S23" s="451"/>
      <c r="T23" s="721"/>
    </row>
    <row r="24" spans="1:20" s="1" customFormat="1" ht="18.75" customHeight="1">
      <c r="A24" s="882"/>
      <c r="B24" s="693"/>
      <c r="C24" s="693"/>
      <c r="D24" s="841" t="s">
        <v>528</v>
      </c>
      <c r="E24" s="842"/>
      <c r="F24" s="842"/>
      <c r="G24" s="842"/>
      <c r="H24" s="843"/>
      <c r="I24" s="513">
        <f>+'Anexo 1 Matriz SINA Inf Gestión'!K6/100</f>
        <v>0.97954701441317771</v>
      </c>
      <c r="J24" s="702"/>
      <c r="K24" s="451"/>
      <c r="L24" s="451"/>
      <c r="M24" s="137"/>
      <c r="N24" s="137"/>
      <c r="O24" s="135"/>
      <c r="P24" s="130"/>
      <c r="S24" s="451"/>
      <c r="T24" s="721"/>
    </row>
    <row r="25" spans="1:20" s="1" customFormat="1" ht="24" customHeight="1">
      <c r="A25" s="882"/>
      <c r="B25" s="847" t="s">
        <v>306</v>
      </c>
      <c r="C25" s="697"/>
      <c r="D25" s="868" t="s">
        <v>541</v>
      </c>
      <c r="E25" s="848" t="s">
        <v>95</v>
      </c>
      <c r="F25" s="848" t="s">
        <v>308</v>
      </c>
      <c r="G25" s="848"/>
      <c r="H25" s="862" t="s">
        <v>309</v>
      </c>
      <c r="I25" s="862"/>
      <c r="J25" s="863"/>
      <c r="K25" s="451"/>
      <c r="L25" s="451"/>
      <c r="M25" s="137"/>
      <c r="N25" s="137"/>
      <c r="O25" s="135"/>
      <c r="P25" s="130"/>
      <c r="S25" s="451"/>
      <c r="T25" s="721"/>
    </row>
    <row r="26" spans="1:20" s="1" customFormat="1" ht="45" customHeight="1">
      <c r="A26" s="882"/>
      <c r="B26" s="847"/>
      <c r="C26" s="697"/>
      <c r="D26" s="869"/>
      <c r="E26" s="848"/>
      <c r="F26" s="455" t="s">
        <v>310</v>
      </c>
      <c r="G26" s="455" t="s">
        <v>311</v>
      </c>
      <c r="H26" s="456" t="s">
        <v>312</v>
      </c>
      <c r="I26" s="700" t="s">
        <v>313</v>
      </c>
      <c r="J26" s="701" t="s">
        <v>314</v>
      </c>
      <c r="K26" s="451"/>
      <c r="L26" s="451"/>
      <c r="M26" s="137"/>
      <c r="N26" s="137"/>
      <c r="O26" s="135"/>
      <c r="P26" s="130"/>
      <c r="S26" s="451"/>
      <c r="T26" s="721"/>
    </row>
    <row r="27" spans="1:20" s="1" customFormat="1" ht="76.5" customHeight="1">
      <c r="A27" s="882"/>
      <c r="B27" s="873" t="s">
        <v>467</v>
      </c>
      <c r="C27" s="693"/>
      <c r="D27" s="429" t="s">
        <v>484</v>
      </c>
      <c r="E27" s="385" t="s">
        <v>179</v>
      </c>
      <c r="F27" s="386">
        <f>+'MATRIZ GENERAL CONSOLIDADA'!D20</f>
        <v>100</v>
      </c>
      <c r="G27" s="386">
        <f>+'MATRIZ GENERAL CONSOLIDADA'!F20</f>
        <v>100</v>
      </c>
      <c r="H27" s="435">
        <f>+'MATRIZ GENERAL CONSOLIDADA'!E20</f>
        <v>0</v>
      </c>
      <c r="I27" s="435">
        <f>+'MATRIZ GENERAL CONSOLIDADA'!G20</f>
        <v>0</v>
      </c>
      <c r="J27" s="75">
        <f>+H27-I27</f>
        <v>0</v>
      </c>
      <c r="K27" s="451"/>
      <c r="L27" s="451"/>
      <c r="M27" s="137"/>
      <c r="N27" s="137"/>
      <c r="O27" s="135"/>
      <c r="P27" s="130"/>
      <c r="Q27" s="1">
        <v>0</v>
      </c>
      <c r="S27" s="451"/>
      <c r="T27" s="721"/>
    </row>
    <row r="28" spans="1:20" s="1" customFormat="1" ht="75" customHeight="1">
      <c r="A28" s="882"/>
      <c r="B28" s="873"/>
      <c r="C28" s="693"/>
      <c r="D28" s="426" t="s">
        <v>485</v>
      </c>
      <c r="E28" s="390" t="s">
        <v>486</v>
      </c>
      <c r="F28" s="386">
        <f>+'MATRIZ GENERAL CONSOLIDADA'!D21</f>
        <v>5</v>
      </c>
      <c r="G28" s="386">
        <f>+'MATRIZ GENERAL CONSOLIDADA'!F21</f>
        <v>5</v>
      </c>
      <c r="H28" s="435">
        <f>+'MATRIZ GENERAL CONSOLIDADA'!E21</f>
        <v>15044153969.360001</v>
      </c>
      <c r="I28" s="435">
        <f>+'MATRIZ GENERAL CONSOLIDADA'!G21</f>
        <v>14960665796.544001</v>
      </c>
      <c r="J28" s="75">
        <f t="shared" ref="J28:J36" si="2">+H28-I28</f>
        <v>83488172.815999985</v>
      </c>
      <c r="K28" s="451"/>
      <c r="L28" s="451"/>
      <c r="M28" s="137"/>
      <c r="N28" s="137"/>
      <c r="O28" s="135"/>
      <c r="P28" s="376"/>
      <c r="Q28" s="554">
        <v>0</v>
      </c>
      <c r="S28" s="451"/>
      <c r="T28" s="721"/>
    </row>
    <row r="29" spans="1:20" s="1" customFormat="1" ht="75" customHeight="1">
      <c r="A29" s="882"/>
      <c r="B29" s="873"/>
      <c r="C29" s="692"/>
      <c r="D29" s="393" t="s">
        <v>549</v>
      </c>
      <c r="E29" s="390" t="s">
        <v>1</v>
      </c>
      <c r="F29" s="386">
        <f>+'MATRIZ GENERAL CONSOLIDADA'!D22</f>
        <v>100</v>
      </c>
      <c r="G29" s="386">
        <f>+'MATRIZ GENERAL CONSOLIDADA'!F22</f>
        <v>100</v>
      </c>
      <c r="H29" s="435">
        <f>+'MATRIZ GENERAL CONSOLIDADA'!E22</f>
        <v>0</v>
      </c>
      <c r="I29" s="435">
        <f>+'MATRIZ GENERAL CONSOLIDADA'!G22</f>
        <v>0</v>
      </c>
      <c r="J29" s="75">
        <f t="shared" si="2"/>
        <v>0</v>
      </c>
      <c r="K29" s="451"/>
      <c r="L29" s="451"/>
      <c r="M29" s="137"/>
      <c r="N29" s="137"/>
      <c r="O29" s="135"/>
      <c r="P29" s="376"/>
      <c r="S29" s="451"/>
      <c r="T29" s="721"/>
    </row>
    <row r="30" spans="1:20" s="1" customFormat="1" ht="38.25" customHeight="1">
      <c r="A30" s="882"/>
      <c r="B30" s="873"/>
      <c r="C30" s="692"/>
      <c r="D30" s="397" t="s">
        <v>349</v>
      </c>
      <c r="E30" s="398" t="s">
        <v>453</v>
      </c>
      <c r="F30" s="386">
        <f>+'MATRIZ GENERAL CONSOLIDADA'!D23</f>
        <v>400</v>
      </c>
      <c r="G30" s="386">
        <f>+'MATRIZ GENERAL CONSOLIDADA'!F23</f>
        <v>461.7</v>
      </c>
      <c r="H30" s="435">
        <f>+'MATRIZ GENERAL CONSOLIDADA'!E23</f>
        <v>759170561</v>
      </c>
      <c r="I30" s="435">
        <f>+'MATRIZ GENERAL CONSOLIDADA'!G23</f>
        <v>734846432.704</v>
      </c>
      <c r="J30" s="75">
        <f t="shared" si="2"/>
        <v>24324128.296000004</v>
      </c>
      <c r="K30" s="451"/>
      <c r="L30" s="451"/>
      <c r="M30" s="137"/>
      <c r="N30" s="137"/>
      <c r="O30" s="135"/>
      <c r="P30" s="130"/>
      <c r="S30" s="451"/>
      <c r="T30" s="721"/>
    </row>
    <row r="31" spans="1:20" s="1" customFormat="1" ht="53.25" customHeight="1">
      <c r="A31" s="882"/>
      <c r="B31" s="873"/>
      <c r="C31" s="692"/>
      <c r="D31" s="399" t="s">
        <v>525</v>
      </c>
      <c r="E31" s="400" t="s">
        <v>453</v>
      </c>
      <c r="F31" s="386">
        <f>+'MATRIZ GENERAL CONSOLIDADA'!D24</f>
        <v>100</v>
      </c>
      <c r="G31" s="718">
        <f>+'MATRIZ GENERAL CONSOLIDADA'!F24</f>
        <v>117</v>
      </c>
      <c r="H31" s="435">
        <f>+'MATRIZ GENERAL CONSOLIDADA'!E24</f>
        <v>1248578830</v>
      </c>
      <c r="I31" s="435">
        <f>+'MATRIZ GENERAL CONSOLIDADA'!G24</f>
        <v>1217457964.3640001</v>
      </c>
      <c r="J31" s="75">
        <f t="shared" si="2"/>
        <v>31120865.635999918</v>
      </c>
      <c r="K31" s="451"/>
      <c r="L31" s="451"/>
      <c r="M31" s="137"/>
      <c r="N31" s="137"/>
      <c r="O31" s="135"/>
      <c r="P31" s="130"/>
      <c r="S31" s="451"/>
      <c r="T31" s="721"/>
    </row>
    <row r="32" spans="1:20" s="1" customFormat="1" ht="53.25" customHeight="1">
      <c r="A32" s="882"/>
      <c r="B32" s="873"/>
      <c r="C32" s="692"/>
      <c r="D32" s="399" t="s">
        <v>359</v>
      </c>
      <c r="E32" s="549" t="s">
        <v>453</v>
      </c>
      <c r="F32" s="386">
        <f>+'MATRIZ GENERAL CONSOLIDADA'!D25</f>
        <v>489</v>
      </c>
      <c r="G32" s="386">
        <f>+'MATRIZ GENERAL CONSOLIDADA'!F25</f>
        <v>489</v>
      </c>
      <c r="H32" s="435">
        <f>+'MATRIZ GENERAL CONSOLIDADA'!E25</f>
        <v>486929498.00899994</v>
      </c>
      <c r="I32" s="435">
        <f>+'MATRIZ GENERAL CONSOLIDADA'!G25</f>
        <v>486795199.17299998</v>
      </c>
      <c r="J32" s="75">
        <f t="shared" si="2"/>
        <v>134298.83599996567</v>
      </c>
      <c r="K32" s="451"/>
      <c r="L32" s="451"/>
      <c r="M32" s="137"/>
      <c r="N32" s="137"/>
      <c r="O32" s="135"/>
      <c r="P32" s="130"/>
      <c r="S32" s="451"/>
      <c r="T32" s="721"/>
    </row>
    <row r="33" spans="1:20" s="1" customFormat="1" ht="53.25" customHeight="1">
      <c r="A33" s="882"/>
      <c r="B33" s="873"/>
      <c r="C33" s="692"/>
      <c r="D33" s="399" t="s">
        <v>508</v>
      </c>
      <c r="E33" s="549" t="s">
        <v>453</v>
      </c>
      <c r="F33" s="386">
        <f>+'MATRIZ GENERAL CONSOLIDADA'!D26</f>
        <v>4963</v>
      </c>
      <c r="G33" s="718">
        <f>+'MATRIZ GENERAL CONSOLIDADA'!F26</f>
        <v>14307</v>
      </c>
      <c r="H33" s="435">
        <f>+'MATRIZ GENERAL CONSOLIDADA'!E26</f>
        <v>7197815867.3479996</v>
      </c>
      <c r="I33" s="435">
        <f>+'MATRIZ GENERAL CONSOLIDADA'!G26</f>
        <v>6768168316.3479996</v>
      </c>
      <c r="J33" s="75">
        <f t="shared" si="2"/>
        <v>429647551</v>
      </c>
      <c r="K33" s="451"/>
      <c r="L33" s="451"/>
      <c r="M33" s="137"/>
      <c r="N33" s="137"/>
      <c r="O33" s="135"/>
      <c r="P33" s="130"/>
      <c r="S33" s="451"/>
      <c r="T33" s="721"/>
    </row>
    <row r="34" spans="1:20" s="1" customFormat="1" ht="53.25" customHeight="1">
      <c r="A34" s="882"/>
      <c r="B34" s="873"/>
      <c r="C34" s="692"/>
      <c r="D34" s="399" t="s">
        <v>362</v>
      </c>
      <c r="E34" s="401" t="s">
        <v>453</v>
      </c>
      <c r="F34" s="386">
        <f>+'MATRIZ GENERAL CONSOLIDADA'!D27</f>
        <v>14536</v>
      </c>
      <c r="G34" s="386">
        <f>+'MATRIZ GENERAL CONSOLIDADA'!F27</f>
        <v>14536</v>
      </c>
      <c r="H34" s="435">
        <f>+'MATRIZ GENERAL CONSOLIDADA'!E27</f>
        <v>5319436527</v>
      </c>
      <c r="I34" s="435">
        <f>+'MATRIZ GENERAL CONSOLIDADA'!G27</f>
        <v>5308519012.7679996</v>
      </c>
      <c r="J34" s="75">
        <f t="shared" si="2"/>
        <v>10917514.232000351</v>
      </c>
      <c r="K34" s="451"/>
      <c r="L34" s="451"/>
      <c r="M34" s="137"/>
      <c r="N34" s="137"/>
      <c r="O34" s="135"/>
      <c r="P34" s="130"/>
      <c r="S34" s="451"/>
      <c r="T34" s="721"/>
    </row>
    <row r="35" spans="1:20" s="1" customFormat="1" ht="53.25" customHeight="1">
      <c r="A35" s="882"/>
      <c r="B35" s="873"/>
      <c r="C35" s="693"/>
      <c r="D35" s="436" t="s">
        <v>360</v>
      </c>
      <c r="E35" s="401" t="s">
        <v>453</v>
      </c>
      <c r="F35" s="386">
        <f>+'MATRIZ GENERAL CONSOLIDADA'!D28</f>
        <v>1100</v>
      </c>
      <c r="G35" s="718">
        <f>+'MATRIZ GENERAL CONSOLIDADA'!F28</f>
        <v>1941.08</v>
      </c>
      <c r="H35" s="435">
        <f>+'MATRIZ GENERAL CONSOLIDADA'!E28</f>
        <v>1380630506.6040001</v>
      </c>
      <c r="I35" s="435">
        <f>+'MATRIZ GENERAL CONSOLIDADA'!G28</f>
        <v>1380262665.816</v>
      </c>
      <c r="J35" s="75">
        <f t="shared" si="2"/>
        <v>367840.78800010681</v>
      </c>
      <c r="K35" s="451"/>
      <c r="L35" s="451"/>
      <c r="M35" s="137"/>
      <c r="N35" s="137"/>
      <c r="O35" s="135"/>
      <c r="P35" s="130"/>
      <c r="S35" s="451"/>
      <c r="T35" s="721"/>
    </row>
    <row r="36" spans="1:20" s="1" customFormat="1" ht="53.25" customHeight="1">
      <c r="A36" s="882"/>
      <c r="B36" s="873"/>
      <c r="C36" s="692"/>
      <c r="D36" s="395" t="s">
        <v>479</v>
      </c>
      <c r="E36" s="385" t="s">
        <v>454</v>
      </c>
      <c r="F36" s="386">
        <f>+'MATRIZ GENERAL CONSOLIDADA'!D29</f>
        <v>100</v>
      </c>
      <c r="G36" s="386">
        <f>+'MATRIZ GENERAL CONSOLIDADA'!F29</f>
        <v>100</v>
      </c>
      <c r="H36" s="435">
        <f>+'MATRIZ GENERAL CONSOLIDADA'!E29</f>
        <v>0</v>
      </c>
      <c r="I36" s="435">
        <f>+'MATRIZ GENERAL CONSOLIDADA'!G29</f>
        <v>0</v>
      </c>
      <c r="J36" s="75">
        <f t="shared" si="2"/>
        <v>0</v>
      </c>
      <c r="K36" s="451"/>
      <c r="L36" s="451"/>
      <c r="M36" s="137"/>
      <c r="N36" s="137"/>
      <c r="O36" s="135"/>
      <c r="P36" s="130"/>
      <c r="S36" s="451"/>
      <c r="T36" s="721"/>
    </row>
    <row r="37" spans="1:20" s="1" customFormat="1" ht="24" customHeight="1">
      <c r="A37" s="882"/>
      <c r="B37" s="873"/>
      <c r="C37" s="693"/>
      <c r="D37" s="872" t="s">
        <v>319</v>
      </c>
      <c r="E37" s="872"/>
      <c r="F37" s="872"/>
      <c r="G37" s="872"/>
      <c r="H37" s="458">
        <f>SUM(H27:H36)</f>
        <v>31436715759.320999</v>
      </c>
      <c r="I37" s="437"/>
      <c r="J37" s="867">
        <f>+H37-I38</f>
        <v>580000371.60399628</v>
      </c>
      <c r="K37" s="451"/>
      <c r="L37" s="451"/>
      <c r="M37" s="137"/>
      <c r="N37" s="137"/>
      <c r="O37" s="135"/>
      <c r="P37" s="130"/>
      <c r="S37" s="451"/>
      <c r="T37" s="721"/>
    </row>
    <row r="38" spans="1:20" s="1" customFormat="1" ht="18" customHeight="1">
      <c r="A38" s="882"/>
      <c r="B38" s="873"/>
      <c r="C38" s="693"/>
      <c r="D38" s="872" t="s">
        <v>320</v>
      </c>
      <c r="E38" s="872"/>
      <c r="F38" s="872"/>
      <c r="G38" s="872"/>
      <c r="H38" s="872"/>
      <c r="I38" s="604">
        <f>SUM(I27:I37)</f>
        <v>30856715387.717003</v>
      </c>
      <c r="J38" s="879"/>
      <c r="K38" s="451"/>
      <c r="L38" s="451"/>
      <c r="M38" s="137"/>
      <c r="N38" s="137"/>
      <c r="O38" s="135"/>
      <c r="P38" s="130"/>
      <c r="S38" s="451"/>
      <c r="T38" s="721"/>
    </row>
    <row r="39" spans="1:20" s="1" customFormat="1" ht="15">
      <c r="A39" s="882"/>
      <c r="B39" s="873"/>
      <c r="C39" s="693"/>
      <c r="D39" s="872" t="s">
        <v>321</v>
      </c>
      <c r="E39" s="872"/>
      <c r="F39" s="872"/>
      <c r="G39" s="872"/>
      <c r="H39" s="872"/>
      <c r="I39" s="480">
        <f>+'Anexo 1 Matriz SINA Inf Gestión'!R19/100</f>
        <v>0.98155022375605427</v>
      </c>
      <c r="J39" s="879"/>
      <c r="K39" s="451"/>
      <c r="L39" s="451"/>
      <c r="M39" s="137"/>
      <c r="N39" s="137"/>
      <c r="O39" s="135"/>
      <c r="P39" s="130"/>
      <c r="S39" s="451"/>
      <c r="T39" s="721"/>
    </row>
    <row r="40" spans="1:20" s="1" customFormat="1" ht="18" customHeight="1">
      <c r="A40" s="882"/>
      <c r="B40" s="873"/>
      <c r="C40" s="693"/>
      <c r="D40" s="841" t="s">
        <v>526</v>
      </c>
      <c r="E40" s="842"/>
      <c r="F40" s="842"/>
      <c r="G40" s="842"/>
      <c r="H40" s="843"/>
      <c r="I40" s="480">
        <f>+'Anexo 1 Matriz SINA Inf Gestión'!K19/100</f>
        <v>1</v>
      </c>
      <c r="J40" s="879"/>
      <c r="K40" s="451"/>
      <c r="L40" s="451"/>
      <c r="M40" s="137"/>
      <c r="N40" s="137"/>
      <c r="O40" s="135"/>
      <c r="P40" s="130"/>
      <c r="S40" s="451"/>
      <c r="T40" s="721"/>
    </row>
    <row r="41" spans="1:20" s="1" customFormat="1" ht="47.25" customHeight="1">
      <c r="A41" s="882"/>
      <c r="B41" s="847" t="s">
        <v>306</v>
      </c>
      <c r="C41" s="697"/>
      <c r="D41" s="868" t="s">
        <v>541</v>
      </c>
      <c r="E41" s="848" t="s">
        <v>95</v>
      </c>
      <c r="F41" s="848" t="s">
        <v>308</v>
      </c>
      <c r="G41" s="848"/>
      <c r="H41" s="862" t="s">
        <v>309</v>
      </c>
      <c r="I41" s="862"/>
      <c r="J41" s="863"/>
      <c r="K41" s="451"/>
      <c r="L41" s="451"/>
      <c r="M41" s="137"/>
      <c r="N41" s="137"/>
      <c r="O41" s="135"/>
      <c r="P41" s="130"/>
      <c r="S41" s="451"/>
      <c r="T41" s="721"/>
    </row>
    <row r="42" spans="1:20" s="1" customFormat="1" ht="47.25" customHeight="1">
      <c r="A42" s="882"/>
      <c r="B42" s="847"/>
      <c r="C42" s="697"/>
      <c r="D42" s="869"/>
      <c r="E42" s="848"/>
      <c r="F42" s="455" t="s">
        <v>310</v>
      </c>
      <c r="G42" s="455" t="s">
        <v>311</v>
      </c>
      <c r="H42" s="456" t="s">
        <v>312</v>
      </c>
      <c r="I42" s="700" t="s">
        <v>313</v>
      </c>
      <c r="J42" s="701" t="s">
        <v>314</v>
      </c>
      <c r="K42" s="451"/>
      <c r="L42" s="451"/>
      <c r="M42" s="137"/>
      <c r="N42" s="137"/>
      <c r="O42" s="135"/>
      <c r="P42" s="130"/>
      <c r="S42" s="451"/>
      <c r="T42" s="721"/>
    </row>
    <row r="43" spans="1:20" s="1" customFormat="1" ht="68.25" customHeight="1">
      <c r="A43" s="882"/>
      <c r="B43" s="873" t="s">
        <v>468</v>
      </c>
      <c r="C43" s="692"/>
      <c r="D43" s="395" t="s">
        <v>375</v>
      </c>
      <c r="E43" s="394" t="s">
        <v>376</v>
      </c>
      <c r="F43" s="413">
        <f>+'MATRIZ GENERAL CONSOLIDADA'!D31</f>
        <v>1</v>
      </c>
      <c r="G43" s="686">
        <f>+'MATRIZ GENERAL CONSOLIDADA'!F31</f>
        <v>1</v>
      </c>
      <c r="H43" s="457">
        <f>+'MATRIZ GENERAL CONSOLIDADA'!E31</f>
        <v>5565382158.0878</v>
      </c>
      <c r="I43" s="457">
        <f>+'MATRIZ GENERAL CONSOLIDADA'!G31</f>
        <v>5565382158</v>
      </c>
      <c r="J43" s="75">
        <f>+H43-I43</f>
        <v>8.7800025939941406E-2</v>
      </c>
      <c r="K43" s="451"/>
      <c r="L43" s="451"/>
      <c r="M43" s="137"/>
      <c r="N43" s="137"/>
      <c r="O43" s="135"/>
      <c r="P43" s="130"/>
      <c r="S43" s="451"/>
      <c r="T43" s="721"/>
    </row>
    <row r="44" spans="1:20" s="1" customFormat="1" ht="33" customHeight="1">
      <c r="A44" s="882"/>
      <c r="B44" s="873"/>
      <c r="C44" s="692"/>
      <c r="D44" s="395" t="s">
        <v>480</v>
      </c>
      <c r="E44" s="394" t="s">
        <v>512</v>
      </c>
      <c r="F44" s="413">
        <f>+'MATRIZ GENERAL CONSOLIDADA'!D32</f>
        <v>1</v>
      </c>
      <c r="G44" s="686">
        <f>+'MATRIZ GENERAL CONSOLIDADA'!F32</f>
        <v>1</v>
      </c>
      <c r="H44" s="457">
        <f>+'MATRIZ GENERAL CONSOLIDADA'!E32</f>
        <v>691788913.39999998</v>
      </c>
      <c r="I44" s="457">
        <f>+'MATRIZ GENERAL CONSOLIDADA'!G32</f>
        <v>691742609</v>
      </c>
      <c r="J44" s="75">
        <f>+H44-I44</f>
        <v>46304.399999976158</v>
      </c>
      <c r="K44" s="451"/>
      <c r="L44" s="451"/>
      <c r="M44" s="137"/>
      <c r="N44" s="137"/>
      <c r="O44" s="135"/>
      <c r="P44" s="376"/>
      <c r="S44" s="451"/>
      <c r="T44" s="721"/>
    </row>
    <row r="45" spans="1:20" s="1" customFormat="1" ht="22.5" customHeight="1">
      <c r="A45" s="882"/>
      <c r="B45" s="873"/>
      <c r="C45" s="693"/>
      <c r="D45" s="872" t="s">
        <v>319</v>
      </c>
      <c r="E45" s="872"/>
      <c r="F45" s="872"/>
      <c r="G45" s="872"/>
      <c r="H45" s="458">
        <f>SUM(H43:H44)</f>
        <v>6257171071.4877996</v>
      </c>
      <c r="I45" s="387"/>
      <c r="J45" s="867">
        <f>+H45-I46</f>
        <v>46304.48779964447</v>
      </c>
      <c r="K45" s="451"/>
      <c r="L45" s="451"/>
      <c r="M45" s="137"/>
      <c r="N45" s="137"/>
      <c r="O45" s="135"/>
      <c r="P45" s="130"/>
      <c r="S45" s="451"/>
      <c r="T45" s="721"/>
    </row>
    <row r="46" spans="1:20" s="1" customFormat="1" ht="16.5" customHeight="1">
      <c r="A46" s="882"/>
      <c r="B46" s="873"/>
      <c r="C46" s="693"/>
      <c r="D46" s="872" t="s">
        <v>320</v>
      </c>
      <c r="E46" s="872"/>
      <c r="F46" s="872"/>
      <c r="G46" s="872"/>
      <c r="H46" s="872"/>
      <c r="I46" s="458">
        <f>SUM(I43:I45)</f>
        <v>6257124767</v>
      </c>
      <c r="J46" s="879"/>
      <c r="K46" s="451"/>
      <c r="L46" s="451"/>
      <c r="M46" s="137"/>
      <c r="N46" s="137"/>
      <c r="O46" s="135"/>
      <c r="P46" s="130"/>
      <c r="S46" s="451"/>
      <c r="T46" s="721"/>
    </row>
    <row r="47" spans="1:20" s="1" customFormat="1" ht="16.5" customHeight="1">
      <c r="A47" s="882"/>
      <c r="B47" s="873"/>
      <c r="C47" s="693"/>
      <c r="D47" s="872" t="s">
        <v>321</v>
      </c>
      <c r="E47" s="872"/>
      <c r="F47" s="872"/>
      <c r="G47" s="872"/>
      <c r="H47" s="872"/>
      <c r="I47" s="513">
        <f>+'Anexo 1 Matriz SINA Inf Gestión'!R30/100</f>
        <v>0.99999259977276145</v>
      </c>
      <c r="J47" s="879"/>
      <c r="K47" s="451"/>
      <c r="L47" s="451"/>
      <c r="M47" s="137"/>
      <c r="N47" s="137"/>
      <c r="O47" s="135"/>
      <c r="P47" s="130"/>
      <c r="S47" s="451"/>
      <c r="T47" s="721"/>
    </row>
    <row r="48" spans="1:20" s="1" customFormat="1" ht="16.5" customHeight="1">
      <c r="A48" s="882"/>
      <c r="B48" s="873"/>
      <c r="C48" s="693"/>
      <c r="D48" s="841" t="s">
        <v>526</v>
      </c>
      <c r="E48" s="842"/>
      <c r="F48" s="842"/>
      <c r="G48" s="842"/>
      <c r="H48" s="843"/>
      <c r="I48" s="513">
        <f>+'Anexo 1 Matriz SINA Inf Gestión'!K30/100</f>
        <v>1</v>
      </c>
      <c r="J48" s="879"/>
      <c r="K48" s="451"/>
      <c r="L48" s="451"/>
      <c r="M48" s="137"/>
      <c r="N48" s="137"/>
      <c r="O48" s="135"/>
      <c r="P48" s="130"/>
      <c r="S48" s="451"/>
      <c r="T48" s="721"/>
    </row>
    <row r="49" spans="1:20" s="1" customFormat="1" ht="17.25" customHeight="1">
      <c r="A49" s="878" t="s">
        <v>305</v>
      </c>
      <c r="B49" s="847" t="s">
        <v>306</v>
      </c>
      <c r="C49" s="697"/>
      <c r="D49" s="868" t="s">
        <v>541</v>
      </c>
      <c r="E49" s="848" t="s">
        <v>95</v>
      </c>
      <c r="F49" s="848" t="s">
        <v>308</v>
      </c>
      <c r="G49" s="848"/>
      <c r="H49" s="862" t="s">
        <v>309</v>
      </c>
      <c r="I49" s="862"/>
      <c r="J49" s="863"/>
      <c r="K49" s="451"/>
      <c r="L49" s="451"/>
      <c r="M49" s="134"/>
      <c r="N49" s="134"/>
      <c r="O49" s="135"/>
      <c r="P49" s="130"/>
      <c r="S49" s="451"/>
      <c r="T49" s="721"/>
    </row>
    <row r="50" spans="1:20" s="1" customFormat="1" ht="51.75" customHeight="1">
      <c r="A50" s="878"/>
      <c r="B50" s="847"/>
      <c r="C50" s="697"/>
      <c r="D50" s="869"/>
      <c r="E50" s="848"/>
      <c r="F50" s="455" t="s">
        <v>310</v>
      </c>
      <c r="G50" s="455" t="s">
        <v>311</v>
      </c>
      <c r="H50" s="456" t="s">
        <v>312</v>
      </c>
      <c r="I50" s="700" t="s">
        <v>313</v>
      </c>
      <c r="J50" s="701" t="s">
        <v>314</v>
      </c>
      <c r="K50" s="451"/>
      <c r="L50" s="451"/>
      <c r="M50" s="134"/>
      <c r="N50" s="134"/>
      <c r="O50" s="135"/>
      <c r="P50" s="130"/>
      <c r="S50" s="451"/>
      <c r="T50" s="721"/>
    </row>
    <row r="51" spans="1:20" s="1" customFormat="1" ht="57.75" customHeight="1">
      <c r="A51" s="899" t="s">
        <v>469</v>
      </c>
      <c r="B51" s="873" t="s">
        <v>475</v>
      </c>
      <c r="C51" s="692"/>
      <c r="D51" s="384" t="s">
        <v>482</v>
      </c>
      <c r="E51" s="386" t="s">
        <v>1</v>
      </c>
      <c r="F51" s="413">
        <f>+'MATRIZ GENERAL CONSOLIDADA'!D35</f>
        <v>100</v>
      </c>
      <c r="G51" s="386">
        <f>+'MATRIZ GENERAL CONSOLIDADA'!F35</f>
        <v>91.86</v>
      </c>
      <c r="H51" s="457">
        <f>+'MATRIZ GENERAL CONSOLIDADA'!E35</f>
        <v>0</v>
      </c>
      <c r="I51" s="457">
        <f>+'MATRIZ GENERAL CONSOLIDADA'!G35</f>
        <v>0</v>
      </c>
      <c r="J51" s="75">
        <v>0</v>
      </c>
      <c r="K51" s="451"/>
      <c r="L51" s="451"/>
      <c r="M51" s="138">
        <v>75206</v>
      </c>
      <c r="N51" s="134">
        <v>340671</v>
      </c>
      <c r="O51" s="135"/>
      <c r="P51" s="130"/>
      <c r="Q51" s="1">
        <v>0</v>
      </c>
      <c r="S51" s="451"/>
      <c r="T51" s="721"/>
    </row>
    <row r="52" spans="1:20" s="1" customFormat="1" ht="59.25" customHeight="1">
      <c r="A52" s="882"/>
      <c r="B52" s="873"/>
      <c r="C52" s="692"/>
      <c r="D52" s="389" t="s">
        <v>381</v>
      </c>
      <c r="E52" s="386" t="s">
        <v>453</v>
      </c>
      <c r="F52" s="413">
        <f>+'MATRIZ GENERAL CONSOLIDADA'!D36</f>
        <v>227184</v>
      </c>
      <c r="G52" s="386">
        <f>+'MATRIZ GENERAL CONSOLIDADA'!F36</f>
        <v>209008.36</v>
      </c>
      <c r="H52" s="457">
        <f>+'MATRIZ GENERAL CONSOLIDADA'!E36</f>
        <v>1366192207</v>
      </c>
      <c r="I52" s="457">
        <f>+'MATRIZ GENERAL CONSOLIDADA'!G36</f>
        <v>1366192207.0999999</v>
      </c>
      <c r="J52" s="75">
        <v>0</v>
      </c>
      <c r="K52" s="451"/>
      <c r="L52" s="451"/>
      <c r="M52" s="138"/>
      <c r="N52" s="134"/>
      <c r="O52" s="135"/>
      <c r="P52" s="130"/>
      <c r="Q52" s="554">
        <v>0</v>
      </c>
      <c r="S52" s="451"/>
      <c r="T52" s="737">
        <f>+G52/F52</f>
        <v>0.91999595041904358</v>
      </c>
    </row>
    <row r="53" spans="1:20" s="1" customFormat="1" ht="47.25" customHeight="1">
      <c r="A53" s="882"/>
      <c r="B53" s="873"/>
      <c r="C53" s="692"/>
      <c r="D53" s="389" t="s">
        <v>382</v>
      </c>
      <c r="E53" s="386" t="s">
        <v>487</v>
      </c>
      <c r="F53" s="413">
        <f>+'MATRIZ GENERAL CONSOLIDADA'!D37</f>
        <v>100</v>
      </c>
      <c r="G53" s="386">
        <f>+'MATRIZ GENERAL CONSOLIDADA'!F37</f>
        <v>100</v>
      </c>
      <c r="H53" s="457">
        <f>+'MATRIZ GENERAL CONSOLIDADA'!E37</f>
        <v>49279933</v>
      </c>
      <c r="I53" s="457">
        <f>+'MATRIZ GENERAL CONSOLIDADA'!G37</f>
        <v>49279933.395999998</v>
      </c>
      <c r="J53" s="75"/>
      <c r="K53" s="451"/>
      <c r="L53" s="451"/>
      <c r="M53" s="138"/>
      <c r="N53" s="134"/>
      <c r="O53" s="135"/>
      <c r="P53" s="130"/>
      <c r="S53" s="451"/>
      <c r="T53" s="721"/>
    </row>
    <row r="54" spans="1:20" s="1" customFormat="1" ht="45" customHeight="1">
      <c r="A54" s="882"/>
      <c r="B54" s="873"/>
      <c r="C54" s="692"/>
      <c r="D54" s="389" t="s">
        <v>383</v>
      </c>
      <c r="E54" s="386" t="s">
        <v>509</v>
      </c>
      <c r="F54" s="413">
        <f>+'MATRIZ GENERAL CONSOLIDADA'!D38</f>
        <v>120</v>
      </c>
      <c r="G54" s="386">
        <f>+'MATRIZ GENERAL CONSOLIDADA'!F38</f>
        <v>120</v>
      </c>
      <c r="H54" s="457">
        <f>+'MATRIZ GENERAL CONSOLIDADA'!E38</f>
        <v>296338658</v>
      </c>
      <c r="I54" s="457">
        <f>+'MATRIZ GENERAL CONSOLIDADA'!G38</f>
        <v>295810105</v>
      </c>
      <c r="J54" s="75">
        <f>+H54-I54</f>
        <v>528553</v>
      </c>
      <c r="K54" s="451"/>
      <c r="L54" s="451"/>
      <c r="M54" s="138"/>
      <c r="N54" s="134"/>
      <c r="O54" s="135"/>
      <c r="P54" s="130"/>
      <c r="S54" s="451"/>
      <c r="T54" s="721"/>
    </row>
    <row r="55" spans="1:20" s="1" customFormat="1" ht="42.75" customHeight="1">
      <c r="A55" s="882"/>
      <c r="B55" s="873"/>
      <c r="C55" s="692"/>
      <c r="D55" s="389" t="s">
        <v>384</v>
      </c>
      <c r="E55" s="386" t="s">
        <v>189</v>
      </c>
      <c r="F55" s="413">
        <f>+'MATRIZ GENERAL CONSOLIDADA'!D39</f>
        <v>3</v>
      </c>
      <c r="G55" s="386">
        <f>+'MATRIZ GENERAL CONSOLIDADA'!F39</f>
        <v>2.7</v>
      </c>
      <c r="H55" s="457">
        <f>+'MATRIZ GENERAL CONSOLIDADA'!E39</f>
        <v>115380000</v>
      </c>
      <c r="I55" s="457">
        <f>+'MATRIZ GENERAL CONSOLIDADA'!G39</f>
        <v>115380000</v>
      </c>
      <c r="J55" s="75">
        <f t="shared" ref="J55:J60" si="3">+H55-I55</f>
        <v>0</v>
      </c>
      <c r="K55" s="451"/>
      <c r="L55" s="451"/>
      <c r="M55" s="138"/>
      <c r="N55" s="134"/>
      <c r="O55" s="135"/>
      <c r="P55" s="130"/>
      <c r="S55" s="451"/>
      <c r="T55" s="721"/>
    </row>
    <row r="56" spans="1:20" s="1" customFormat="1" ht="39" customHeight="1">
      <c r="A56" s="882"/>
      <c r="B56" s="873"/>
      <c r="C56" s="692"/>
      <c r="D56" s="389" t="s">
        <v>521</v>
      </c>
      <c r="E56" s="386" t="s">
        <v>522</v>
      </c>
      <c r="F56" s="413">
        <f>+'MATRIZ GENERAL CONSOLIDADA'!D40</f>
        <v>7</v>
      </c>
      <c r="G56" s="386">
        <f>+'MATRIZ GENERAL CONSOLIDADA'!F40</f>
        <v>7</v>
      </c>
      <c r="H56" s="457">
        <f>+'MATRIZ GENERAL CONSOLIDADA'!E40</f>
        <v>2270845778</v>
      </c>
      <c r="I56" s="457">
        <f>+'MATRIZ GENERAL CONSOLIDADA'!G40</f>
        <v>2244936021.632</v>
      </c>
      <c r="J56" s="75">
        <f t="shared" si="3"/>
        <v>25909756.368000031</v>
      </c>
      <c r="K56" s="451"/>
      <c r="L56" s="451"/>
      <c r="M56" s="138"/>
      <c r="N56" s="134"/>
      <c r="O56" s="135"/>
      <c r="P56" s="130"/>
      <c r="S56" s="451"/>
      <c r="T56" s="721"/>
    </row>
    <row r="57" spans="1:20" s="1" customFormat="1" ht="39" customHeight="1">
      <c r="A57" s="882"/>
      <c r="B57" s="873"/>
      <c r="C57" s="692"/>
      <c r="D57" s="323" t="s">
        <v>533</v>
      </c>
      <c r="E57" s="174" t="s">
        <v>1</v>
      </c>
      <c r="F57" s="413">
        <f>+'MATRIZ GENERAL CONSOLIDADA'!D41</f>
        <v>100</v>
      </c>
      <c r="G57" s="386">
        <f>+'MATRIZ GENERAL CONSOLIDADA'!F41</f>
        <v>99.6</v>
      </c>
      <c r="H57" s="457">
        <f>+'MATRIZ GENERAL CONSOLIDADA'!E41</f>
        <v>0</v>
      </c>
      <c r="I57" s="457">
        <f>+'MATRIZ GENERAL CONSOLIDADA'!G41</f>
        <v>0</v>
      </c>
      <c r="J57" s="75"/>
      <c r="K57" s="451"/>
      <c r="L57" s="451"/>
      <c r="M57" s="138"/>
      <c r="N57" s="134"/>
      <c r="O57" s="135"/>
      <c r="P57" s="130"/>
      <c r="S57" s="451"/>
      <c r="T57" s="721"/>
    </row>
    <row r="58" spans="1:20" s="1" customFormat="1" ht="39" customHeight="1">
      <c r="A58" s="882"/>
      <c r="B58" s="873"/>
      <c r="C58" s="692"/>
      <c r="D58" s="320" t="s">
        <v>385</v>
      </c>
      <c r="E58" s="174" t="s">
        <v>132</v>
      </c>
      <c r="F58" s="413">
        <f>+'MATRIZ GENERAL CONSOLIDADA'!D42</f>
        <v>3</v>
      </c>
      <c r="G58" s="386">
        <f>+'MATRIZ GENERAL CONSOLIDADA'!F42</f>
        <v>3</v>
      </c>
      <c r="H58" s="457">
        <f>+'MATRIZ GENERAL CONSOLIDADA'!E42</f>
        <v>36144000</v>
      </c>
      <c r="I58" s="457">
        <f>+'MATRIZ GENERAL CONSOLIDADA'!G42</f>
        <v>36144000</v>
      </c>
      <c r="J58" s="75"/>
      <c r="K58" s="451"/>
      <c r="L58" s="451"/>
      <c r="M58" s="138"/>
      <c r="N58" s="134"/>
      <c r="O58" s="135"/>
      <c r="P58" s="130"/>
      <c r="S58" s="451"/>
      <c r="T58" s="721"/>
    </row>
    <row r="59" spans="1:20" s="1" customFormat="1" ht="40.5" customHeight="1">
      <c r="A59" s="882"/>
      <c r="B59" s="873"/>
      <c r="C59" s="692"/>
      <c r="D59" s="393" t="s">
        <v>380</v>
      </c>
      <c r="E59" s="386" t="s">
        <v>1</v>
      </c>
      <c r="F59" s="413">
        <f>+'MATRIZ GENERAL CONSOLIDADA'!D43</f>
        <v>100</v>
      </c>
      <c r="G59" s="386">
        <f>+'MATRIZ GENERAL CONSOLIDADA'!F43</f>
        <v>100</v>
      </c>
      <c r="H59" s="457">
        <f>+'MATRIZ GENERAL CONSOLIDADA'!E43</f>
        <v>0</v>
      </c>
      <c r="I59" s="457">
        <f>+'MATRIZ GENERAL CONSOLIDADA'!G43</f>
        <v>0</v>
      </c>
      <c r="J59" s="75">
        <f t="shared" si="3"/>
        <v>0</v>
      </c>
      <c r="K59" s="451"/>
      <c r="L59" s="451"/>
      <c r="M59" s="138"/>
      <c r="N59" s="134"/>
      <c r="O59" s="135"/>
      <c r="P59" s="130"/>
      <c r="S59" s="451"/>
      <c r="T59" s="721"/>
    </row>
    <row r="60" spans="1:20" s="1" customFormat="1" ht="37.5" customHeight="1">
      <c r="A60" s="882"/>
      <c r="B60" s="873"/>
      <c r="C60" s="692"/>
      <c r="D60" s="389" t="s">
        <v>386</v>
      </c>
      <c r="E60" s="386" t="s">
        <v>387</v>
      </c>
      <c r="F60" s="413">
        <f>+'MATRIZ GENERAL CONSOLIDADA'!D44</f>
        <v>1</v>
      </c>
      <c r="G60" s="386">
        <f>+'MATRIZ GENERAL CONSOLIDADA'!F44</f>
        <v>1</v>
      </c>
      <c r="H60" s="457">
        <f>+'MATRIZ GENERAL CONSOLIDADA'!E44</f>
        <v>48893429</v>
      </c>
      <c r="I60" s="457">
        <f>+'MATRIZ GENERAL CONSOLIDADA'!G44</f>
        <v>14663219</v>
      </c>
      <c r="J60" s="75">
        <f t="shared" si="3"/>
        <v>34230210</v>
      </c>
      <c r="K60" s="451"/>
      <c r="L60" s="451"/>
      <c r="M60" s="138"/>
      <c r="N60" s="134"/>
      <c r="O60" s="135"/>
      <c r="P60" s="130"/>
      <c r="S60" s="451"/>
      <c r="T60" s="721"/>
    </row>
    <row r="61" spans="1:20" s="1" customFormat="1" ht="37.5" customHeight="1">
      <c r="A61" s="882"/>
      <c r="B61" s="873"/>
      <c r="C61" s="692"/>
      <c r="D61" s="389" t="s">
        <v>514</v>
      </c>
      <c r="E61" s="386" t="s">
        <v>515</v>
      </c>
      <c r="F61" s="413">
        <f>+'MATRIZ GENERAL CONSOLIDADA'!D45</f>
        <v>0</v>
      </c>
      <c r="G61" s="386">
        <f>+'MATRIZ GENERAL CONSOLIDADA'!F45</f>
        <v>0</v>
      </c>
      <c r="H61" s="457">
        <f>+'MATRIZ GENERAL CONSOLIDADA'!E45</f>
        <v>54623470</v>
      </c>
      <c r="I61" s="457">
        <f>+'MATRIZ GENERAL CONSOLIDADA'!G45</f>
        <v>54623470</v>
      </c>
      <c r="J61" s="75"/>
      <c r="K61" s="451"/>
      <c r="L61" s="451"/>
      <c r="M61" s="138"/>
      <c r="N61" s="134"/>
      <c r="O61" s="135"/>
      <c r="P61" s="130"/>
      <c r="S61" s="451"/>
      <c r="T61" s="721"/>
    </row>
    <row r="62" spans="1:20" s="1" customFormat="1" ht="24" customHeight="1">
      <c r="A62" s="882"/>
      <c r="B62" s="873"/>
      <c r="C62" s="693"/>
      <c r="D62" s="876" t="s">
        <v>319</v>
      </c>
      <c r="E62" s="876"/>
      <c r="F62" s="876"/>
      <c r="G62" s="876"/>
      <c r="H62" s="458">
        <f>SUM(H51:H61)</f>
        <v>4237697475</v>
      </c>
      <c r="I62" s="387"/>
      <c r="J62" s="867">
        <f>+H62-I62</f>
        <v>4237697475</v>
      </c>
      <c r="K62" s="136"/>
      <c r="L62" s="451"/>
      <c r="M62" s="134"/>
      <c r="N62" s="134"/>
      <c r="O62" s="135"/>
      <c r="P62" s="130"/>
      <c r="S62" s="451"/>
      <c r="T62" s="721"/>
    </row>
    <row r="63" spans="1:20" s="1" customFormat="1" ht="16.5" customHeight="1">
      <c r="A63" s="882"/>
      <c r="B63" s="873"/>
      <c r="C63" s="693"/>
      <c r="D63" s="876" t="s">
        <v>320</v>
      </c>
      <c r="E63" s="876"/>
      <c r="F63" s="876"/>
      <c r="G63" s="876"/>
      <c r="H63" s="876"/>
      <c r="I63" s="458">
        <f>SUM(I51:I62)</f>
        <v>4177028956.1279998</v>
      </c>
      <c r="J63" s="867"/>
      <c r="K63" s="136"/>
      <c r="L63" s="451"/>
      <c r="M63" s="134"/>
      <c r="N63" s="134"/>
      <c r="O63" s="135"/>
      <c r="P63" s="130"/>
      <c r="S63" s="451"/>
      <c r="T63" s="721"/>
    </row>
    <row r="64" spans="1:20" s="1" customFormat="1" ht="16.5" customHeight="1">
      <c r="A64" s="882"/>
      <c r="B64" s="873"/>
      <c r="C64" s="694"/>
      <c r="D64" s="877" t="s">
        <v>321</v>
      </c>
      <c r="E64" s="872"/>
      <c r="F64" s="872"/>
      <c r="G64" s="872"/>
      <c r="H64" s="872"/>
      <c r="I64" s="513">
        <f>+'Anexo 1 Matriz SINA Inf Gestión'!R34/100</f>
        <v>0.98568361256793091</v>
      </c>
      <c r="J64" s="867"/>
      <c r="K64" s="136"/>
      <c r="L64" s="451"/>
      <c r="M64" s="134"/>
      <c r="N64" s="134"/>
      <c r="O64" s="135"/>
      <c r="P64" s="130"/>
      <c r="S64" s="451"/>
      <c r="T64" s="721"/>
    </row>
    <row r="65" spans="1:20" s="1" customFormat="1" ht="16.5" customHeight="1">
      <c r="A65" s="882"/>
      <c r="B65" s="873"/>
      <c r="C65" s="694"/>
      <c r="D65" s="859" t="s">
        <v>526</v>
      </c>
      <c r="E65" s="860"/>
      <c r="F65" s="860"/>
      <c r="G65" s="860"/>
      <c r="H65" s="861"/>
      <c r="I65" s="663">
        <f>+'Anexo 1 Matriz SINA Inf Gestión'!K34/100</f>
        <v>0.92013772628657253</v>
      </c>
      <c r="J65" s="867"/>
      <c r="K65" s="136"/>
      <c r="L65" s="451"/>
      <c r="M65" s="134"/>
      <c r="N65" s="134"/>
      <c r="O65" s="135"/>
      <c r="P65" s="130"/>
      <c r="S65" s="451"/>
      <c r="T65" s="721"/>
    </row>
    <row r="66" spans="1:20" s="1" customFormat="1" ht="33.75" customHeight="1">
      <c r="A66" s="882"/>
      <c r="B66" s="847" t="s">
        <v>306</v>
      </c>
      <c r="C66" s="697"/>
      <c r="D66" s="868" t="s">
        <v>541</v>
      </c>
      <c r="E66" s="848" t="s">
        <v>95</v>
      </c>
      <c r="F66" s="848" t="s">
        <v>308</v>
      </c>
      <c r="G66" s="848"/>
      <c r="H66" s="862" t="s">
        <v>246</v>
      </c>
      <c r="I66" s="862"/>
      <c r="J66" s="863"/>
      <c r="K66" s="451"/>
      <c r="L66" s="451"/>
      <c r="M66" s="134"/>
      <c r="N66" s="134"/>
      <c r="O66" s="135"/>
      <c r="P66" s="130"/>
      <c r="S66" s="451"/>
      <c r="T66" s="721"/>
    </row>
    <row r="67" spans="1:20" s="1" customFormat="1" ht="27" customHeight="1">
      <c r="A67" s="882"/>
      <c r="B67" s="847"/>
      <c r="C67" s="697"/>
      <c r="D67" s="869"/>
      <c r="E67" s="848"/>
      <c r="F67" s="455" t="s">
        <v>310</v>
      </c>
      <c r="G67" s="455" t="s">
        <v>311</v>
      </c>
      <c r="H67" s="456" t="s">
        <v>312</v>
      </c>
      <c r="I67" s="700" t="s">
        <v>313</v>
      </c>
      <c r="J67" s="701" t="s">
        <v>314</v>
      </c>
      <c r="K67" s="451"/>
      <c r="L67" s="451"/>
      <c r="M67" s="134"/>
      <c r="N67" s="134"/>
      <c r="O67" s="135"/>
      <c r="P67" s="130"/>
      <c r="S67" s="451"/>
      <c r="T67" s="721"/>
    </row>
    <row r="68" spans="1:20" s="1" customFormat="1" ht="34.5" customHeight="1">
      <c r="A68" s="882"/>
      <c r="B68" s="829" t="s">
        <v>539</v>
      </c>
      <c r="C68" s="691"/>
      <c r="D68" s="429" t="s">
        <v>388</v>
      </c>
      <c r="E68" s="386" t="s">
        <v>1</v>
      </c>
      <c r="F68" s="461">
        <f>+'MATRIZ GENERAL CONSOLIDADA'!D47</f>
        <v>100</v>
      </c>
      <c r="G68" s="598">
        <f>+'MATRIZ GENERAL CONSOLIDADA'!F47</f>
        <v>100</v>
      </c>
      <c r="H68" s="462">
        <f>+'MATRIZ GENERAL CONSOLIDADA'!E47</f>
        <v>0</v>
      </c>
      <c r="I68" s="462">
        <f>+'MATRIZ GENERAL CONSOLIDADA'!G47</f>
        <v>0</v>
      </c>
      <c r="J68" s="75">
        <f t="shared" ref="J68:J71" si="4">+H68-I68</f>
        <v>0</v>
      </c>
      <c r="K68" s="451"/>
      <c r="L68" s="451"/>
      <c r="M68" s="134"/>
      <c r="N68" s="134"/>
      <c r="O68" s="135"/>
      <c r="P68" s="130"/>
      <c r="S68" s="451"/>
      <c r="T68" s="721"/>
    </row>
    <row r="69" spans="1:20" s="1" customFormat="1" ht="32.25" customHeight="1">
      <c r="A69" s="882"/>
      <c r="B69" s="829"/>
      <c r="C69" s="691"/>
      <c r="D69" s="426" t="s">
        <v>523</v>
      </c>
      <c r="E69" s="386" t="s">
        <v>453</v>
      </c>
      <c r="F69" s="461">
        <f>+'MATRIZ GENERAL CONSOLIDADA'!D48</f>
        <v>99948</v>
      </c>
      <c r="G69" s="598">
        <f>+'MATRIZ GENERAL CONSOLIDADA'!F48</f>
        <v>101257.66666666667</v>
      </c>
      <c r="H69" s="462">
        <f>+'MATRIZ GENERAL CONSOLIDADA'!E48</f>
        <v>1797198377.4000001</v>
      </c>
      <c r="I69" s="462">
        <f>+'MATRIZ GENERAL CONSOLIDADA'!G48</f>
        <v>1797198377</v>
      </c>
      <c r="J69" s="75">
        <f>+H69-I69</f>
        <v>0.40000009536743164</v>
      </c>
      <c r="K69" s="451"/>
      <c r="L69" s="451"/>
      <c r="M69" s="134"/>
      <c r="N69" s="134"/>
      <c r="O69" s="135"/>
      <c r="P69" s="130"/>
      <c r="S69" s="451"/>
      <c r="T69" s="739">
        <f>+G69/F69</f>
        <v>1.0131034804765144</v>
      </c>
    </row>
    <row r="70" spans="1:20" s="1" customFormat="1" ht="32.25" customHeight="1">
      <c r="A70" s="882"/>
      <c r="B70" s="829"/>
      <c r="C70" s="691"/>
      <c r="D70" s="426" t="s">
        <v>524</v>
      </c>
      <c r="E70" s="386" t="s">
        <v>453</v>
      </c>
      <c r="F70" s="461">
        <f>+'MATRIZ GENERAL CONSOLIDADA'!D49</f>
        <v>216462</v>
      </c>
      <c r="G70" s="598">
        <f>+'MATRIZ GENERAL CONSOLIDADA'!F49</f>
        <v>216326.78630000001</v>
      </c>
      <c r="H70" s="462">
        <f>+'MATRIZ GENERAL CONSOLIDADA'!E49</f>
        <v>4140767973.6199999</v>
      </c>
      <c r="I70" s="462">
        <f>+'MATRIZ GENERAL CONSOLIDADA'!G49</f>
        <v>4133505901.3280001</v>
      </c>
      <c r="J70" s="75">
        <f>+H70-I70</f>
        <v>7262072.2919998169</v>
      </c>
      <c r="K70" s="451"/>
      <c r="L70" s="451"/>
      <c r="M70" s="134"/>
      <c r="N70" s="134"/>
      <c r="O70" s="135"/>
      <c r="P70" s="130"/>
      <c r="R70" s="451"/>
      <c r="S70" s="451"/>
      <c r="T70" s="736">
        <f>+G70/F70</f>
        <v>0.99937534671212502</v>
      </c>
    </row>
    <row r="71" spans="1:20" s="1" customFormat="1" ht="32.25" customHeight="1">
      <c r="A71" s="882"/>
      <c r="B71" s="829"/>
      <c r="C71" s="691"/>
      <c r="D71" s="429" t="s">
        <v>389</v>
      </c>
      <c r="E71" s="386" t="s">
        <v>1</v>
      </c>
      <c r="F71" s="461">
        <f>+'MATRIZ GENERAL CONSOLIDADA'!D50</f>
        <v>100</v>
      </c>
      <c r="G71" s="598">
        <f>+'MATRIZ GENERAL CONSOLIDADA'!F50</f>
        <v>99.7</v>
      </c>
      <c r="H71" s="462">
        <f>+'MATRIZ GENERAL CONSOLIDADA'!E50</f>
        <v>0</v>
      </c>
      <c r="I71" s="462">
        <f>+'MATRIZ GENERAL CONSOLIDADA'!G50</f>
        <v>0</v>
      </c>
      <c r="J71" s="75">
        <f t="shared" si="4"/>
        <v>0</v>
      </c>
      <c r="K71" s="451"/>
      <c r="L71" s="451"/>
      <c r="M71" s="134"/>
      <c r="N71" s="134"/>
      <c r="O71" s="135"/>
      <c r="P71" s="130"/>
      <c r="Q71" s="554">
        <v>64</v>
      </c>
      <c r="R71" s="1">
        <v>15.636704119850187</v>
      </c>
      <c r="S71" s="451"/>
      <c r="T71" s="721"/>
    </row>
    <row r="72" spans="1:20" s="1" customFormat="1" ht="36" customHeight="1">
      <c r="A72" s="882"/>
      <c r="B72" s="829"/>
      <c r="C72" s="691"/>
      <c r="D72" s="426" t="s">
        <v>391</v>
      </c>
      <c r="E72" s="386" t="s">
        <v>187</v>
      </c>
      <c r="F72" s="461">
        <f>+'MATRIZ GENERAL CONSOLIDADA'!D51</f>
        <v>267</v>
      </c>
      <c r="G72" s="598">
        <f>+'MATRIZ GENERAL CONSOLIDADA'!F51</f>
        <v>266.75</v>
      </c>
      <c r="H72" s="462">
        <f>+'MATRIZ GENERAL CONSOLIDADA'!E51</f>
        <v>554955922.65600002</v>
      </c>
      <c r="I72" s="462">
        <f>+'MATRIZ GENERAL CONSOLIDADA'!G51</f>
        <v>503199795.18000019</v>
      </c>
      <c r="J72" s="75">
        <f>+H72-I72</f>
        <v>51756127.475999832</v>
      </c>
      <c r="K72" s="451"/>
      <c r="L72" s="451"/>
      <c r="M72" s="134"/>
      <c r="N72" s="134"/>
      <c r="O72" s="135"/>
      <c r="P72" s="376"/>
      <c r="Q72" s="554">
        <v>62.546816479400746</v>
      </c>
      <c r="R72" s="1">
        <v>18.25</v>
      </c>
      <c r="S72" s="451"/>
      <c r="T72" s="736">
        <f>+G72/F72</f>
        <v>0.99906367041198507</v>
      </c>
    </row>
    <row r="73" spans="1:20" s="1" customFormat="1" ht="36" customHeight="1">
      <c r="A73" s="882"/>
      <c r="B73" s="829"/>
      <c r="C73" s="691"/>
      <c r="D73" s="429" t="s">
        <v>390</v>
      </c>
      <c r="E73" s="386" t="s">
        <v>179</v>
      </c>
      <c r="F73" s="461">
        <f>+'MATRIZ GENERAL CONSOLIDADA'!D52</f>
        <v>100</v>
      </c>
      <c r="G73" s="598">
        <f>+'MATRIZ GENERAL CONSOLIDADA'!F52</f>
        <v>100</v>
      </c>
      <c r="H73" s="462">
        <f>+'MATRIZ GENERAL CONSOLIDADA'!E52</f>
        <v>0</v>
      </c>
      <c r="I73" s="462">
        <f>+'MATRIZ GENERAL CONSOLIDADA'!G52</f>
        <v>0</v>
      </c>
      <c r="J73" s="75">
        <f>+H73-I73</f>
        <v>0</v>
      </c>
      <c r="K73" s="451"/>
      <c r="L73" s="451"/>
      <c r="M73" s="134"/>
      <c r="N73" s="134"/>
      <c r="O73" s="135"/>
      <c r="P73" s="130"/>
      <c r="Q73" s="1">
        <v>75</v>
      </c>
      <c r="S73" s="451"/>
      <c r="T73" s="721"/>
    </row>
    <row r="74" spans="1:20" s="1" customFormat="1" ht="36" customHeight="1">
      <c r="A74" s="882"/>
      <c r="B74" s="829"/>
      <c r="C74" s="691"/>
      <c r="D74" s="426" t="s">
        <v>455</v>
      </c>
      <c r="E74" s="386" t="s">
        <v>387</v>
      </c>
      <c r="F74" s="461">
        <f>+'MATRIZ GENERAL CONSOLIDADA'!D53</f>
        <v>4</v>
      </c>
      <c r="G74" s="596">
        <f>+'MATRIZ GENERAL CONSOLIDADA'!F53</f>
        <v>4</v>
      </c>
      <c r="H74" s="462">
        <f>+'MATRIZ GENERAL CONSOLIDADA'!E53</f>
        <v>341822518.5</v>
      </c>
      <c r="I74" s="462">
        <f>+'MATRIZ GENERAL CONSOLIDADA'!G53</f>
        <v>340476154.5</v>
      </c>
      <c r="J74" s="75">
        <f>+H74-I74</f>
        <v>1346364</v>
      </c>
      <c r="K74" s="451"/>
      <c r="L74" s="451"/>
      <c r="M74" s="134"/>
      <c r="N74" s="134"/>
      <c r="O74" s="135"/>
      <c r="P74" s="130"/>
      <c r="Q74" s="1">
        <v>75</v>
      </c>
      <c r="S74" s="451"/>
      <c r="T74" s="721"/>
    </row>
    <row r="75" spans="1:20" s="1" customFormat="1" ht="36" customHeight="1">
      <c r="A75" s="882"/>
      <c r="B75" s="829"/>
      <c r="C75" s="693"/>
      <c r="D75" s="463" t="s">
        <v>514</v>
      </c>
      <c r="E75" s="386" t="s">
        <v>515</v>
      </c>
      <c r="F75" s="461">
        <f>+'MATRIZ GENERAL CONSOLIDADA'!D54</f>
        <v>0</v>
      </c>
      <c r="G75" s="598">
        <f>+'MATRIZ GENERAL CONSOLIDADA'!F54</f>
        <v>0</v>
      </c>
      <c r="H75" s="462">
        <f>+'MATRIZ GENERAL CONSOLIDADA'!E54</f>
        <v>200596447</v>
      </c>
      <c r="I75" s="462">
        <f>+'MATRIZ GENERAL CONSOLIDADA'!G54</f>
        <v>200596447</v>
      </c>
      <c r="J75" s="75">
        <f>+H75-I75</f>
        <v>0</v>
      </c>
      <c r="K75" s="451"/>
      <c r="L75" s="451"/>
      <c r="M75" s="134"/>
      <c r="N75" s="134"/>
      <c r="O75" s="135"/>
      <c r="P75" s="130"/>
      <c r="S75" s="451"/>
      <c r="T75" s="721"/>
    </row>
    <row r="76" spans="1:20" s="1" customFormat="1" ht="20.25" customHeight="1">
      <c r="A76" s="882"/>
      <c r="B76" s="829"/>
      <c r="C76" s="693"/>
      <c r="D76" s="876" t="s">
        <v>319</v>
      </c>
      <c r="E76" s="876"/>
      <c r="F76" s="876"/>
      <c r="G76" s="876"/>
      <c r="H76" s="458">
        <f>SUM(H68:H75)</f>
        <v>7035341239.1760006</v>
      </c>
      <c r="I76" s="464"/>
      <c r="J76" s="867">
        <f>+H76-I77</f>
        <v>60364564.168000221</v>
      </c>
      <c r="K76" s="451"/>
      <c r="L76" s="451"/>
      <c r="M76" s="134"/>
      <c r="N76" s="134"/>
      <c r="O76" s="135"/>
      <c r="P76" s="130"/>
      <c r="S76" s="451"/>
      <c r="T76" s="721"/>
    </row>
    <row r="77" spans="1:20" s="1" customFormat="1" ht="20.25" customHeight="1">
      <c r="A77" s="882"/>
      <c r="B77" s="873"/>
      <c r="C77" s="693"/>
      <c r="D77" s="876" t="s">
        <v>320</v>
      </c>
      <c r="E77" s="876"/>
      <c r="F77" s="876"/>
      <c r="G77" s="876"/>
      <c r="H77" s="876"/>
      <c r="I77" s="465">
        <f>SUM(I68:I76)</f>
        <v>6974976675.0080004</v>
      </c>
      <c r="J77" s="867"/>
      <c r="K77" s="451"/>
      <c r="L77" s="451"/>
      <c r="M77" s="134"/>
      <c r="N77" s="134"/>
      <c r="O77" s="135"/>
      <c r="P77" s="130"/>
      <c r="S77" s="451"/>
      <c r="T77" s="721"/>
    </row>
    <row r="78" spans="1:20" s="1" customFormat="1" ht="20.25" customHeight="1">
      <c r="A78" s="882"/>
      <c r="B78" s="849"/>
      <c r="C78" s="694"/>
      <c r="D78" s="877" t="s">
        <v>321</v>
      </c>
      <c r="E78" s="877"/>
      <c r="F78" s="877"/>
      <c r="G78" s="877"/>
      <c r="H78" s="877"/>
      <c r="I78" s="513">
        <f>+'Anexo 1 Matriz SINA Inf Gestión'!R46/100</f>
        <v>0.99141981005386592</v>
      </c>
      <c r="J78" s="867"/>
      <c r="K78" s="451"/>
      <c r="L78" s="451"/>
      <c r="M78" s="134"/>
      <c r="N78" s="134"/>
      <c r="O78" s="135"/>
      <c r="P78" s="130"/>
      <c r="S78" s="451"/>
      <c r="T78" s="721"/>
    </row>
    <row r="79" spans="1:20" s="1" customFormat="1" ht="20.25" customHeight="1">
      <c r="A79" s="882"/>
      <c r="B79" s="849"/>
      <c r="C79" s="694"/>
      <c r="D79" s="859" t="s">
        <v>526</v>
      </c>
      <c r="E79" s="860"/>
      <c r="F79" s="860"/>
      <c r="G79" s="860"/>
      <c r="H79" s="861"/>
      <c r="I79" s="673">
        <f>+'Anexo 1 Matriz SINA Inf Gestión'!K46/100</f>
        <v>1.0037033859022044</v>
      </c>
      <c r="J79" s="867"/>
      <c r="K79" s="451"/>
      <c r="L79" s="451"/>
      <c r="M79" s="134"/>
      <c r="N79" s="134"/>
      <c r="O79" s="135"/>
      <c r="P79" s="130"/>
      <c r="S79" s="451"/>
      <c r="T79" s="721"/>
    </row>
    <row r="80" spans="1:20" s="1" customFormat="1" ht="16.5" customHeight="1">
      <c r="A80" s="878" t="s">
        <v>305</v>
      </c>
      <c r="B80" s="847" t="s">
        <v>306</v>
      </c>
      <c r="C80" s="697"/>
      <c r="D80" s="868" t="s">
        <v>541</v>
      </c>
      <c r="E80" s="848" t="s">
        <v>95</v>
      </c>
      <c r="F80" s="848" t="s">
        <v>308</v>
      </c>
      <c r="G80" s="848"/>
      <c r="H80" s="862" t="s">
        <v>309</v>
      </c>
      <c r="I80" s="862"/>
      <c r="J80" s="863"/>
      <c r="K80" s="451"/>
      <c r="L80" s="451"/>
      <c r="M80" s="134"/>
      <c r="N80" s="134"/>
      <c r="O80" s="135"/>
      <c r="P80" s="130"/>
      <c r="S80" s="451"/>
      <c r="T80" s="721"/>
    </row>
    <row r="81" spans="1:20" s="1" customFormat="1" ht="44.25" customHeight="1">
      <c r="A81" s="878"/>
      <c r="B81" s="847"/>
      <c r="C81" s="708"/>
      <c r="D81" s="869"/>
      <c r="E81" s="848"/>
      <c r="F81" s="455" t="s">
        <v>310</v>
      </c>
      <c r="G81" s="455" t="s">
        <v>311</v>
      </c>
      <c r="H81" s="456" t="s">
        <v>312</v>
      </c>
      <c r="I81" s="700" t="s">
        <v>313</v>
      </c>
      <c r="J81" s="701" t="s">
        <v>314</v>
      </c>
      <c r="K81" s="451"/>
      <c r="L81" s="451"/>
      <c r="M81" s="134"/>
      <c r="N81" s="134"/>
      <c r="O81" s="135"/>
      <c r="P81" s="130"/>
      <c r="S81" s="451"/>
      <c r="T81" s="721"/>
    </row>
    <row r="82" spans="1:20" s="1" customFormat="1" ht="68.25" customHeight="1">
      <c r="A82" s="895" t="s">
        <v>470</v>
      </c>
      <c r="B82" s="829" t="s">
        <v>476</v>
      </c>
      <c r="C82" s="691"/>
      <c r="D82" s="430" t="s">
        <v>394</v>
      </c>
      <c r="E82" s="394" t="s">
        <v>1</v>
      </c>
      <c r="F82" s="386">
        <f>+'MATRIZ GENERAL CONSOLIDADA'!D57</f>
        <v>100</v>
      </c>
      <c r="G82" s="386">
        <f>+'MATRIZ GENERAL CONSOLIDADA'!F57</f>
        <v>100</v>
      </c>
      <c r="H82" s="435">
        <f>+'MATRIZ GENERAL CONSOLIDADA'!E57</f>
        <v>888909547.60000002</v>
      </c>
      <c r="I82" s="435">
        <f>+'MATRIZ GENERAL CONSOLIDADA'!G57</f>
        <v>885467060</v>
      </c>
      <c r="J82" s="75">
        <f>+H82-I82</f>
        <v>3442487.6000000238</v>
      </c>
      <c r="K82" s="451"/>
      <c r="L82" s="451"/>
      <c r="M82" s="134">
        <v>175228</v>
      </c>
      <c r="N82" s="134">
        <v>45086</v>
      </c>
      <c r="O82" s="135">
        <v>334406</v>
      </c>
      <c r="P82" s="130"/>
      <c r="S82" s="451"/>
      <c r="T82" s="721"/>
    </row>
    <row r="83" spans="1:20" s="1" customFormat="1" ht="57" customHeight="1">
      <c r="A83" s="895"/>
      <c r="B83" s="829"/>
      <c r="C83" s="691"/>
      <c r="D83" s="429" t="s">
        <v>395</v>
      </c>
      <c r="E83" s="394" t="s">
        <v>1</v>
      </c>
      <c r="F83" s="386">
        <f>+'MATRIZ GENERAL CONSOLIDADA'!D58</f>
        <v>100</v>
      </c>
      <c r="G83" s="386">
        <f>+'MATRIZ GENERAL CONSOLIDADA'!F58</f>
        <v>100</v>
      </c>
      <c r="H83" s="435">
        <f>+'MATRIZ GENERAL CONSOLIDADA'!E58</f>
        <v>0</v>
      </c>
      <c r="I83" s="435">
        <f>+'MATRIZ GENERAL CONSOLIDADA'!G58</f>
        <v>0</v>
      </c>
      <c r="J83" s="75">
        <f>+H83-I83</f>
        <v>0</v>
      </c>
      <c r="K83" s="451"/>
      <c r="L83" s="451"/>
      <c r="M83" s="134"/>
      <c r="N83" s="134"/>
      <c r="O83" s="135"/>
      <c r="P83" s="130"/>
      <c r="Q83" s="1">
        <v>0</v>
      </c>
      <c r="R83" s="1">
        <v>17.82</v>
      </c>
      <c r="S83" s="451"/>
      <c r="T83" s="721"/>
    </row>
    <row r="84" spans="1:20" s="1" customFormat="1" ht="73.5" customHeight="1">
      <c r="A84" s="895"/>
      <c r="B84" s="829"/>
      <c r="C84" s="691"/>
      <c r="D84" s="466" t="s">
        <v>396</v>
      </c>
      <c r="E84" s="394" t="s">
        <v>489</v>
      </c>
      <c r="F84" s="386">
        <f>+'MATRIZ GENERAL CONSOLIDADA'!D59</f>
        <v>11</v>
      </c>
      <c r="G84" s="386">
        <f>+'MATRIZ GENERAL CONSOLIDADA'!F59</f>
        <v>11</v>
      </c>
      <c r="H84" s="435">
        <f>+'MATRIZ GENERAL CONSOLIDADA'!E59</f>
        <v>2491671683</v>
      </c>
      <c r="I84" s="435">
        <f>+'MATRIZ GENERAL CONSOLIDADA'!G59</f>
        <v>2414398744.448</v>
      </c>
      <c r="J84" s="75">
        <f>+H84-I84</f>
        <v>77272938.552000046</v>
      </c>
      <c r="K84" s="451"/>
      <c r="L84" s="451"/>
      <c r="M84" s="134"/>
      <c r="N84" s="134"/>
      <c r="O84" s="135"/>
      <c r="P84" s="130"/>
      <c r="Q84" s="1">
        <v>25</v>
      </c>
      <c r="R84" s="1">
        <v>6.75</v>
      </c>
      <c r="S84" s="451"/>
      <c r="T84" s="721"/>
    </row>
    <row r="85" spans="1:20" s="1" customFormat="1" ht="33.75" customHeight="1">
      <c r="A85" s="895"/>
      <c r="B85" s="829"/>
      <c r="C85" s="691"/>
      <c r="D85" s="467" t="s">
        <v>519</v>
      </c>
      <c r="E85" s="394" t="s">
        <v>397</v>
      </c>
      <c r="F85" s="386">
        <f>+'MATRIZ GENERAL CONSOLIDADA'!D60</f>
        <v>1</v>
      </c>
      <c r="G85" s="386">
        <f>+'MATRIZ GENERAL CONSOLIDADA'!F60</f>
        <v>1</v>
      </c>
      <c r="H85" s="435">
        <f>+'MATRIZ GENERAL CONSOLIDADA'!E60</f>
        <v>160033113.48800001</v>
      </c>
      <c r="I85" s="435">
        <f>+'MATRIZ GENERAL CONSOLIDADA'!G60</f>
        <v>159704480</v>
      </c>
      <c r="J85" s="75">
        <f>+H85-I85</f>
        <v>328633.48800000548</v>
      </c>
      <c r="K85" s="451"/>
      <c r="L85" s="451"/>
      <c r="M85" s="134"/>
      <c r="N85" s="134"/>
      <c r="O85" s="135"/>
      <c r="P85" s="130"/>
      <c r="S85" s="451"/>
      <c r="T85" s="721"/>
    </row>
    <row r="86" spans="1:20" s="1" customFormat="1" ht="33.75" customHeight="1">
      <c r="A86" s="895"/>
      <c r="B86" s="829"/>
      <c r="C86" s="691"/>
      <c r="D86" s="467" t="s">
        <v>398</v>
      </c>
      <c r="E86" s="394" t="s">
        <v>399</v>
      </c>
      <c r="F86" s="386">
        <f>+'MATRIZ GENERAL CONSOLIDADA'!D61</f>
        <v>8</v>
      </c>
      <c r="G86" s="386">
        <f>+'MATRIZ GENERAL CONSOLIDADA'!F61</f>
        <v>8</v>
      </c>
      <c r="H86" s="435">
        <f>+'MATRIZ GENERAL CONSOLIDADA'!E61</f>
        <v>0</v>
      </c>
      <c r="I86" s="435">
        <f>+'MATRIZ GENERAL CONSOLIDADA'!G61</f>
        <v>0</v>
      </c>
      <c r="J86" s="75">
        <f t="shared" ref="J86" si="5">+H86-I86</f>
        <v>0</v>
      </c>
      <c r="K86" s="451"/>
      <c r="L86" s="451"/>
      <c r="M86" s="134"/>
      <c r="N86" s="134"/>
      <c r="O86" s="135"/>
      <c r="P86" s="130"/>
      <c r="S86" s="451"/>
      <c r="T86" s="721"/>
    </row>
    <row r="87" spans="1:20" s="1" customFormat="1" ht="69.75" customHeight="1">
      <c r="A87" s="895"/>
      <c r="B87" s="829"/>
      <c r="C87" s="691"/>
      <c r="D87" s="463" t="s">
        <v>400</v>
      </c>
      <c r="E87" s="394" t="s">
        <v>399</v>
      </c>
      <c r="F87" s="386">
        <f>+'MATRIZ GENERAL CONSOLIDADA'!D62</f>
        <v>1.5</v>
      </c>
      <c r="G87" s="386">
        <f>+'MATRIZ GENERAL CONSOLIDADA'!F62</f>
        <v>1.5</v>
      </c>
      <c r="H87" s="435">
        <f>+'MATRIZ GENERAL CONSOLIDADA'!E62</f>
        <v>15122012618</v>
      </c>
      <c r="I87" s="435">
        <f>+'MATRIZ GENERAL CONSOLIDADA'!G62</f>
        <v>15042242377.044001</v>
      </c>
      <c r="J87" s="75">
        <f>+H87-I87</f>
        <v>79770240.955999374</v>
      </c>
      <c r="K87" s="451"/>
      <c r="L87" s="451"/>
      <c r="M87" s="134"/>
      <c r="N87" s="134"/>
      <c r="O87" s="135"/>
      <c r="P87" s="130"/>
      <c r="S87" s="451"/>
      <c r="T87" s="721"/>
    </row>
    <row r="88" spans="1:20" s="1" customFormat="1" ht="33.75" customHeight="1">
      <c r="A88" s="895"/>
      <c r="B88" s="829"/>
      <c r="C88" s="693"/>
      <c r="D88" s="463" t="s">
        <v>514</v>
      </c>
      <c r="E88" s="394" t="s">
        <v>515</v>
      </c>
      <c r="F88" s="386">
        <f>+'MATRIZ GENERAL CONSOLIDADA'!D63</f>
        <v>0</v>
      </c>
      <c r="G88" s="386">
        <f>+'MATRIZ GENERAL CONSOLIDADA'!F63</f>
        <v>0</v>
      </c>
      <c r="H88" s="435">
        <f>+'MATRIZ GENERAL CONSOLIDADA'!E63</f>
        <v>111345620</v>
      </c>
      <c r="I88" s="435">
        <f>+'MATRIZ GENERAL CONSOLIDADA'!G63</f>
        <v>110315305</v>
      </c>
      <c r="J88" s="75">
        <f>+H88-I88</f>
        <v>1030315</v>
      </c>
      <c r="K88" s="451"/>
      <c r="L88" s="451"/>
      <c r="M88" s="134"/>
      <c r="N88" s="134"/>
      <c r="O88" s="135"/>
      <c r="P88" s="130"/>
      <c r="S88" s="451"/>
      <c r="T88" s="721"/>
    </row>
    <row r="89" spans="1:20" s="1" customFormat="1" ht="15">
      <c r="A89" s="895"/>
      <c r="B89" s="874"/>
      <c r="C89" s="468"/>
      <c r="D89" s="875" t="s">
        <v>319</v>
      </c>
      <c r="E89" s="876"/>
      <c r="F89" s="876"/>
      <c r="G89" s="876"/>
      <c r="H89" s="458">
        <f>SUM(H82:H88)</f>
        <v>18773972582.088001</v>
      </c>
      <c r="I89" s="387"/>
      <c r="J89" s="867">
        <f>+H89-I90</f>
        <v>161844615.59600067</v>
      </c>
      <c r="K89" s="139"/>
      <c r="L89" s="451"/>
      <c r="M89" s="134">
        <v>630821</v>
      </c>
      <c r="N89" s="134"/>
      <c r="O89" s="135"/>
      <c r="P89" s="130"/>
      <c r="S89" s="451"/>
      <c r="T89" s="721"/>
    </row>
    <row r="90" spans="1:20" s="1" customFormat="1" ht="15">
      <c r="A90" s="895"/>
      <c r="B90" s="874"/>
      <c r="C90" s="705"/>
      <c r="D90" s="876" t="s">
        <v>320</v>
      </c>
      <c r="E90" s="876"/>
      <c r="F90" s="876"/>
      <c r="G90" s="876"/>
      <c r="H90" s="876"/>
      <c r="I90" s="458">
        <f>SUM(I82:I89)</f>
        <v>18612127966.492001</v>
      </c>
      <c r="J90" s="867"/>
      <c r="K90" s="136"/>
      <c r="L90" s="451"/>
      <c r="M90" s="134">
        <v>4107244</v>
      </c>
      <c r="N90" s="134"/>
      <c r="O90" s="135"/>
      <c r="P90" s="130"/>
      <c r="S90" s="451"/>
      <c r="T90" s="721"/>
    </row>
    <row r="91" spans="1:20" s="1" customFormat="1" ht="15">
      <c r="A91" s="895"/>
      <c r="B91" s="894"/>
      <c r="C91" s="706"/>
      <c r="D91" s="877" t="s">
        <v>321</v>
      </c>
      <c r="E91" s="877"/>
      <c r="F91" s="877"/>
      <c r="G91" s="877"/>
      <c r="H91" s="877"/>
      <c r="I91" s="513">
        <f>+'Anexo 1 Matriz SINA Inf Gestión'!R56/100</f>
        <v>0.99137930904669502</v>
      </c>
      <c r="J91" s="867"/>
      <c r="K91" s="136"/>
      <c r="L91" s="451"/>
      <c r="M91" s="134"/>
      <c r="N91" s="134"/>
      <c r="O91" s="135"/>
      <c r="P91" s="130"/>
      <c r="S91" s="451"/>
      <c r="T91" s="721"/>
    </row>
    <row r="92" spans="1:20" s="1" customFormat="1" ht="15">
      <c r="A92" s="895"/>
      <c r="B92" s="894"/>
      <c r="C92" s="706"/>
      <c r="D92" s="859" t="s">
        <v>526</v>
      </c>
      <c r="E92" s="860"/>
      <c r="F92" s="860"/>
      <c r="G92" s="860"/>
      <c r="H92" s="861"/>
      <c r="I92" s="687">
        <f>+'Anexo 1 Matriz SINA Inf Gestión'!K56/100</f>
        <v>1</v>
      </c>
      <c r="J92" s="867"/>
      <c r="K92" s="136"/>
      <c r="L92" s="451"/>
      <c r="M92" s="134"/>
      <c r="N92" s="134"/>
      <c r="O92" s="135"/>
      <c r="P92" s="130"/>
      <c r="S92" s="451"/>
      <c r="T92" s="721"/>
    </row>
    <row r="93" spans="1:20" s="1" customFormat="1" ht="23.25" customHeight="1">
      <c r="A93" s="895"/>
      <c r="B93" s="847" t="s">
        <v>306</v>
      </c>
      <c r="C93" s="697"/>
      <c r="D93" s="868" t="s">
        <v>541</v>
      </c>
      <c r="E93" s="848" t="s">
        <v>95</v>
      </c>
      <c r="F93" s="848" t="s">
        <v>308</v>
      </c>
      <c r="G93" s="848"/>
      <c r="H93" s="862" t="s">
        <v>309</v>
      </c>
      <c r="I93" s="862"/>
      <c r="J93" s="863"/>
      <c r="K93" s="451"/>
      <c r="L93" s="451"/>
      <c r="M93" s="140"/>
      <c r="N93" s="137"/>
      <c r="O93" s="141"/>
      <c r="P93" s="130"/>
      <c r="S93" s="451"/>
      <c r="T93" s="721"/>
    </row>
    <row r="94" spans="1:20" s="1" customFormat="1" ht="33.75" customHeight="1">
      <c r="A94" s="895"/>
      <c r="B94" s="847"/>
      <c r="C94" s="708"/>
      <c r="D94" s="869"/>
      <c r="E94" s="848"/>
      <c r="F94" s="455" t="s">
        <v>310</v>
      </c>
      <c r="G94" s="455" t="s">
        <v>311</v>
      </c>
      <c r="H94" s="456" t="s">
        <v>312</v>
      </c>
      <c r="I94" s="700" t="s">
        <v>313</v>
      </c>
      <c r="J94" s="701" t="s">
        <v>314</v>
      </c>
      <c r="K94" s="451"/>
      <c r="L94" s="451"/>
      <c r="M94" s="140"/>
      <c r="N94" s="137"/>
      <c r="O94" s="141"/>
      <c r="P94" s="130"/>
      <c r="S94" s="451"/>
      <c r="T94" s="721"/>
    </row>
    <row r="95" spans="1:20" s="1" customFormat="1" ht="50.25" customHeight="1">
      <c r="A95" s="895"/>
      <c r="B95" s="873" t="s">
        <v>540</v>
      </c>
      <c r="C95" s="693"/>
      <c r="D95" s="430" t="s">
        <v>401</v>
      </c>
      <c r="E95" s="394" t="s">
        <v>1</v>
      </c>
      <c r="F95" s="386">
        <f>+'MATRIZ GENERAL CONSOLIDADA'!D65</f>
        <v>100</v>
      </c>
      <c r="G95" s="386">
        <f>+'MATRIZ GENERAL CONSOLIDADA'!F65</f>
        <v>100</v>
      </c>
      <c r="H95" s="435">
        <f>+'MATRIZ GENERAL CONSOLIDADA'!E65</f>
        <v>52999999.508000001</v>
      </c>
      <c r="I95" s="435">
        <f>+'MATRIZ GENERAL CONSOLIDADA'!G65</f>
        <v>52999999.508000001</v>
      </c>
      <c r="J95" s="75">
        <f>+H95-I95</f>
        <v>0</v>
      </c>
      <c r="K95" s="451"/>
      <c r="L95" s="451"/>
      <c r="M95" s="140"/>
      <c r="N95" s="137"/>
      <c r="O95" s="141"/>
      <c r="P95" s="130"/>
      <c r="Q95" s="1">
        <v>0</v>
      </c>
      <c r="S95" s="451"/>
      <c r="T95" s="721"/>
    </row>
    <row r="96" spans="1:20" s="1" customFormat="1" ht="44.25" customHeight="1">
      <c r="A96" s="895"/>
      <c r="B96" s="873"/>
      <c r="C96" s="693"/>
      <c r="D96" s="469" t="s">
        <v>403</v>
      </c>
      <c r="E96" s="394" t="s">
        <v>130</v>
      </c>
      <c r="F96" s="386">
        <f>+'MATRIZ GENERAL CONSOLIDADA'!D66</f>
        <v>8</v>
      </c>
      <c r="G96" s="386">
        <f>+'MATRIZ GENERAL CONSOLIDADA'!F66</f>
        <v>8</v>
      </c>
      <c r="H96" s="435">
        <f>+'MATRIZ GENERAL CONSOLIDADA'!E66</f>
        <v>419638592.88999999</v>
      </c>
      <c r="I96" s="435">
        <f>+'MATRIZ GENERAL CONSOLIDADA'!G66</f>
        <v>419638502.08999997</v>
      </c>
      <c r="J96" s="75">
        <f t="shared" ref="J96:J98" si="6">+H96-I96</f>
        <v>90.800000011920929</v>
      </c>
      <c r="K96" s="451"/>
      <c r="L96" s="451"/>
      <c r="M96" s="140"/>
      <c r="N96" s="137"/>
      <c r="O96" s="141"/>
      <c r="P96" s="376"/>
      <c r="Q96" s="1">
        <v>50</v>
      </c>
      <c r="R96" s="1">
        <v>10</v>
      </c>
      <c r="S96" s="451"/>
      <c r="T96" s="721"/>
    </row>
    <row r="97" spans="1:20" s="1" customFormat="1" ht="44.25" customHeight="1">
      <c r="A97" s="895"/>
      <c r="B97" s="873"/>
      <c r="C97" s="693"/>
      <c r="D97" s="395" t="s">
        <v>404</v>
      </c>
      <c r="E97" s="394" t="s">
        <v>406</v>
      </c>
      <c r="F97" s="386">
        <f>+'MATRIZ GENERAL CONSOLIDADA'!D67</f>
        <v>2</v>
      </c>
      <c r="G97" s="386">
        <f>+'MATRIZ GENERAL CONSOLIDADA'!F67</f>
        <v>2</v>
      </c>
      <c r="H97" s="435">
        <f>+'MATRIZ GENERAL CONSOLIDADA'!E67</f>
        <v>129896750</v>
      </c>
      <c r="I97" s="435">
        <f>+'MATRIZ GENERAL CONSOLIDADA'!G67</f>
        <v>129896750</v>
      </c>
      <c r="J97" s="75"/>
      <c r="K97" s="451"/>
      <c r="L97" s="451"/>
      <c r="M97" s="140"/>
      <c r="N97" s="137"/>
      <c r="O97" s="141"/>
      <c r="P97" s="376"/>
      <c r="S97" s="451"/>
      <c r="T97" s="721"/>
    </row>
    <row r="98" spans="1:20" s="1" customFormat="1" ht="61.5" customHeight="1">
      <c r="A98" s="895"/>
      <c r="B98" s="873"/>
      <c r="C98" s="693"/>
      <c r="D98" s="470" t="s">
        <v>405</v>
      </c>
      <c r="E98" s="394" t="s">
        <v>130</v>
      </c>
      <c r="F98" s="386">
        <f>+'MATRIZ GENERAL CONSOLIDADA'!D68</f>
        <v>4</v>
      </c>
      <c r="G98" s="386">
        <f>+'MATRIZ GENERAL CONSOLIDADA'!F68</f>
        <v>4</v>
      </c>
      <c r="H98" s="435">
        <f>+'MATRIZ GENERAL CONSOLIDADA'!E68</f>
        <v>1384945663.49</v>
      </c>
      <c r="I98" s="435">
        <f>+'MATRIZ GENERAL CONSOLIDADA'!G68</f>
        <v>1380489362.29</v>
      </c>
      <c r="J98" s="75">
        <f t="shared" si="6"/>
        <v>4456301.2000000477</v>
      </c>
      <c r="K98" s="451"/>
      <c r="L98" s="451"/>
      <c r="M98" s="140"/>
      <c r="N98" s="137"/>
      <c r="O98" s="141"/>
      <c r="P98" s="130"/>
      <c r="S98" s="451"/>
      <c r="T98" s="721"/>
    </row>
    <row r="99" spans="1:20" s="1" customFormat="1" ht="15">
      <c r="A99" s="895"/>
      <c r="B99" s="874"/>
      <c r="C99" s="705"/>
      <c r="D99" s="875" t="s">
        <v>319</v>
      </c>
      <c r="E99" s="876"/>
      <c r="F99" s="876"/>
      <c r="G99" s="876"/>
      <c r="H99" s="458">
        <f>SUM(H95:H98)</f>
        <v>1987481005.888</v>
      </c>
      <c r="I99" s="583"/>
      <c r="J99" s="867">
        <f>+H99-I100</f>
        <v>4456392</v>
      </c>
      <c r="K99" s="451"/>
      <c r="L99" s="451"/>
      <c r="M99" s="140"/>
      <c r="N99" s="137"/>
      <c r="O99" s="141"/>
      <c r="P99" s="130"/>
      <c r="S99" s="451"/>
      <c r="T99" s="721"/>
    </row>
    <row r="100" spans="1:20" s="1" customFormat="1" ht="15">
      <c r="A100" s="895"/>
      <c r="B100" s="874"/>
      <c r="C100" s="705"/>
      <c r="D100" s="876" t="s">
        <v>320</v>
      </c>
      <c r="E100" s="876"/>
      <c r="F100" s="876"/>
      <c r="G100" s="876"/>
      <c r="H100" s="876"/>
      <c r="I100" s="458">
        <f>SUM(I95:I99)</f>
        <v>1983024613.888</v>
      </c>
      <c r="J100" s="867"/>
      <c r="K100" s="451"/>
      <c r="L100" s="451"/>
      <c r="M100" s="140"/>
      <c r="N100" s="137"/>
      <c r="O100" s="141"/>
      <c r="P100" s="130"/>
      <c r="S100" s="451"/>
      <c r="T100" s="721"/>
    </row>
    <row r="101" spans="1:20" s="1" customFormat="1" ht="15">
      <c r="A101" s="895"/>
      <c r="B101" s="874"/>
      <c r="C101" s="705"/>
      <c r="D101" s="877" t="s">
        <v>321</v>
      </c>
      <c r="E101" s="877"/>
      <c r="F101" s="877"/>
      <c r="G101" s="877"/>
      <c r="H101" s="877"/>
      <c r="I101" s="673">
        <f>+'Anexo 1 Matriz SINA Inf Gestión'!R64/100</f>
        <v>0.99775776876015532</v>
      </c>
      <c r="J101" s="867"/>
      <c r="K101" s="451"/>
      <c r="L101" s="451"/>
      <c r="M101" s="140"/>
      <c r="N101" s="137"/>
      <c r="O101" s="141"/>
      <c r="P101" s="130"/>
      <c r="S101" s="451"/>
      <c r="T101" s="721"/>
    </row>
    <row r="102" spans="1:20" s="1" customFormat="1" ht="15">
      <c r="A102" s="895"/>
      <c r="B102" s="874"/>
      <c r="C102" s="705"/>
      <c r="D102" s="859" t="s">
        <v>526</v>
      </c>
      <c r="E102" s="860"/>
      <c r="F102" s="860"/>
      <c r="G102" s="860"/>
      <c r="H102" s="861"/>
      <c r="I102" s="663">
        <f>+'Anexo 1 Matriz SINA Inf Gestión'!F64/100</f>
        <v>1</v>
      </c>
      <c r="J102" s="867"/>
      <c r="K102" s="451"/>
      <c r="L102" s="451"/>
      <c r="M102" s="140"/>
      <c r="N102" s="137"/>
      <c r="O102" s="141"/>
      <c r="P102" s="130"/>
      <c r="S102" s="451"/>
      <c r="T102" s="721"/>
    </row>
    <row r="103" spans="1:20" s="1" customFormat="1" ht="19.5" customHeight="1">
      <c r="A103" s="878" t="s">
        <v>305</v>
      </c>
      <c r="B103" s="847" t="s">
        <v>306</v>
      </c>
      <c r="C103" s="697"/>
      <c r="D103" s="868" t="s">
        <v>541</v>
      </c>
      <c r="E103" s="848" t="s">
        <v>95</v>
      </c>
      <c r="F103" s="848" t="s">
        <v>308</v>
      </c>
      <c r="G103" s="848"/>
      <c r="H103" s="862" t="s">
        <v>309</v>
      </c>
      <c r="I103" s="862"/>
      <c r="J103" s="863"/>
      <c r="K103" s="451"/>
      <c r="L103" s="451"/>
      <c r="M103" s="134"/>
      <c r="N103" s="134"/>
      <c r="O103" s="135"/>
      <c r="P103" s="130"/>
      <c r="S103" s="451"/>
      <c r="T103" s="721"/>
    </row>
    <row r="104" spans="1:20" s="1" customFormat="1" ht="28.5" customHeight="1">
      <c r="A104" s="878"/>
      <c r="B104" s="847"/>
      <c r="C104" s="708"/>
      <c r="D104" s="869"/>
      <c r="E104" s="848"/>
      <c r="F104" s="455" t="s">
        <v>310</v>
      </c>
      <c r="G104" s="455" t="s">
        <v>311</v>
      </c>
      <c r="H104" s="471" t="s">
        <v>312</v>
      </c>
      <c r="I104" s="455" t="s">
        <v>313</v>
      </c>
      <c r="J104" s="472" t="s">
        <v>314</v>
      </c>
      <c r="K104" s="451"/>
      <c r="L104" s="451"/>
      <c r="M104" s="134"/>
      <c r="N104" s="134"/>
      <c r="O104" s="135"/>
      <c r="P104" s="130"/>
      <c r="S104" s="451"/>
      <c r="T104" s="721"/>
    </row>
    <row r="105" spans="1:20" s="1" customFormat="1" ht="68.25" customHeight="1">
      <c r="A105" s="899" t="s">
        <v>471</v>
      </c>
      <c r="B105" s="849" t="s">
        <v>472</v>
      </c>
      <c r="C105" s="691"/>
      <c r="D105" s="430" t="s">
        <v>408</v>
      </c>
      <c r="E105" s="394" t="s">
        <v>179</v>
      </c>
      <c r="F105" s="386">
        <f>+'MATRIZ GENERAL CONSOLIDADA'!D71</f>
        <v>100</v>
      </c>
      <c r="G105" s="386">
        <f>+'MATRIZ GENERAL CONSOLIDADA'!F71</f>
        <v>100</v>
      </c>
      <c r="H105" s="435">
        <f>+'MATRIZ GENERAL CONSOLIDADA'!E71</f>
        <v>0</v>
      </c>
      <c r="I105" s="435">
        <f>+'MATRIZ GENERAL CONSOLIDADA'!G71</f>
        <v>0</v>
      </c>
      <c r="J105" s="75">
        <f t="shared" ref="J105:J120" si="7">+H105-I105</f>
        <v>0</v>
      </c>
      <c r="K105" s="451"/>
      <c r="L105" s="451"/>
      <c r="M105" s="142">
        <v>951912</v>
      </c>
      <c r="N105" s="134">
        <v>69813</v>
      </c>
      <c r="O105" s="135">
        <v>412670</v>
      </c>
      <c r="P105" s="376"/>
      <c r="S105" s="451"/>
      <c r="T105" s="721"/>
    </row>
    <row r="106" spans="1:20" s="1" customFormat="1" ht="60.75" customHeight="1">
      <c r="A106" s="882"/>
      <c r="B106" s="850"/>
      <c r="C106" s="691"/>
      <c r="D106" s="429" t="s">
        <v>409</v>
      </c>
      <c r="E106" s="394" t="s">
        <v>179</v>
      </c>
      <c r="F106" s="386">
        <f>+'MATRIZ GENERAL CONSOLIDADA'!D72</f>
        <v>100</v>
      </c>
      <c r="G106" s="386">
        <f>+'MATRIZ GENERAL CONSOLIDADA'!F72</f>
        <v>100</v>
      </c>
      <c r="H106" s="435">
        <f>+'MATRIZ GENERAL CONSOLIDADA'!E72</f>
        <v>13432564</v>
      </c>
      <c r="I106" s="435">
        <f>+'MATRIZ GENERAL CONSOLIDADA'!G72</f>
        <v>13432564</v>
      </c>
      <c r="J106" s="75">
        <f t="shared" si="7"/>
        <v>0</v>
      </c>
      <c r="K106" s="451"/>
      <c r="L106" s="451"/>
      <c r="M106" s="142"/>
      <c r="N106" s="134"/>
      <c r="O106" s="135"/>
      <c r="P106" s="130"/>
      <c r="S106" s="451"/>
      <c r="T106" s="721"/>
    </row>
    <row r="107" spans="1:20" s="1" customFormat="1" ht="48" customHeight="1">
      <c r="A107" s="882"/>
      <c r="B107" s="850"/>
      <c r="C107" s="691"/>
      <c r="D107" s="429" t="s">
        <v>410</v>
      </c>
      <c r="E107" s="394" t="s">
        <v>179</v>
      </c>
      <c r="F107" s="386">
        <f>+'MATRIZ GENERAL CONSOLIDADA'!D73</f>
        <v>100</v>
      </c>
      <c r="G107" s="386">
        <f>+'MATRIZ GENERAL CONSOLIDADA'!F73</f>
        <v>100</v>
      </c>
      <c r="H107" s="435">
        <f>+'MATRIZ GENERAL CONSOLIDADA'!E73</f>
        <v>0</v>
      </c>
      <c r="I107" s="435">
        <f>+'MATRIZ GENERAL CONSOLIDADA'!G73</f>
        <v>0</v>
      </c>
      <c r="J107" s="75">
        <f t="shared" si="7"/>
        <v>0</v>
      </c>
      <c r="K107" s="451"/>
      <c r="L107" s="451"/>
      <c r="M107" s="142"/>
      <c r="N107" s="134"/>
      <c r="O107" s="135"/>
      <c r="P107" s="130"/>
      <c r="S107" s="451"/>
      <c r="T107" s="721"/>
    </row>
    <row r="108" spans="1:20" s="1" customFormat="1" ht="48.75" customHeight="1">
      <c r="A108" s="882"/>
      <c r="B108" s="850"/>
      <c r="C108" s="691"/>
      <c r="D108" s="430" t="s">
        <v>411</v>
      </c>
      <c r="E108" s="394" t="s">
        <v>1</v>
      </c>
      <c r="F108" s="386">
        <f>+'MATRIZ GENERAL CONSOLIDADA'!D74</f>
        <v>100</v>
      </c>
      <c r="G108" s="386">
        <f>+'MATRIZ GENERAL CONSOLIDADA'!F74</f>
        <v>100</v>
      </c>
      <c r="H108" s="435">
        <f>+'MATRIZ GENERAL CONSOLIDADA'!E74</f>
        <v>2378743199.055706</v>
      </c>
      <c r="I108" s="435">
        <f>+'MATRIZ GENERAL CONSOLIDADA'!G74</f>
        <v>2376134621.0599999</v>
      </c>
      <c r="J108" s="75">
        <f>+H108-I108</f>
        <v>2608577.9957060814</v>
      </c>
      <c r="K108" s="451"/>
      <c r="L108" s="451"/>
      <c r="M108" s="142"/>
      <c r="N108" s="134"/>
      <c r="O108" s="135"/>
      <c r="P108" s="130"/>
      <c r="S108" s="451"/>
      <c r="T108" s="721"/>
    </row>
    <row r="109" spans="1:20" s="1" customFormat="1" ht="47.25" customHeight="1">
      <c r="A109" s="882"/>
      <c r="B109" s="850"/>
      <c r="C109" s="691"/>
      <c r="D109" s="430" t="s">
        <v>412</v>
      </c>
      <c r="E109" s="394" t="s">
        <v>490</v>
      </c>
      <c r="F109" s="386">
        <f>+'MATRIZ GENERAL CONSOLIDADA'!D75</f>
        <v>60</v>
      </c>
      <c r="G109" s="386">
        <f>+'MATRIZ GENERAL CONSOLIDADA'!F75</f>
        <v>60</v>
      </c>
      <c r="H109" s="435">
        <f>+'MATRIZ GENERAL CONSOLIDADA'!E75</f>
        <v>0</v>
      </c>
      <c r="I109" s="435">
        <f>+'MATRIZ GENERAL CONSOLIDADA'!G75</f>
        <v>0</v>
      </c>
      <c r="J109" s="75">
        <f t="shared" si="7"/>
        <v>0</v>
      </c>
      <c r="K109" s="451"/>
      <c r="L109" s="451"/>
      <c r="M109" s="142"/>
      <c r="N109" s="134"/>
      <c r="O109" s="135"/>
      <c r="P109" s="130"/>
      <c r="S109" s="451"/>
      <c r="T109" s="721"/>
    </row>
    <row r="110" spans="1:20" s="1" customFormat="1" ht="56.25" customHeight="1">
      <c r="A110" s="882"/>
      <c r="B110" s="850"/>
      <c r="C110" s="691"/>
      <c r="D110" s="430" t="s">
        <v>413</v>
      </c>
      <c r="E110" s="394" t="s">
        <v>179</v>
      </c>
      <c r="F110" s="386">
        <f>+'MATRIZ GENERAL CONSOLIDADA'!D76</f>
        <v>27.5</v>
      </c>
      <c r="G110" s="386">
        <f>+'MATRIZ GENERAL CONSOLIDADA'!F76</f>
        <v>27.5</v>
      </c>
      <c r="H110" s="435">
        <f>+'MATRIZ GENERAL CONSOLIDADA'!E76</f>
        <v>445191433.45120203</v>
      </c>
      <c r="I110" s="435">
        <f>+'MATRIZ GENERAL CONSOLIDADA'!G76</f>
        <v>439211108.30400002</v>
      </c>
      <c r="J110" s="75">
        <f>+H110-I110</f>
        <v>5980325.1472020149</v>
      </c>
      <c r="K110" s="451"/>
      <c r="L110" s="451"/>
      <c r="M110" s="142"/>
      <c r="N110" s="134"/>
      <c r="O110" s="135"/>
      <c r="P110" s="376"/>
      <c r="S110" s="451"/>
      <c r="T110" s="721"/>
    </row>
    <row r="111" spans="1:20" s="1" customFormat="1" ht="78" customHeight="1">
      <c r="A111" s="882"/>
      <c r="B111" s="850"/>
      <c r="C111" s="691"/>
      <c r="D111" s="426" t="s">
        <v>414</v>
      </c>
      <c r="E111" s="394" t="s">
        <v>179</v>
      </c>
      <c r="F111" s="386">
        <f>+'MATRIZ GENERAL CONSOLIDADA'!D77</f>
        <v>100</v>
      </c>
      <c r="G111" s="386">
        <f>+'MATRIZ GENERAL CONSOLIDADA'!F77</f>
        <v>100</v>
      </c>
      <c r="H111" s="435">
        <f>+'MATRIZ GENERAL CONSOLIDADA'!E77</f>
        <v>267780424.62</v>
      </c>
      <c r="I111" s="435">
        <f>+'MATRIZ GENERAL CONSOLIDADA'!G77</f>
        <v>267770384.5</v>
      </c>
      <c r="J111" s="75">
        <f t="shared" si="7"/>
        <v>10040.120000004768</v>
      </c>
      <c r="K111" s="451"/>
      <c r="L111" s="451"/>
      <c r="M111" s="142"/>
      <c r="N111" s="134"/>
      <c r="O111" s="135"/>
      <c r="P111" s="130"/>
      <c r="S111" s="451"/>
      <c r="T111" s="721"/>
    </row>
    <row r="112" spans="1:20" s="1" customFormat="1" ht="53.25" customHeight="1">
      <c r="A112" s="882"/>
      <c r="B112" s="850"/>
      <c r="C112" s="691"/>
      <c r="D112" s="473" t="s">
        <v>415</v>
      </c>
      <c r="E112" s="394" t="s">
        <v>181</v>
      </c>
      <c r="F112" s="386">
        <f>+'MATRIZ GENERAL CONSOLIDADA'!D78</f>
        <v>1</v>
      </c>
      <c r="G112" s="386">
        <f>+'MATRIZ GENERAL CONSOLIDADA'!F78</f>
        <v>1</v>
      </c>
      <c r="H112" s="435">
        <f>+'MATRIZ GENERAL CONSOLIDADA'!E78</f>
        <v>3740683715.7480001</v>
      </c>
      <c r="I112" s="435">
        <f>+'MATRIZ GENERAL CONSOLIDADA'!G78</f>
        <v>3740112211.9960003</v>
      </c>
      <c r="J112" s="75">
        <f t="shared" si="7"/>
        <v>571503.75199985504</v>
      </c>
      <c r="K112" s="451"/>
      <c r="L112" s="451"/>
      <c r="M112" s="142">
        <v>561108</v>
      </c>
      <c r="N112" s="134">
        <v>210274</v>
      </c>
      <c r="O112" s="135"/>
      <c r="P112" s="130"/>
      <c r="S112" s="451"/>
      <c r="T112" s="721"/>
    </row>
    <row r="113" spans="1:20" s="1" customFormat="1" ht="55.5" customHeight="1">
      <c r="A113" s="882"/>
      <c r="B113" s="850"/>
      <c r="C113" s="691"/>
      <c r="D113" s="473" t="s">
        <v>416</v>
      </c>
      <c r="E113" s="394" t="s">
        <v>417</v>
      </c>
      <c r="F113" s="386">
        <f>+'MATRIZ GENERAL CONSOLIDADA'!D79</f>
        <v>4</v>
      </c>
      <c r="G113" s="386">
        <f>+'MATRIZ GENERAL CONSOLIDADA'!F79</f>
        <v>4</v>
      </c>
      <c r="H113" s="435">
        <f>+'MATRIZ GENERAL CONSOLIDADA'!E79</f>
        <v>273481512.33999997</v>
      </c>
      <c r="I113" s="435">
        <f>+'MATRIZ GENERAL CONSOLIDADA'!G79</f>
        <v>273481512</v>
      </c>
      <c r="J113" s="75">
        <f t="shared" si="7"/>
        <v>0.3399999737739563</v>
      </c>
      <c r="K113" s="451"/>
      <c r="L113" s="451"/>
      <c r="M113" s="142">
        <v>425686</v>
      </c>
      <c r="N113" s="134">
        <v>63158</v>
      </c>
      <c r="O113" s="135"/>
      <c r="P113" s="130"/>
      <c r="S113" s="451"/>
      <c r="T113" s="721"/>
    </row>
    <row r="114" spans="1:20" s="1" customFormat="1" ht="38.25" customHeight="1">
      <c r="A114" s="882"/>
      <c r="B114" s="850"/>
      <c r="C114" s="691"/>
      <c r="D114" s="463" t="s">
        <v>418</v>
      </c>
      <c r="E114" s="394" t="s">
        <v>181</v>
      </c>
      <c r="F114" s="386">
        <f>+'MATRIZ GENERAL CONSOLIDADA'!D80</f>
        <v>1</v>
      </c>
      <c r="G114" s="386">
        <f>+'MATRIZ GENERAL CONSOLIDADA'!F80</f>
        <v>1</v>
      </c>
      <c r="H114" s="435">
        <f>+'MATRIZ GENERAL CONSOLIDADA'!E80</f>
        <v>80995909.439999998</v>
      </c>
      <c r="I114" s="435">
        <f>+'MATRIZ GENERAL CONSOLIDADA'!G80</f>
        <v>80995909.299999997</v>
      </c>
      <c r="J114" s="75">
        <f t="shared" si="7"/>
        <v>0.14000000059604645</v>
      </c>
      <c r="K114" s="451"/>
      <c r="L114" s="451"/>
      <c r="M114" s="142"/>
      <c r="N114" s="134"/>
      <c r="O114" s="135"/>
      <c r="P114" s="130"/>
      <c r="S114" s="451"/>
      <c r="T114" s="721"/>
    </row>
    <row r="115" spans="1:20" s="1" customFormat="1" ht="40.5" customHeight="1">
      <c r="A115" s="882"/>
      <c r="B115" s="850"/>
      <c r="C115" s="691"/>
      <c r="D115" s="473" t="s">
        <v>419</v>
      </c>
      <c r="E115" s="394" t="s">
        <v>191</v>
      </c>
      <c r="F115" s="386">
        <f>+'MATRIZ GENERAL CONSOLIDADA'!D81</f>
        <v>1</v>
      </c>
      <c r="G115" s="386">
        <f>+'MATRIZ GENERAL CONSOLIDADA'!F81</f>
        <v>1</v>
      </c>
      <c r="H115" s="435">
        <f>+'MATRIZ GENERAL CONSOLIDADA'!E81</f>
        <v>828294580.5</v>
      </c>
      <c r="I115" s="435">
        <f>+'MATRIZ GENERAL CONSOLIDADA'!G81</f>
        <v>824174581.5</v>
      </c>
      <c r="J115" s="75">
        <f t="shared" si="7"/>
        <v>4119999</v>
      </c>
      <c r="K115" s="451"/>
      <c r="L115" s="451"/>
      <c r="M115" s="142"/>
      <c r="N115" s="134"/>
      <c r="O115" s="135"/>
      <c r="P115" s="130"/>
      <c r="S115" s="451"/>
      <c r="T115" s="721"/>
    </row>
    <row r="116" spans="1:20" s="1" customFormat="1" ht="40.5" customHeight="1">
      <c r="A116" s="882"/>
      <c r="B116" s="850"/>
      <c r="C116" s="691"/>
      <c r="D116" s="463" t="s">
        <v>420</v>
      </c>
      <c r="E116" s="394" t="s">
        <v>1</v>
      </c>
      <c r="F116" s="386">
        <f>+'MATRIZ GENERAL CONSOLIDADA'!D82</f>
        <v>100</v>
      </c>
      <c r="G116" s="386">
        <f>+'MATRIZ GENERAL CONSOLIDADA'!F82</f>
        <v>100</v>
      </c>
      <c r="H116" s="435">
        <f>+'MATRIZ GENERAL CONSOLIDADA'!E82</f>
        <v>36417200</v>
      </c>
      <c r="I116" s="435">
        <f>+'MATRIZ GENERAL CONSOLIDADA'!G82</f>
        <v>36417200</v>
      </c>
      <c r="J116" s="75">
        <f t="shared" si="7"/>
        <v>0</v>
      </c>
      <c r="K116" s="451"/>
      <c r="L116" s="451"/>
      <c r="M116" s="142"/>
      <c r="N116" s="134"/>
      <c r="O116" s="135"/>
      <c r="P116" s="130"/>
      <c r="S116" s="451"/>
      <c r="T116" s="721"/>
    </row>
    <row r="117" spans="1:20" s="1" customFormat="1" ht="30">
      <c r="A117" s="882"/>
      <c r="B117" s="850"/>
      <c r="C117" s="691"/>
      <c r="D117" s="463" t="s">
        <v>421</v>
      </c>
      <c r="E117" s="394" t="s">
        <v>180</v>
      </c>
      <c r="F117" s="386">
        <f>+'MATRIZ GENERAL CONSOLIDADA'!D83</f>
        <v>37</v>
      </c>
      <c r="G117" s="386">
        <f>+'MATRIZ GENERAL CONSOLIDADA'!F83</f>
        <v>37</v>
      </c>
      <c r="H117" s="435">
        <f>+'MATRIZ GENERAL CONSOLIDADA'!E83</f>
        <v>36947200</v>
      </c>
      <c r="I117" s="435">
        <f>+'MATRIZ GENERAL CONSOLIDADA'!G83</f>
        <v>36947200</v>
      </c>
      <c r="J117" s="75">
        <f t="shared" si="7"/>
        <v>0</v>
      </c>
      <c r="K117" s="451"/>
      <c r="L117" s="451"/>
      <c r="M117" s="142"/>
      <c r="N117" s="134"/>
      <c r="O117" s="135"/>
      <c r="P117" s="130"/>
      <c r="S117" s="451"/>
      <c r="T117" s="721"/>
    </row>
    <row r="118" spans="1:20" s="1" customFormat="1" ht="30">
      <c r="A118" s="882"/>
      <c r="B118" s="850"/>
      <c r="C118" s="691"/>
      <c r="D118" s="463" t="s">
        <v>0</v>
      </c>
      <c r="E118" s="394" t="s">
        <v>422</v>
      </c>
      <c r="F118" s="386">
        <f>+'MATRIZ GENERAL CONSOLIDADA'!D84</f>
        <v>1</v>
      </c>
      <c r="G118" s="386">
        <f>+'MATRIZ GENERAL CONSOLIDADA'!F84</f>
        <v>1</v>
      </c>
      <c r="H118" s="435">
        <f>+'MATRIZ GENERAL CONSOLIDADA'!E84</f>
        <v>581465855.14999998</v>
      </c>
      <c r="I118" s="435">
        <f>+'MATRIZ GENERAL CONSOLIDADA'!G84</f>
        <v>581465797</v>
      </c>
      <c r="J118" s="75">
        <f t="shared" si="7"/>
        <v>58.149999976158142</v>
      </c>
      <c r="K118" s="451"/>
      <c r="L118" s="451"/>
      <c r="M118" s="142"/>
      <c r="N118" s="134"/>
      <c r="O118" s="135"/>
      <c r="P118" s="130"/>
      <c r="S118" s="451"/>
      <c r="T118" s="721"/>
    </row>
    <row r="119" spans="1:20" s="1" customFormat="1" ht="19.5" customHeight="1">
      <c r="A119" s="882"/>
      <c r="B119" s="850"/>
      <c r="C119" s="691"/>
      <c r="D119" s="474" t="s">
        <v>423</v>
      </c>
      <c r="E119" s="394" t="s">
        <v>1</v>
      </c>
      <c r="F119" s="386">
        <f>+'MATRIZ GENERAL CONSOLIDADA'!D85</f>
        <v>90</v>
      </c>
      <c r="G119" s="386">
        <f>+'MATRIZ GENERAL CONSOLIDADA'!F85</f>
        <v>90</v>
      </c>
      <c r="H119" s="435">
        <f>+'MATRIZ GENERAL CONSOLIDADA'!E85</f>
        <v>136928800</v>
      </c>
      <c r="I119" s="435">
        <f>+'MATRIZ GENERAL CONSOLIDADA'!G85</f>
        <v>136928800</v>
      </c>
      <c r="J119" s="75">
        <f t="shared" si="7"/>
        <v>0</v>
      </c>
      <c r="K119" s="451"/>
      <c r="L119" s="451"/>
      <c r="M119" s="142"/>
      <c r="N119" s="134"/>
      <c r="O119" s="135"/>
      <c r="P119" s="376"/>
      <c r="S119" s="451"/>
      <c r="T119" s="721"/>
    </row>
    <row r="120" spans="1:20" s="1" customFormat="1" ht="30">
      <c r="A120" s="882"/>
      <c r="B120" s="850"/>
      <c r="C120" s="691"/>
      <c r="D120" s="463" t="s">
        <v>514</v>
      </c>
      <c r="E120" s="394" t="s">
        <v>515</v>
      </c>
      <c r="F120" s="386">
        <f>+'MATRIZ GENERAL CONSOLIDADA'!D86</f>
        <v>0</v>
      </c>
      <c r="G120" s="386">
        <f>+'MATRIZ GENERAL CONSOLIDADA'!F86</f>
        <v>0</v>
      </c>
      <c r="H120" s="435">
        <f>+'MATRIZ GENERAL CONSOLIDADA'!E86</f>
        <v>188927141</v>
      </c>
      <c r="I120" s="435">
        <f>+'MATRIZ GENERAL CONSOLIDADA'!G86</f>
        <v>188927140.94800001</v>
      </c>
      <c r="J120" s="75">
        <f t="shared" si="7"/>
        <v>5.1999986171722412E-2</v>
      </c>
      <c r="K120" s="451"/>
      <c r="L120" s="451"/>
      <c r="M120" s="142"/>
      <c r="N120" s="134"/>
      <c r="O120" s="135"/>
      <c r="P120" s="130"/>
      <c r="S120" s="451"/>
      <c r="T120" s="721"/>
    </row>
    <row r="121" spans="1:20" s="1" customFormat="1" ht="15">
      <c r="A121" s="882"/>
      <c r="B121" s="850"/>
      <c r="C121" s="693"/>
      <c r="D121" s="841" t="s">
        <v>319</v>
      </c>
      <c r="E121" s="842"/>
      <c r="F121" s="842"/>
      <c r="G121" s="843"/>
      <c r="H121" s="458">
        <f>SUM(H105:H120)</f>
        <v>9009289535.3049088</v>
      </c>
      <c r="J121" s="867">
        <f>+H121-I122</f>
        <v>13290504.696908951</v>
      </c>
      <c r="K121" s="136">
        <v>29</v>
      </c>
      <c r="L121" s="451"/>
      <c r="M121" s="142"/>
      <c r="N121" s="134"/>
      <c r="O121" s="135"/>
      <c r="P121" s="130"/>
      <c r="S121" s="451"/>
      <c r="T121" s="721"/>
    </row>
    <row r="122" spans="1:20" s="1" customFormat="1" ht="18" customHeight="1">
      <c r="A122" s="882"/>
      <c r="B122" s="850"/>
      <c r="C122" s="693"/>
      <c r="D122" s="841" t="s">
        <v>320</v>
      </c>
      <c r="E122" s="842"/>
      <c r="F122" s="842"/>
      <c r="G122" s="842"/>
      <c r="H122" s="843"/>
      <c r="I122" s="458">
        <f>SUM(I105:I121)</f>
        <v>8995999030.6079998</v>
      </c>
      <c r="J122" s="867"/>
      <c r="K122" s="451"/>
      <c r="L122" s="451"/>
      <c r="M122" s="137">
        <v>1938706</v>
      </c>
      <c r="N122" s="137">
        <v>343245</v>
      </c>
      <c r="O122" s="141">
        <v>412670</v>
      </c>
      <c r="P122" s="130"/>
      <c r="S122" s="451"/>
      <c r="T122" s="721"/>
    </row>
    <row r="123" spans="1:20" s="1" customFormat="1" ht="18" customHeight="1">
      <c r="A123" s="882"/>
      <c r="B123" s="850"/>
      <c r="C123" s="694"/>
      <c r="D123" s="841" t="s">
        <v>321</v>
      </c>
      <c r="E123" s="842"/>
      <c r="F123" s="842"/>
      <c r="G123" s="842"/>
      <c r="H123" s="843"/>
      <c r="I123" s="687">
        <f>+'Anexo 1 Matriz SINA Inf Gestión'!R70/100</f>
        <v>0.99852479991404119</v>
      </c>
      <c r="J123" s="867"/>
      <c r="K123" s="451"/>
      <c r="L123" s="451"/>
      <c r="M123" s="137"/>
      <c r="N123" s="137"/>
      <c r="O123" s="141"/>
      <c r="P123" s="130"/>
      <c r="S123" s="451"/>
      <c r="T123" s="721"/>
    </row>
    <row r="124" spans="1:20" s="1" customFormat="1" ht="18" customHeight="1">
      <c r="A124" s="882"/>
      <c r="B124" s="850"/>
      <c r="C124" s="694"/>
      <c r="D124" s="841" t="s">
        <v>526</v>
      </c>
      <c r="E124" s="842"/>
      <c r="F124" s="842"/>
      <c r="G124" s="842"/>
      <c r="H124" s="843"/>
      <c r="I124" s="513">
        <f>+'Anexo 1 Matriz SINA Inf Gestión'!K70/100</f>
        <v>1</v>
      </c>
      <c r="J124" s="867"/>
      <c r="K124" s="451"/>
      <c r="L124" s="451"/>
      <c r="M124" s="137"/>
      <c r="N124" s="137"/>
      <c r="O124" s="141"/>
      <c r="P124" s="130"/>
      <c r="S124" s="451"/>
      <c r="T124" s="721"/>
    </row>
    <row r="125" spans="1:20" s="1" customFormat="1" ht="19.5" customHeight="1">
      <c r="A125" s="900" t="s">
        <v>305</v>
      </c>
      <c r="B125" s="870" t="s">
        <v>306</v>
      </c>
      <c r="C125" s="708"/>
      <c r="D125" s="868" t="s">
        <v>541</v>
      </c>
      <c r="E125" s="848" t="s">
        <v>95</v>
      </c>
      <c r="F125" s="848" t="s">
        <v>308</v>
      </c>
      <c r="G125" s="848"/>
      <c r="H125" s="862" t="s">
        <v>309</v>
      </c>
      <c r="I125" s="862"/>
      <c r="J125" s="863"/>
      <c r="K125" s="451"/>
      <c r="L125" s="451"/>
      <c r="M125" s="134"/>
      <c r="N125" s="134"/>
      <c r="O125" s="135"/>
      <c r="P125" s="130"/>
      <c r="S125" s="451"/>
      <c r="T125" s="721"/>
    </row>
    <row r="126" spans="1:20" s="1" customFormat="1" ht="50.25" customHeight="1">
      <c r="A126" s="901"/>
      <c r="B126" s="871"/>
      <c r="C126" s="709"/>
      <c r="D126" s="869"/>
      <c r="E126" s="848"/>
      <c r="F126" s="455" t="s">
        <v>310</v>
      </c>
      <c r="G126" s="455" t="s">
        <v>311</v>
      </c>
      <c r="H126" s="456" t="s">
        <v>312</v>
      </c>
      <c r="I126" s="700" t="s">
        <v>313</v>
      </c>
      <c r="J126" s="701" t="s">
        <v>314</v>
      </c>
      <c r="K126" s="451"/>
      <c r="L126" s="451"/>
      <c r="M126" s="134"/>
      <c r="N126" s="134"/>
      <c r="O126" s="135"/>
      <c r="P126" s="130"/>
      <c r="S126" s="451"/>
      <c r="T126" s="721"/>
    </row>
    <row r="127" spans="1:20" s="1" customFormat="1" ht="85.5" customHeight="1">
      <c r="A127" s="899" t="s">
        <v>477</v>
      </c>
      <c r="B127" s="849" t="s">
        <v>478</v>
      </c>
      <c r="C127" s="693"/>
      <c r="D127" s="421" t="s">
        <v>425</v>
      </c>
      <c r="E127" s="394" t="s">
        <v>179</v>
      </c>
      <c r="F127" s="386">
        <f>+'MATRIZ GENERAL CONSOLIDADA'!D89</f>
        <v>100</v>
      </c>
      <c r="G127" s="386">
        <f>+'MATRIZ GENERAL CONSOLIDADA'!F89</f>
        <v>100</v>
      </c>
      <c r="H127" s="435">
        <f>+'MATRIZ GENERAL CONSOLIDADA'!E89</f>
        <v>330522381</v>
      </c>
      <c r="I127" s="435">
        <f>+'MATRIZ GENERAL CONSOLIDADA'!G89</f>
        <v>318494473</v>
      </c>
      <c r="J127" s="75">
        <f>+H127-I127</f>
        <v>12027908</v>
      </c>
      <c r="K127" s="451"/>
      <c r="L127" s="451"/>
      <c r="M127" s="134"/>
      <c r="N127" s="134"/>
      <c r="O127" s="135"/>
      <c r="P127" s="376"/>
      <c r="S127" s="451"/>
      <c r="T127" s="721"/>
    </row>
    <row r="128" spans="1:20" s="1" customFormat="1" ht="81" customHeight="1">
      <c r="A128" s="882"/>
      <c r="B128" s="850"/>
      <c r="C128" s="693"/>
      <c r="D128" s="391" t="s">
        <v>426</v>
      </c>
      <c r="E128" s="394" t="s">
        <v>179</v>
      </c>
      <c r="F128" s="386">
        <f>+'MATRIZ GENERAL CONSOLIDADA'!D90</f>
        <v>100</v>
      </c>
      <c r="G128" s="386">
        <f>+'MATRIZ GENERAL CONSOLIDADA'!F90</f>
        <v>100</v>
      </c>
      <c r="H128" s="435">
        <f>+'MATRIZ GENERAL CONSOLIDADA'!E90</f>
        <v>240041874</v>
      </c>
      <c r="I128" s="435">
        <f>+'MATRIZ GENERAL CONSOLIDADA'!G90</f>
        <v>225383874</v>
      </c>
      <c r="J128" s="75">
        <f t="shared" ref="J128:J132" si="8">+H128-I128</f>
        <v>14658000</v>
      </c>
      <c r="K128" s="451"/>
      <c r="L128" s="451"/>
      <c r="M128" s="134"/>
      <c r="N128" s="134"/>
      <c r="O128" s="135"/>
      <c r="P128" s="130"/>
      <c r="S128" s="451"/>
      <c r="T128" s="721"/>
    </row>
    <row r="129" spans="1:20" s="1" customFormat="1" ht="81" customHeight="1">
      <c r="A129" s="882"/>
      <c r="B129" s="850"/>
      <c r="C129" s="693"/>
      <c r="D129" s="321" t="s">
        <v>427</v>
      </c>
      <c r="E129" s="174" t="s">
        <v>1</v>
      </c>
      <c r="F129" s="386">
        <f>+'MATRIZ GENERAL CONSOLIDADA'!D91</f>
        <v>100</v>
      </c>
      <c r="G129" s="386">
        <f>+'MATRIZ GENERAL CONSOLIDADA'!F91</f>
        <v>100</v>
      </c>
      <c r="H129" s="435">
        <f>+'MATRIZ GENERAL CONSOLIDADA'!E91</f>
        <v>211577339</v>
      </c>
      <c r="I129" s="435">
        <f>+'MATRIZ GENERAL CONSOLIDADA'!G91</f>
        <v>211577339</v>
      </c>
      <c r="J129" s="75"/>
      <c r="K129" s="451"/>
      <c r="L129" s="451"/>
      <c r="M129" s="134"/>
      <c r="N129" s="134"/>
      <c r="O129" s="135"/>
      <c r="P129" s="376"/>
      <c r="S129" s="451"/>
      <c r="T129" s="721"/>
    </row>
    <row r="130" spans="1:20" s="1" customFormat="1" ht="57">
      <c r="A130" s="882"/>
      <c r="B130" s="850"/>
      <c r="C130" s="693"/>
      <c r="D130" s="431" t="s">
        <v>428</v>
      </c>
      <c r="E130" s="394" t="s">
        <v>429</v>
      </c>
      <c r="F130" s="386">
        <f>+'MATRIZ GENERAL CONSOLIDADA'!D92</f>
        <v>26</v>
      </c>
      <c r="G130" s="386">
        <f>+'MATRIZ GENERAL CONSOLIDADA'!F92</f>
        <v>26</v>
      </c>
      <c r="H130" s="435">
        <f>+'MATRIZ GENERAL CONSOLIDADA'!E92</f>
        <v>1248906434</v>
      </c>
      <c r="I130" s="435">
        <f>+'MATRIZ GENERAL CONSOLIDADA'!G92</f>
        <v>1220662930</v>
      </c>
      <c r="J130" s="75">
        <f t="shared" si="8"/>
        <v>28243504</v>
      </c>
      <c r="K130" s="451"/>
      <c r="L130" s="451"/>
      <c r="M130" s="650"/>
      <c r="N130" s="650"/>
      <c r="O130" s="650"/>
      <c r="P130" s="651"/>
      <c r="S130" s="451"/>
      <c r="T130" s="721"/>
    </row>
    <row r="131" spans="1:20" s="1" customFormat="1" ht="28.5">
      <c r="A131" s="882"/>
      <c r="B131" s="850"/>
      <c r="C131" s="693"/>
      <c r="D131" s="417" t="s">
        <v>430</v>
      </c>
      <c r="E131" s="394" t="s">
        <v>510</v>
      </c>
      <c r="F131" s="386">
        <f>+'MATRIZ GENERAL CONSOLIDADA'!D93</f>
        <v>1</v>
      </c>
      <c r="G131" s="386">
        <f>+'MATRIZ GENERAL CONSOLIDADA'!F93</f>
        <v>1</v>
      </c>
      <c r="H131" s="435">
        <f>+'MATRIZ GENERAL CONSOLIDADA'!E93</f>
        <v>50000000</v>
      </c>
      <c r="I131" s="435">
        <f>+'MATRIZ GENERAL CONSOLIDADA'!G93</f>
        <v>50000000</v>
      </c>
      <c r="J131" s="75"/>
      <c r="K131" s="451"/>
      <c r="L131" s="451"/>
      <c r="M131" s="650"/>
      <c r="N131" s="650"/>
      <c r="O131" s="650"/>
      <c r="P131" s="651"/>
      <c r="S131" s="451"/>
      <c r="T131" s="721"/>
    </row>
    <row r="132" spans="1:20" s="1" customFormat="1" ht="39.75" customHeight="1">
      <c r="A132" s="882"/>
      <c r="B132" s="850"/>
      <c r="C132" s="693"/>
      <c r="D132" s="417" t="s">
        <v>514</v>
      </c>
      <c r="E132" s="394" t="s">
        <v>515</v>
      </c>
      <c r="F132" s="386">
        <f>+'MATRIZ GENERAL CONSOLIDADA'!D94</f>
        <v>0</v>
      </c>
      <c r="G132" s="386">
        <f>+'MATRIZ GENERAL CONSOLIDADA'!F94</f>
        <v>0</v>
      </c>
      <c r="H132" s="435">
        <f>+'MATRIZ GENERAL CONSOLIDADA'!E94</f>
        <v>124565885.09999999</v>
      </c>
      <c r="I132" s="435">
        <f>+'MATRIZ GENERAL CONSOLIDADA'!G94</f>
        <v>121579788</v>
      </c>
      <c r="J132" s="75">
        <f t="shared" si="8"/>
        <v>2986097.099999994</v>
      </c>
      <c r="K132" s="451"/>
      <c r="L132" s="451"/>
      <c r="M132" s="650"/>
      <c r="N132" s="650"/>
      <c r="O132" s="650"/>
      <c r="P132" s="650"/>
      <c r="S132" s="451"/>
      <c r="T132" s="721"/>
    </row>
    <row r="133" spans="1:20" s="1" customFormat="1" ht="18" customHeight="1">
      <c r="A133" s="882"/>
      <c r="B133" s="850"/>
      <c r="C133" s="705"/>
      <c r="D133" s="841" t="s">
        <v>319</v>
      </c>
      <c r="E133" s="842"/>
      <c r="F133" s="842"/>
      <c r="G133" s="843"/>
      <c r="H133" s="458">
        <f>SUM(H127:H132)</f>
        <v>2205613913.0999999</v>
      </c>
      <c r="J133" s="867">
        <f>+H133-I134</f>
        <v>57915509.099999905</v>
      </c>
      <c r="K133" s="451"/>
      <c r="L133" s="451"/>
      <c r="M133" s="134"/>
      <c r="N133" s="134"/>
      <c r="O133" s="135"/>
      <c r="P133" s="130"/>
      <c r="S133" s="451"/>
      <c r="T133" s="721"/>
    </row>
    <row r="134" spans="1:20" s="1" customFormat="1" ht="18" customHeight="1">
      <c r="A134" s="882"/>
      <c r="B134" s="850"/>
      <c r="C134" s="705"/>
      <c r="D134" s="841" t="s">
        <v>320</v>
      </c>
      <c r="E134" s="842"/>
      <c r="F134" s="842"/>
      <c r="G134" s="842"/>
      <c r="H134" s="843"/>
      <c r="I134" s="475">
        <f>SUM(I127:I133)</f>
        <v>2147698404</v>
      </c>
      <c r="J134" s="867"/>
      <c r="K134" s="451"/>
      <c r="L134" s="451"/>
      <c r="M134" s="134"/>
      <c r="N134" s="134"/>
      <c r="O134" s="135"/>
      <c r="P134" s="130"/>
      <c r="S134" s="451"/>
      <c r="T134" s="721"/>
    </row>
    <row r="135" spans="1:20" s="1" customFormat="1" ht="18" customHeight="1">
      <c r="A135" s="882"/>
      <c r="B135" s="850"/>
      <c r="C135" s="705"/>
      <c r="D135" s="841" t="s">
        <v>321</v>
      </c>
      <c r="E135" s="842"/>
      <c r="F135" s="842"/>
      <c r="G135" s="842"/>
      <c r="H135" s="843"/>
      <c r="I135" s="673">
        <f>+'Anexo 1 Matriz SINA Inf Gestión'!R88/100</f>
        <v>0.97374177377281801</v>
      </c>
      <c r="J135" s="867"/>
      <c r="K135" s="451"/>
      <c r="L135" s="451"/>
      <c r="M135" s="134"/>
      <c r="N135" s="134"/>
      <c r="O135" s="135"/>
      <c r="P135" s="130"/>
      <c r="S135" s="451"/>
      <c r="T135" s="721"/>
    </row>
    <row r="136" spans="1:20" s="1" customFormat="1" ht="18" customHeight="1">
      <c r="A136" s="882"/>
      <c r="B136" s="850"/>
      <c r="C136" s="705"/>
      <c r="D136" s="841" t="s">
        <v>526</v>
      </c>
      <c r="E136" s="842"/>
      <c r="F136" s="842"/>
      <c r="G136" s="842"/>
      <c r="H136" s="843"/>
      <c r="I136" s="513">
        <f>+'Anexo 1 Matriz SINA Inf Gestión'!K88/100</f>
        <v>1</v>
      </c>
      <c r="J136" s="867"/>
      <c r="K136" s="451"/>
      <c r="L136" s="451"/>
      <c r="M136" s="134"/>
      <c r="N136" s="134"/>
      <c r="O136" s="135"/>
      <c r="P136" s="130"/>
      <c r="S136" s="451"/>
      <c r="T136" s="721"/>
    </row>
    <row r="137" spans="1:20" s="1" customFormat="1" ht="16.5" customHeight="1">
      <c r="A137" s="882"/>
      <c r="B137" s="847" t="s">
        <v>306</v>
      </c>
      <c r="C137" s="697"/>
      <c r="D137" s="868" t="s">
        <v>307</v>
      </c>
      <c r="E137" s="848" t="s">
        <v>95</v>
      </c>
      <c r="F137" s="848" t="s">
        <v>308</v>
      </c>
      <c r="G137" s="848"/>
      <c r="H137" s="862" t="s">
        <v>309</v>
      </c>
      <c r="I137" s="862"/>
      <c r="J137" s="863"/>
      <c r="K137" s="451"/>
      <c r="L137" s="451"/>
      <c r="M137" s="134"/>
      <c r="N137" s="134"/>
      <c r="O137" s="135"/>
      <c r="P137" s="130"/>
      <c r="S137" s="451"/>
      <c r="T137" s="721"/>
    </row>
    <row r="138" spans="1:20" s="1" customFormat="1" ht="30">
      <c r="A138" s="882"/>
      <c r="B138" s="847"/>
      <c r="C138" s="697"/>
      <c r="D138" s="869"/>
      <c r="E138" s="848"/>
      <c r="F138" s="455" t="s">
        <v>310</v>
      </c>
      <c r="G138" s="455" t="s">
        <v>311</v>
      </c>
      <c r="H138" s="456" t="s">
        <v>312</v>
      </c>
      <c r="I138" s="700" t="s">
        <v>313</v>
      </c>
      <c r="J138" s="701" t="s">
        <v>314</v>
      </c>
      <c r="K138" s="451"/>
      <c r="L138" s="451"/>
      <c r="M138" s="134"/>
      <c r="N138" s="134"/>
      <c r="O138" s="135"/>
      <c r="P138" s="130"/>
      <c r="S138" s="451"/>
      <c r="T138" s="721"/>
    </row>
    <row r="139" spans="1:20" s="1" customFormat="1" ht="40.5" customHeight="1">
      <c r="A139" s="882"/>
      <c r="B139" s="849" t="s">
        <v>543</v>
      </c>
      <c r="C139" s="694"/>
      <c r="D139" s="463" t="s">
        <v>431</v>
      </c>
      <c r="E139" s="394" t="s">
        <v>432</v>
      </c>
      <c r="F139" s="386">
        <f>+'MATRIZ GENERAL CONSOLIDADA'!D96</f>
        <v>4</v>
      </c>
      <c r="G139" s="386">
        <f>+'MATRIZ GENERAL CONSOLIDADA'!F96</f>
        <v>4</v>
      </c>
      <c r="H139" s="435">
        <f>+'MATRIZ GENERAL CONSOLIDADA'!E96</f>
        <v>2341241156.4000001</v>
      </c>
      <c r="I139" s="435">
        <f>+'MATRIZ GENERAL CONSOLIDADA'!G96</f>
        <v>2341241155</v>
      </c>
      <c r="J139" s="75">
        <f t="shared" ref="J139:J142" si="9">+H139-I139</f>
        <v>1.4000000953674316</v>
      </c>
      <c r="K139" s="451"/>
      <c r="L139" s="451"/>
      <c r="M139" s="134"/>
      <c r="N139" s="134"/>
      <c r="O139" s="135"/>
      <c r="P139" s="130"/>
      <c r="S139" s="451"/>
      <c r="T139" s="721"/>
    </row>
    <row r="140" spans="1:20" s="1" customFormat="1" ht="38.25" customHeight="1">
      <c r="A140" s="882"/>
      <c r="B140" s="850"/>
      <c r="C140" s="693"/>
      <c r="D140" s="463" t="s">
        <v>433</v>
      </c>
      <c r="E140" s="394" t="s">
        <v>130</v>
      </c>
      <c r="F140" s="386">
        <f>+'MATRIZ GENERAL CONSOLIDADA'!D97</f>
        <v>4</v>
      </c>
      <c r="G140" s="386">
        <f>+'MATRIZ GENERAL CONSOLIDADA'!F97</f>
        <v>4</v>
      </c>
      <c r="H140" s="435">
        <f>+'MATRIZ GENERAL CONSOLIDADA'!E97</f>
        <v>1175507226.5</v>
      </c>
      <c r="I140" s="435">
        <f>+'MATRIZ GENERAL CONSOLIDADA'!G97</f>
        <v>1175495373</v>
      </c>
      <c r="J140" s="75">
        <f t="shared" si="9"/>
        <v>11853.5</v>
      </c>
      <c r="K140" s="451"/>
      <c r="L140" s="451"/>
      <c r="M140" s="134"/>
      <c r="N140" s="134"/>
      <c r="O140" s="135"/>
      <c r="P140" s="130"/>
      <c r="S140" s="451"/>
      <c r="T140" s="721"/>
    </row>
    <row r="141" spans="1:20" s="1" customFormat="1" ht="57.75" customHeight="1">
      <c r="A141" s="882"/>
      <c r="B141" s="850"/>
      <c r="C141" s="693"/>
      <c r="D141" s="463" t="s">
        <v>434</v>
      </c>
      <c r="E141" s="394" t="s">
        <v>1</v>
      </c>
      <c r="F141" s="386">
        <f>+'MATRIZ GENERAL CONSOLIDADA'!D98</f>
        <v>100</v>
      </c>
      <c r="G141" s="386">
        <f>+'MATRIZ GENERAL CONSOLIDADA'!F98</f>
        <v>100</v>
      </c>
      <c r="H141" s="435">
        <f>+'MATRIZ GENERAL CONSOLIDADA'!E98</f>
        <v>5006045766.2451992</v>
      </c>
      <c r="I141" s="435">
        <f>+'MATRIZ GENERAL CONSOLIDADA'!G98</f>
        <v>5001262040</v>
      </c>
      <c r="J141" s="75">
        <f t="shared" si="9"/>
        <v>4783726.2451992035</v>
      </c>
      <c r="K141" s="451"/>
      <c r="L141" s="451"/>
      <c r="M141" s="134"/>
      <c r="N141" s="134"/>
      <c r="O141" s="135"/>
      <c r="P141" s="130"/>
      <c r="S141" s="451"/>
      <c r="T141" s="721"/>
    </row>
    <row r="142" spans="1:20" s="1" customFormat="1" ht="77.25" customHeight="1">
      <c r="A142" s="882"/>
      <c r="B142" s="850"/>
      <c r="C142" s="705"/>
      <c r="D142" s="463" t="s">
        <v>435</v>
      </c>
      <c r="E142" s="394" t="s">
        <v>436</v>
      </c>
      <c r="F142" s="386">
        <f>+'MATRIZ GENERAL CONSOLIDADA'!D99</f>
        <v>38</v>
      </c>
      <c r="G142" s="386">
        <f>+'MATRIZ GENERAL CONSOLIDADA'!F99</f>
        <v>38</v>
      </c>
      <c r="H142" s="435">
        <f>+'MATRIZ GENERAL CONSOLIDADA'!E99</f>
        <v>1304252071.108</v>
      </c>
      <c r="I142" s="435">
        <f>+'MATRIZ GENERAL CONSOLIDADA'!G99</f>
        <v>1304159911.8080001</v>
      </c>
      <c r="J142" s="75">
        <f t="shared" si="9"/>
        <v>92159.299999952316</v>
      </c>
      <c r="K142" s="451"/>
      <c r="L142" s="451"/>
      <c r="M142" s="134"/>
      <c r="N142" s="134"/>
      <c r="O142" s="135"/>
      <c r="P142" s="130"/>
      <c r="S142" s="451"/>
      <c r="T142" s="721"/>
    </row>
    <row r="143" spans="1:20" s="1" customFormat="1" ht="15">
      <c r="A143" s="882"/>
      <c r="B143" s="850"/>
      <c r="C143" s="705"/>
      <c r="D143" s="859" t="s">
        <v>319</v>
      </c>
      <c r="E143" s="860"/>
      <c r="F143" s="860"/>
      <c r="G143" s="861"/>
      <c r="H143" s="475">
        <f>SUM(H139:H142)</f>
        <v>9827046220.2531986</v>
      </c>
      <c r="I143" s="479"/>
      <c r="J143" s="867">
        <f>+H143-I144</f>
        <v>4887740.4451980591</v>
      </c>
      <c r="K143" s="451"/>
      <c r="L143" s="451"/>
      <c r="M143" s="134"/>
      <c r="N143" s="134"/>
      <c r="O143" s="135"/>
      <c r="P143" s="130"/>
      <c r="S143" s="451"/>
      <c r="T143" s="721"/>
    </row>
    <row r="144" spans="1:20" s="1" customFormat="1" ht="18" customHeight="1">
      <c r="A144" s="882"/>
      <c r="B144" s="850"/>
      <c r="C144" s="705"/>
      <c r="D144" s="859" t="s">
        <v>320</v>
      </c>
      <c r="E144" s="860"/>
      <c r="F144" s="860"/>
      <c r="G144" s="860"/>
      <c r="H144" s="861"/>
      <c r="I144" s="458">
        <f>SUM(I139:I143)</f>
        <v>9822158479.8080006</v>
      </c>
      <c r="J144" s="867"/>
      <c r="K144" s="451"/>
      <c r="L144" s="451"/>
      <c r="M144" s="134"/>
      <c r="N144" s="134"/>
      <c r="O144" s="135"/>
      <c r="P144" s="130"/>
      <c r="S144" s="451"/>
      <c r="T144" s="721"/>
    </row>
    <row r="145" spans="1:20" s="1" customFormat="1" ht="18" customHeight="1">
      <c r="A145" s="882"/>
      <c r="B145" s="850"/>
      <c r="C145" s="705"/>
      <c r="D145" s="841" t="s">
        <v>321</v>
      </c>
      <c r="E145" s="842"/>
      <c r="F145" s="842"/>
      <c r="G145" s="842"/>
      <c r="H145" s="843"/>
      <c r="I145" s="778">
        <f>+'Anexo 1 Matriz SINA Inf Gestión'!R95/100</f>
        <v>0.99950262364339704</v>
      </c>
      <c r="J145" s="867"/>
      <c r="K145" s="451"/>
      <c r="L145" s="451"/>
      <c r="M145" s="134"/>
      <c r="N145" s="134"/>
      <c r="O145" s="135"/>
      <c r="P145" s="130"/>
      <c r="S145" s="451"/>
      <c r="T145" s="721"/>
    </row>
    <row r="146" spans="1:20" s="1" customFormat="1" ht="18" customHeight="1">
      <c r="A146" s="882"/>
      <c r="B146" s="850"/>
      <c r="C146" s="705"/>
      <c r="D146" s="859" t="s">
        <v>526</v>
      </c>
      <c r="E146" s="860"/>
      <c r="F146" s="860"/>
      <c r="G146" s="860"/>
      <c r="H146" s="861"/>
      <c r="I146" s="663">
        <f>+'Anexo 1 Matriz SINA Inf Gestión'!K95/100</f>
        <v>1</v>
      </c>
      <c r="J146" s="867"/>
      <c r="K146" s="451"/>
      <c r="L146" s="451"/>
      <c r="M146" s="134"/>
      <c r="N146" s="134"/>
      <c r="O146" s="135"/>
      <c r="P146" s="130"/>
      <c r="S146" s="451"/>
      <c r="T146" s="721"/>
    </row>
    <row r="147" spans="1:20" s="1" customFormat="1" ht="26.25" customHeight="1">
      <c r="A147" s="878" t="s">
        <v>305</v>
      </c>
      <c r="B147" s="847" t="s">
        <v>306</v>
      </c>
      <c r="C147" s="697"/>
      <c r="D147" s="476"/>
      <c r="E147" s="848" t="s">
        <v>95</v>
      </c>
      <c r="F147" s="848" t="s">
        <v>308</v>
      </c>
      <c r="G147" s="848"/>
      <c r="H147" s="862" t="s">
        <v>309</v>
      </c>
      <c r="I147" s="862"/>
      <c r="J147" s="863"/>
      <c r="K147" s="451"/>
      <c r="L147" s="451"/>
      <c r="M147" s="134"/>
      <c r="N147" s="134"/>
      <c r="O147" s="135"/>
      <c r="P147" s="130"/>
      <c r="S147" s="451"/>
      <c r="T147" s="721"/>
    </row>
    <row r="148" spans="1:20" s="1" customFormat="1" ht="47.25" customHeight="1">
      <c r="A148" s="878"/>
      <c r="B148" s="847"/>
      <c r="C148" s="697"/>
      <c r="D148" s="698" t="s">
        <v>541</v>
      </c>
      <c r="E148" s="848"/>
      <c r="F148" s="455" t="s">
        <v>310</v>
      </c>
      <c r="G148" s="455" t="s">
        <v>311</v>
      </c>
      <c r="H148" s="456" t="s">
        <v>312</v>
      </c>
      <c r="I148" s="700" t="s">
        <v>313</v>
      </c>
      <c r="J148" s="701" t="s">
        <v>314</v>
      </c>
      <c r="K148" s="451"/>
      <c r="L148" s="451"/>
      <c r="M148" s="134"/>
      <c r="N148" s="134"/>
      <c r="O148" s="135"/>
      <c r="P148" s="130"/>
      <c r="S148" s="451"/>
      <c r="T148" s="721"/>
    </row>
    <row r="149" spans="1:20" s="1" customFormat="1" ht="38.25" customHeight="1">
      <c r="A149" s="899" t="s">
        <v>473</v>
      </c>
      <c r="B149" s="849" t="s">
        <v>474</v>
      </c>
      <c r="C149" s="693"/>
      <c r="D149" s="463" t="s">
        <v>438</v>
      </c>
      <c r="E149" s="394" t="s">
        <v>511</v>
      </c>
      <c r="F149" s="386">
        <f>+'MATRIZ GENERAL CONSOLIDADA'!D102</f>
        <v>1</v>
      </c>
      <c r="G149" s="386">
        <f>+'MATRIZ GENERAL CONSOLIDADA'!F102</f>
        <v>1</v>
      </c>
      <c r="H149" s="435">
        <f>+'MATRIZ GENERAL CONSOLIDADA'!E102</f>
        <v>549032596.20000005</v>
      </c>
      <c r="I149" s="435">
        <f>+'MATRIZ GENERAL CONSOLIDADA'!G102</f>
        <v>549032596</v>
      </c>
      <c r="J149" s="75">
        <f t="shared" ref="J149:J157" si="10">+H149-I149</f>
        <v>0.20000004768371582</v>
      </c>
      <c r="K149" s="451"/>
      <c r="L149" s="451"/>
      <c r="M149" s="134">
        <v>70091</v>
      </c>
      <c r="N149" s="134"/>
      <c r="O149" s="135">
        <v>413662</v>
      </c>
      <c r="P149" s="130"/>
      <c r="S149" s="451"/>
      <c r="T149" s="721"/>
    </row>
    <row r="150" spans="1:20" s="1" customFormat="1" ht="38.25" customHeight="1">
      <c r="A150" s="882"/>
      <c r="B150" s="850"/>
      <c r="C150" s="693"/>
      <c r="D150" s="463" t="s">
        <v>439</v>
      </c>
      <c r="E150" s="394" t="s">
        <v>1</v>
      </c>
      <c r="F150" s="386">
        <f>+'MATRIZ GENERAL CONSOLIDADA'!D103</f>
        <v>100</v>
      </c>
      <c r="G150" s="386">
        <f>+'MATRIZ GENERAL CONSOLIDADA'!F103</f>
        <v>100</v>
      </c>
      <c r="H150" s="435">
        <f>+'MATRIZ GENERAL CONSOLIDADA'!E103</f>
        <v>2685643574</v>
      </c>
      <c r="I150" s="435">
        <f>+'MATRIZ GENERAL CONSOLIDADA'!G103</f>
        <v>2679980639</v>
      </c>
      <c r="J150" s="75">
        <f t="shared" si="10"/>
        <v>5662935</v>
      </c>
      <c r="K150" s="451"/>
      <c r="L150" s="451"/>
      <c r="M150" s="134"/>
      <c r="N150" s="134"/>
      <c r="O150" s="135"/>
      <c r="P150" s="130"/>
      <c r="S150" s="451"/>
      <c r="T150" s="721"/>
    </row>
    <row r="151" spans="1:20" s="1" customFormat="1" ht="40.5" customHeight="1">
      <c r="A151" s="882"/>
      <c r="B151" s="850"/>
      <c r="C151" s="693"/>
      <c r="D151" s="463" t="s">
        <v>544</v>
      </c>
      <c r="E151" s="394" t="s">
        <v>178</v>
      </c>
      <c r="F151" s="386">
        <f>+'MATRIZ GENERAL CONSOLIDADA'!D104</f>
        <v>1</v>
      </c>
      <c r="G151" s="503">
        <f>+'MATRIZ GENERAL CONSOLIDADA'!F104</f>
        <v>0.99</v>
      </c>
      <c r="H151" s="435">
        <f>+'MATRIZ GENERAL CONSOLIDADA'!E104</f>
        <v>270886656.30000001</v>
      </c>
      <c r="I151" s="435">
        <f>+'MATRIZ GENERAL CONSOLIDADA'!G104</f>
        <v>270881911</v>
      </c>
      <c r="J151" s="75">
        <f t="shared" si="10"/>
        <v>4745.3000000119209</v>
      </c>
      <c r="K151" s="451"/>
      <c r="L151" s="451"/>
      <c r="M151" s="134"/>
      <c r="N151" s="134"/>
      <c r="O151" s="135"/>
      <c r="P151" s="130"/>
      <c r="S151" s="451"/>
      <c r="T151" s="721"/>
    </row>
    <row r="152" spans="1:20" s="1" customFormat="1" ht="40.5" customHeight="1">
      <c r="A152" s="882"/>
      <c r="B152" s="850"/>
      <c r="C152" s="693"/>
      <c r="D152" s="414" t="s">
        <v>441</v>
      </c>
      <c r="E152" s="719" t="s">
        <v>192</v>
      </c>
      <c r="F152" s="386">
        <f>+'MATRIZ GENERAL CONSOLIDADA'!D105</f>
        <v>1</v>
      </c>
      <c r="G152" s="386">
        <f>+'MATRIZ GENERAL CONSOLIDADA'!F105</f>
        <v>1</v>
      </c>
      <c r="H152" s="435">
        <f>+'MATRIZ GENERAL CONSOLIDADA'!E105</f>
        <v>0</v>
      </c>
      <c r="I152" s="435">
        <f>+'MATRIZ GENERAL CONSOLIDADA'!G105</f>
        <v>0</v>
      </c>
      <c r="J152" s="75"/>
      <c r="K152" s="451"/>
      <c r="L152" s="451"/>
      <c r="M152" s="134"/>
      <c r="N152" s="134"/>
      <c r="O152" s="135"/>
      <c r="P152" s="130"/>
      <c r="S152" s="451"/>
      <c r="T152" s="721"/>
    </row>
    <row r="153" spans="1:20" s="1" customFormat="1" ht="61.5" customHeight="1">
      <c r="A153" s="882"/>
      <c r="B153" s="850"/>
      <c r="C153" s="693"/>
      <c r="D153" s="463" t="s">
        <v>442</v>
      </c>
      <c r="E153" s="394" t="s">
        <v>443</v>
      </c>
      <c r="F153" s="386">
        <f>+'MATRIZ GENERAL CONSOLIDADA'!D106</f>
        <v>4</v>
      </c>
      <c r="G153" s="503">
        <f>+'MATRIZ GENERAL CONSOLIDADA'!F106</f>
        <v>3.9</v>
      </c>
      <c r="H153" s="435">
        <f>+'MATRIZ GENERAL CONSOLIDADA'!E106</f>
        <v>3367270132</v>
      </c>
      <c r="I153" s="435">
        <f>+'MATRIZ GENERAL CONSOLIDADA'!G106</f>
        <v>3306925678</v>
      </c>
      <c r="J153" s="75">
        <f t="shared" si="10"/>
        <v>60344454</v>
      </c>
      <c r="K153" s="451"/>
      <c r="L153" s="451"/>
      <c r="M153" s="134"/>
      <c r="N153" s="134"/>
      <c r="O153" s="135"/>
      <c r="P153" s="130"/>
      <c r="S153" s="451"/>
      <c r="T153" s="721"/>
    </row>
    <row r="154" spans="1:20" s="1" customFormat="1" ht="61.5" customHeight="1">
      <c r="A154" s="882"/>
      <c r="B154" s="850"/>
      <c r="C154" s="693"/>
      <c r="D154" s="414" t="s">
        <v>444</v>
      </c>
      <c r="E154" s="719" t="s">
        <v>493</v>
      </c>
      <c r="F154" s="386">
        <f>+'MATRIZ GENERAL CONSOLIDADA'!D107</f>
        <v>3</v>
      </c>
      <c r="G154" s="386">
        <f>+'MATRIZ GENERAL CONSOLIDADA'!F107</f>
        <v>3</v>
      </c>
      <c r="H154" s="435">
        <f>+'MATRIZ GENERAL CONSOLIDADA'!E107</f>
        <v>94671399</v>
      </c>
      <c r="I154" s="435">
        <f>+'MATRIZ GENERAL CONSOLIDADA'!G107</f>
        <v>94671399</v>
      </c>
      <c r="J154" s="75"/>
      <c r="K154" s="451"/>
      <c r="L154" s="451"/>
      <c r="M154" s="134"/>
      <c r="N154" s="134"/>
      <c r="O154" s="135"/>
      <c r="P154" s="130"/>
      <c r="S154" s="451"/>
      <c r="T154" s="721"/>
    </row>
    <row r="155" spans="1:20" s="1" customFormat="1" ht="25.5" customHeight="1">
      <c r="A155" s="882"/>
      <c r="B155" s="850"/>
      <c r="C155" s="693"/>
      <c r="D155" s="463" t="s">
        <v>445</v>
      </c>
      <c r="E155" s="394" t="s">
        <v>191</v>
      </c>
      <c r="F155" s="386">
        <f>+'MATRIZ GENERAL CONSOLIDADA'!D108</f>
        <v>1</v>
      </c>
      <c r="G155" s="386">
        <f>+'MATRIZ GENERAL CONSOLIDADA'!F108</f>
        <v>1</v>
      </c>
      <c r="H155" s="435">
        <f>+'MATRIZ GENERAL CONSOLIDADA'!E108</f>
        <v>21682030</v>
      </c>
      <c r="I155" s="435">
        <f>+'MATRIZ GENERAL CONSOLIDADA'!G108</f>
        <v>21682030</v>
      </c>
      <c r="J155" s="75">
        <f t="shared" si="10"/>
        <v>0</v>
      </c>
      <c r="K155" s="451"/>
      <c r="L155" s="451"/>
      <c r="M155" s="134"/>
      <c r="N155" s="134"/>
      <c r="O155" s="135"/>
      <c r="P155" s="130"/>
      <c r="S155" s="451"/>
      <c r="T155" s="721"/>
    </row>
    <row r="156" spans="1:20" s="1" customFormat="1" ht="25.5" customHeight="1">
      <c r="A156" s="882"/>
      <c r="B156" s="850"/>
      <c r="C156" s="693"/>
      <c r="D156" s="414" t="s">
        <v>446</v>
      </c>
      <c r="E156" s="394" t="s">
        <v>130</v>
      </c>
      <c r="F156" s="386">
        <f>+'MATRIZ GENERAL CONSOLIDADA'!D109</f>
        <v>2</v>
      </c>
      <c r="G156" s="386">
        <f>+'MATRIZ GENERAL CONSOLIDADA'!F109</f>
        <v>2</v>
      </c>
      <c r="H156" s="435">
        <f>+'MATRIZ GENERAL CONSOLIDADA'!E109</f>
        <v>50191686</v>
      </c>
      <c r="I156" s="435">
        <f>+'MATRIZ GENERAL CONSOLIDADA'!G109</f>
        <v>50191686</v>
      </c>
      <c r="J156" s="75"/>
      <c r="K156" s="451"/>
      <c r="L156" s="451"/>
      <c r="M156" s="134"/>
      <c r="N156" s="134"/>
      <c r="O156" s="135"/>
      <c r="P156" s="130"/>
      <c r="S156" s="451"/>
      <c r="T156" s="721"/>
    </row>
    <row r="157" spans="1:20" s="1" customFormat="1" ht="35.25" customHeight="1">
      <c r="A157" s="882"/>
      <c r="B157" s="850"/>
      <c r="C157" s="693"/>
      <c r="D157" s="459" t="s">
        <v>514</v>
      </c>
      <c r="E157" s="394" t="s">
        <v>515</v>
      </c>
      <c r="F157" s="386">
        <f>+'MATRIZ GENERAL CONSOLIDADA'!D110</f>
        <v>0</v>
      </c>
      <c r="G157" s="503">
        <v>0</v>
      </c>
      <c r="H157" s="435">
        <f>+'MATRIZ GENERAL CONSOLIDADA'!E110</f>
        <v>23398434</v>
      </c>
      <c r="I157" s="435">
        <f>+'MATRIZ GENERAL CONSOLIDADA'!G110</f>
        <v>23398434</v>
      </c>
      <c r="J157" s="75">
        <f t="shared" si="10"/>
        <v>0</v>
      </c>
      <c r="K157" s="451"/>
      <c r="L157" s="451"/>
      <c r="M157" s="134"/>
      <c r="N157" s="134"/>
      <c r="O157" s="135"/>
      <c r="P157" s="130"/>
      <c r="S157" s="451"/>
      <c r="T157" s="721"/>
    </row>
    <row r="158" spans="1:20" s="1" customFormat="1" ht="15">
      <c r="A158" s="882"/>
      <c r="B158" s="850"/>
      <c r="C158" s="705"/>
      <c r="D158" s="841" t="s">
        <v>319</v>
      </c>
      <c r="E158" s="842"/>
      <c r="F158" s="842"/>
      <c r="G158" s="843"/>
      <c r="H158" s="458">
        <f>SUM(H149:H157)</f>
        <v>7062776507.5</v>
      </c>
      <c r="I158" s="435"/>
      <c r="J158" s="867">
        <f>+H158-I159</f>
        <v>66012134.5</v>
      </c>
      <c r="K158" s="477">
        <v>21</v>
      </c>
      <c r="L158" s="451"/>
      <c r="M158" s="134"/>
      <c r="N158" s="134"/>
      <c r="O158" s="135"/>
      <c r="P158" s="130"/>
      <c r="S158" s="451"/>
      <c r="T158" s="721"/>
    </row>
    <row r="159" spans="1:20" s="144" customFormat="1" ht="19.5" customHeight="1">
      <c r="A159" s="882"/>
      <c r="B159" s="850"/>
      <c r="C159" s="705"/>
      <c r="D159" s="841" t="s">
        <v>320</v>
      </c>
      <c r="E159" s="842"/>
      <c r="F159" s="842"/>
      <c r="G159" s="842"/>
      <c r="H159" s="843"/>
      <c r="I159" s="458">
        <f>SUM(I149:I158)</f>
        <v>6996764373</v>
      </c>
      <c r="J159" s="867"/>
      <c r="K159" s="136">
        <v>8.7142857142857135</v>
      </c>
      <c r="L159" s="136"/>
      <c r="M159" s="137">
        <v>70091</v>
      </c>
      <c r="N159" s="137"/>
      <c r="O159" s="137">
        <v>413662</v>
      </c>
      <c r="P159" s="36"/>
      <c r="S159" s="136"/>
      <c r="T159" s="722"/>
    </row>
    <row r="160" spans="1:20" s="144" customFormat="1" ht="19.5" customHeight="1">
      <c r="A160" s="882"/>
      <c r="B160" s="850"/>
      <c r="C160" s="705"/>
      <c r="D160" s="841" t="s">
        <v>321</v>
      </c>
      <c r="E160" s="842"/>
      <c r="F160" s="842"/>
      <c r="G160" s="842"/>
      <c r="H160" s="843"/>
      <c r="I160" s="513">
        <f>+'Anexo 1 Matriz SINA Inf Gestión'!R101/100</f>
        <v>0.99065351502629295</v>
      </c>
      <c r="J160" s="867"/>
      <c r="K160" s="136"/>
      <c r="L160" s="136"/>
      <c r="M160" s="137"/>
      <c r="N160" s="137"/>
      <c r="O160" s="137"/>
      <c r="P160" s="36"/>
      <c r="S160" s="136"/>
      <c r="T160" s="722"/>
    </row>
    <row r="161" spans="1:20" s="144" customFormat="1" ht="19.5" customHeight="1">
      <c r="A161" s="882"/>
      <c r="B161" s="850"/>
      <c r="C161" s="705"/>
      <c r="D161" s="841" t="s">
        <v>566</v>
      </c>
      <c r="E161" s="842"/>
      <c r="F161" s="842"/>
      <c r="G161" s="842"/>
      <c r="H161" s="843"/>
      <c r="I161" s="687">
        <f>+'Anexo 1 Matriz SINA Inf Gestión'!K101/100</f>
        <v>0.99902654867256624</v>
      </c>
      <c r="J161" s="867"/>
      <c r="K161" s="136"/>
      <c r="L161" s="136"/>
      <c r="M161" s="137"/>
      <c r="N161" s="137"/>
      <c r="O161" s="137"/>
      <c r="P161" s="36"/>
      <c r="S161" s="136"/>
      <c r="T161" s="722"/>
    </row>
    <row r="162" spans="1:20" s="144" customFormat="1" ht="37.5" customHeight="1">
      <c r="A162" s="882"/>
      <c r="B162" s="847" t="s">
        <v>306</v>
      </c>
      <c r="C162" s="697"/>
      <c r="D162" s="697"/>
      <c r="E162" s="848" t="s">
        <v>95</v>
      </c>
      <c r="F162" s="848" t="s">
        <v>308</v>
      </c>
      <c r="G162" s="848"/>
      <c r="H162" s="862" t="s">
        <v>309</v>
      </c>
      <c r="I162" s="862"/>
      <c r="J162" s="863"/>
      <c r="K162" s="136"/>
      <c r="L162" s="136"/>
      <c r="M162" s="137"/>
      <c r="N162" s="137"/>
      <c r="O162" s="137"/>
      <c r="P162" s="36"/>
      <c r="S162" s="136"/>
      <c r="T162" s="722"/>
    </row>
    <row r="163" spans="1:20" s="144" customFormat="1" ht="46.9" customHeight="1">
      <c r="A163" s="882"/>
      <c r="B163" s="847"/>
      <c r="C163" s="697"/>
      <c r="D163" s="698" t="s">
        <v>541</v>
      </c>
      <c r="E163" s="848"/>
      <c r="F163" s="455" t="s">
        <v>310</v>
      </c>
      <c r="G163" s="455" t="s">
        <v>311</v>
      </c>
      <c r="H163" s="456" t="s">
        <v>312</v>
      </c>
      <c r="I163" s="700" t="s">
        <v>313</v>
      </c>
      <c r="J163" s="701" t="s">
        <v>314</v>
      </c>
      <c r="K163" s="136"/>
      <c r="L163" s="136"/>
      <c r="M163" s="137"/>
      <c r="N163" s="137"/>
      <c r="O163" s="137"/>
      <c r="P163" s="36"/>
      <c r="S163" s="136"/>
      <c r="T163" s="722"/>
    </row>
    <row r="164" spans="1:20" s="144" customFormat="1" ht="36.75" customHeight="1">
      <c r="A164" s="882"/>
      <c r="B164" s="849" t="s">
        <v>530</v>
      </c>
      <c r="C164" s="694"/>
      <c r="D164" s="429" t="s">
        <v>447</v>
      </c>
      <c r="E164" s="394" t="s">
        <v>1</v>
      </c>
      <c r="F164" s="386">
        <f>+'MATRIZ GENERAL CONSOLIDADA'!D112</f>
        <v>100</v>
      </c>
      <c r="G164" s="660">
        <f>+'MATRIZ GENERAL CONSOLIDADA'!F112</f>
        <v>100</v>
      </c>
      <c r="H164" s="460">
        <f>+'MATRIZ GENERAL CONSOLIDADA'!E112</f>
        <v>0</v>
      </c>
      <c r="I164" s="460">
        <f>+'MATRIZ GENERAL CONSOLIDADA'!G112</f>
        <v>0</v>
      </c>
      <c r="J164" s="75">
        <f>+H164-I164</f>
        <v>0</v>
      </c>
      <c r="K164" s="136"/>
      <c r="L164" s="136"/>
      <c r="M164" s="137"/>
      <c r="N164" s="137"/>
      <c r="O164" s="137"/>
      <c r="P164" s="36"/>
      <c r="Q164" s="144">
        <v>0.25</v>
      </c>
      <c r="R164" s="144">
        <v>66</v>
      </c>
      <c r="S164" s="136"/>
      <c r="T164" s="722"/>
    </row>
    <row r="165" spans="1:20" s="144" customFormat="1" ht="15">
      <c r="A165" s="882"/>
      <c r="B165" s="850"/>
      <c r="C165" s="724"/>
      <c r="D165" s="466" t="s">
        <v>448</v>
      </c>
      <c r="E165" s="394" t="s">
        <v>494</v>
      </c>
      <c r="F165" s="386">
        <f>+'MATRIZ GENERAL CONSOLIDADA'!D113</f>
        <v>1</v>
      </c>
      <c r="G165" s="660">
        <f>+'MATRIZ GENERAL CONSOLIDADA'!F113</f>
        <v>1</v>
      </c>
      <c r="H165" s="460">
        <f>+'MATRIZ GENERAL CONSOLIDADA'!E113</f>
        <v>2609816117.7600002</v>
      </c>
      <c r="I165" s="460">
        <f>+'MATRIZ GENERAL CONSOLIDADA'!G113</f>
        <v>2410612795.2600002</v>
      </c>
      <c r="J165" s="75">
        <f t="shared" ref="J165:J169" si="11">+H165-I165</f>
        <v>199203322.5</v>
      </c>
      <c r="K165" s="136"/>
      <c r="L165" s="136"/>
      <c r="M165" s="137"/>
      <c r="N165" s="137"/>
      <c r="O165" s="137"/>
      <c r="P165" s="36"/>
      <c r="Q165" s="144">
        <v>25</v>
      </c>
      <c r="R165" s="144">
        <v>37.5</v>
      </c>
      <c r="S165" s="136"/>
      <c r="T165" s="722"/>
    </row>
    <row r="166" spans="1:20" s="144" customFormat="1" ht="15">
      <c r="A166" s="882"/>
      <c r="B166" s="850"/>
      <c r="C166" s="724"/>
      <c r="D166" s="426" t="s">
        <v>449</v>
      </c>
      <c r="E166" s="394"/>
      <c r="F166" s="386">
        <f>+'MATRIZ GENERAL CONSOLIDADA'!D114</f>
        <v>0.75</v>
      </c>
      <c r="G166" s="660">
        <f>+'MATRIZ GENERAL CONSOLIDADA'!F114</f>
        <v>0.75</v>
      </c>
      <c r="H166" s="460">
        <f>+'MATRIZ GENERAL CONSOLIDADA'!E114</f>
        <v>1650410735</v>
      </c>
      <c r="I166" s="460">
        <f>+'MATRIZ GENERAL CONSOLIDADA'!G114</f>
        <v>1650410735</v>
      </c>
      <c r="J166" s="75"/>
      <c r="K166" s="136"/>
      <c r="L166" s="136"/>
      <c r="M166" s="145"/>
      <c r="N166" s="137"/>
      <c r="O166" s="137"/>
      <c r="P166" s="36"/>
      <c r="S166" s="136"/>
      <c r="T166" s="722"/>
    </row>
    <row r="167" spans="1:20" s="144" customFormat="1" ht="28.5">
      <c r="A167" s="882"/>
      <c r="B167" s="850"/>
      <c r="C167" s="724"/>
      <c r="D167" s="426" t="s">
        <v>451</v>
      </c>
      <c r="E167" s="394" t="s">
        <v>495</v>
      </c>
      <c r="F167" s="386">
        <f>+'MATRIZ GENERAL CONSOLIDADA'!D115</f>
        <v>4</v>
      </c>
      <c r="G167" s="660">
        <f>+'MATRIZ GENERAL CONSOLIDADA'!F115</f>
        <v>4</v>
      </c>
      <c r="H167" s="460">
        <f>+'MATRIZ GENERAL CONSOLIDADA'!E115</f>
        <v>1065021941.36</v>
      </c>
      <c r="I167" s="460">
        <f>+'MATRIZ GENERAL CONSOLIDADA'!G115</f>
        <v>1046421392.36</v>
      </c>
      <c r="J167" s="75">
        <f t="shared" si="11"/>
        <v>18600549</v>
      </c>
      <c r="K167" s="136"/>
      <c r="L167" s="136"/>
      <c r="M167" s="145"/>
      <c r="N167" s="137"/>
      <c r="O167" s="137"/>
      <c r="P167" s="36"/>
      <c r="S167" s="136"/>
      <c r="T167" s="722"/>
    </row>
    <row r="168" spans="1:20" s="144" customFormat="1" ht="42.75">
      <c r="A168" s="882"/>
      <c r="B168" s="850"/>
      <c r="C168" s="724"/>
      <c r="D168" s="426" t="s">
        <v>452</v>
      </c>
      <c r="E168" s="394" t="s">
        <v>191</v>
      </c>
      <c r="F168" s="386">
        <f>+'MATRIZ GENERAL CONSOLIDADA'!D116</f>
        <v>1</v>
      </c>
      <c r="G168" s="660">
        <f>+'MATRIZ GENERAL CONSOLIDADA'!F116</f>
        <v>1</v>
      </c>
      <c r="H168" s="460">
        <f>+'MATRIZ GENERAL CONSOLIDADA'!E116</f>
        <v>995390015</v>
      </c>
      <c r="I168" s="460">
        <f>+'MATRIZ GENERAL CONSOLIDADA'!G116</f>
        <v>991549645</v>
      </c>
      <c r="J168" s="75">
        <f t="shared" si="11"/>
        <v>3840370</v>
      </c>
      <c r="K168" s="136"/>
      <c r="L168" s="136"/>
      <c r="M168" s="145"/>
      <c r="N168" s="137"/>
      <c r="O168" s="137"/>
      <c r="P168" s="36"/>
      <c r="S168" s="136"/>
      <c r="T168" s="722"/>
    </row>
    <row r="169" spans="1:20" s="144" customFormat="1" ht="66" customHeight="1">
      <c r="A169" s="882"/>
      <c r="B169" s="850"/>
      <c r="C169" s="724"/>
      <c r="D169" s="463" t="s">
        <v>514</v>
      </c>
      <c r="E169" s="394" t="s">
        <v>515</v>
      </c>
      <c r="F169" s="386">
        <f>+'MATRIZ GENERAL CONSOLIDADA'!D117</f>
        <v>0</v>
      </c>
      <c r="G169" s="660" t="str">
        <f>+'MATRIZ GENERAL CONSOLIDADA'!F117</f>
        <v>n/a</v>
      </c>
      <c r="H169" s="460">
        <f>+'MATRIZ GENERAL CONSOLIDADA'!E117</f>
        <v>121027238</v>
      </c>
      <c r="I169" s="435">
        <f>+'MATRIZ GENERAL CONSOLIDADA'!G117</f>
        <v>121027238</v>
      </c>
      <c r="J169" s="75">
        <f t="shared" si="11"/>
        <v>0</v>
      </c>
      <c r="K169" s="136"/>
      <c r="L169" s="136"/>
      <c r="M169" s="145"/>
      <c r="N169" s="137"/>
      <c r="O169" s="137"/>
      <c r="P169" s="36"/>
      <c r="S169" s="136"/>
      <c r="T169" s="722"/>
    </row>
    <row r="170" spans="1:20" s="144" customFormat="1" ht="15">
      <c r="A170" s="882"/>
      <c r="B170" s="850"/>
      <c r="C170" s="695"/>
      <c r="D170" s="872" t="s">
        <v>319</v>
      </c>
      <c r="E170" s="872"/>
      <c r="F170" s="872"/>
      <c r="G170" s="872"/>
      <c r="H170" s="458">
        <f>SUM(H164:H169)</f>
        <v>6441666047.1199999</v>
      </c>
      <c r="J170" s="515"/>
      <c r="K170" s="146"/>
      <c r="L170" s="136"/>
      <c r="M170" s="136"/>
      <c r="N170" s="137"/>
      <c r="O170" s="137"/>
      <c r="P170" s="375"/>
      <c r="S170" s="136"/>
      <c r="T170" s="722"/>
    </row>
    <row r="171" spans="1:20" s="144" customFormat="1" ht="18" customHeight="1">
      <c r="A171" s="882"/>
      <c r="B171" s="850"/>
      <c r="C171" s="707"/>
      <c r="D171" s="872" t="s">
        <v>320</v>
      </c>
      <c r="E171" s="872"/>
      <c r="F171" s="872"/>
      <c r="G171" s="872"/>
      <c r="H171" s="872"/>
      <c r="I171" s="458">
        <f>SUM(I164:I170)</f>
        <v>6220021805.6199999</v>
      </c>
      <c r="J171" s="515">
        <f>+H170-I171</f>
        <v>221644241.5</v>
      </c>
      <c r="K171" s="146"/>
      <c r="L171" s="136"/>
      <c r="M171" s="136"/>
      <c r="N171" s="137"/>
      <c r="O171" s="137"/>
      <c r="P171" s="375"/>
      <c r="R171" s="136"/>
      <c r="S171" s="136"/>
      <c r="T171" s="722"/>
    </row>
    <row r="172" spans="1:20" s="144" customFormat="1" ht="18" customHeight="1">
      <c r="A172" s="882"/>
      <c r="B172" s="850"/>
      <c r="C172" s="695"/>
      <c r="D172" s="872" t="s">
        <v>545</v>
      </c>
      <c r="E172" s="872"/>
      <c r="F172" s="872"/>
      <c r="G172" s="872"/>
      <c r="H172" s="872"/>
      <c r="I172" s="513">
        <f>+'Anexo 1 Matriz SINA Inf Gestión'!R111/100</f>
        <v>0.96559209374116894</v>
      </c>
      <c r="J172" s="516"/>
      <c r="K172" s="143"/>
      <c r="L172" s="136"/>
      <c r="M172" s="136"/>
      <c r="N172" s="137"/>
      <c r="O172" s="137"/>
      <c r="P172" s="375"/>
      <c r="R172" s="136"/>
      <c r="S172" s="136"/>
      <c r="T172" s="722"/>
    </row>
    <row r="173" spans="1:20" s="144" customFormat="1" ht="18" customHeight="1" thickBot="1">
      <c r="A173" s="882"/>
      <c r="B173" s="850"/>
      <c r="C173" s="695"/>
      <c r="D173" s="877" t="s">
        <v>526</v>
      </c>
      <c r="E173" s="877"/>
      <c r="F173" s="877"/>
      <c r="G173" s="877"/>
      <c r="H173" s="877"/>
      <c r="I173" s="513">
        <f>+'Anexo 1 Matriz SINA Inf Gestión'!K111/100</f>
        <v>1</v>
      </c>
      <c r="J173" s="516"/>
      <c r="K173" s="143"/>
      <c r="L173" s="136"/>
      <c r="M173" s="136"/>
      <c r="N173" s="137"/>
      <c r="O173" s="137"/>
      <c r="P173" s="375"/>
      <c r="R173" s="136"/>
      <c r="S173" s="136"/>
      <c r="T173" s="722"/>
    </row>
    <row r="174" spans="1:20" ht="18" customHeight="1" thickBot="1">
      <c r="A174" s="907" t="s">
        <v>570</v>
      </c>
      <c r="B174" s="908"/>
      <c r="C174" s="908"/>
      <c r="D174" s="908"/>
      <c r="E174" s="908"/>
      <c r="F174" s="908"/>
      <c r="G174" s="908"/>
      <c r="H174" s="909"/>
      <c r="I174" s="725">
        <f>+'Anexo 1 Matriz SINA Inf Gestión'!P118</f>
        <v>116661297710.23892</v>
      </c>
      <c r="J174" s="864">
        <f>+I174-I175</f>
        <v>1259881620.3739166</v>
      </c>
      <c r="T174" s="723">
        <f>+T172-T173</f>
        <v>0</v>
      </c>
    </row>
    <row r="175" spans="1:20" ht="18" customHeight="1" thickBot="1">
      <c r="A175" s="905" t="s">
        <v>571</v>
      </c>
      <c r="B175" s="906"/>
      <c r="C175" s="906"/>
      <c r="D175" s="906"/>
      <c r="E175" s="906"/>
      <c r="F175" s="906"/>
      <c r="G175" s="906"/>
      <c r="H175" s="906"/>
      <c r="I175" s="676">
        <f>+'Anexo 1 Matriz SINA Inf Gestión'!Q118</f>
        <v>115401416089.86501</v>
      </c>
      <c r="J175" s="865"/>
    </row>
    <row r="176" spans="1:20" ht="18" customHeight="1" thickBot="1">
      <c r="A176" s="851" t="s">
        <v>572</v>
      </c>
      <c r="B176" s="852"/>
      <c r="C176" s="852"/>
      <c r="D176" s="852"/>
      <c r="E176" s="852"/>
      <c r="F176" s="852"/>
      <c r="G176" s="852"/>
      <c r="H176" s="852"/>
      <c r="I176" s="726">
        <f>+'Anexo 1 Matriz SINA Inf Gestión'!R118/100</f>
        <v>0.98920051769436701</v>
      </c>
      <c r="J176" s="865"/>
      <c r="T176" s="723">
        <f>+I175-'Anexo 1 Matriz SINA Inf Gestión'!Q118</f>
        <v>0</v>
      </c>
    </row>
    <row r="177" spans="1:20" ht="18" customHeight="1" thickBot="1">
      <c r="A177" s="844" t="s">
        <v>527</v>
      </c>
      <c r="B177" s="845"/>
      <c r="C177" s="845"/>
      <c r="D177" s="845"/>
      <c r="E177" s="845"/>
      <c r="F177" s="845"/>
      <c r="G177" s="845"/>
      <c r="H177" s="845"/>
      <c r="I177" s="729">
        <f>+'Anexo 1 Matriz SINA Inf Gestión'!K118/100</f>
        <v>0.99245021463440197</v>
      </c>
      <c r="J177" s="866"/>
      <c r="S177" s="1033">
        <f>+I175+S180</f>
        <v>119452112933.40791</v>
      </c>
    </row>
    <row r="178" spans="1:20" s="1" customFormat="1">
      <c r="A178" s="653"/>
      <c r="B178" s="654"/>
      <c r="C178" s="654"/>
      <c r="D178" s="653"/>
      <c r="E178" s="653"/>
      <c r="F178" s="654"/>
      <c r="G178" s="714"/>
      <c r="H178" s="656"/>
      <c r="I178" s="656"/>
      <c r="J178" s="656"/>
      <c r="K178" s="451"/>
      <c r="L178" s="451"/>
      <c r="M178" s="650"/>
      <c r="N178" s="650"/>
      <c r="O178" s="650"/>
      <c r="P178" s="650"/>
      <c r="S178" s="1033"/>
      <c r="T178" s="721"/>
    </row>
    <row r="179" spans="1:20" s="1" customFormat="1">
      <c r="A179" s="653"/>
      <c r="B179" s="654"/>
      <c r="C179" s="654"/>
      <c r="D179" s="653"/>
      <c r="E179" s="653"/>
      <c r="F179" s="654"/>
      <c r="G179" s="714"/>
      <c r="H179" s="656"/>
      <c r="I179" s="656"/>
      <c r="J179" s="656"/>
      <c r="K179" s="451"/>
      <c r="L179" s="451"/>
      <c r="M179" s="650"/>
      <c r="N179" s="650"/>
      <c r="O179" s="650"/>
      <c r="P179" s="650"/>
      <c r="S179" s="1033">
        <f>+J174</f>
        <v>1259881620.3739166</v>
      </c>
      <c r="T179" s="721"/>
    </row>
    <row r="180" spans="1:20" s="1" customFormat="1">
      <c r="A180" s="653"/>
      <c r="B180" s="654"/>
      <c r="C180" s="654"/>
      <c r="D180" s="653"/>
      <c r="E180" s="653"/>
      <c r="F180" s="654"/>
      <c r="G180" s="714"/>
      <c r="H180" s="656"/>
      <c r="I180" s="656"/>
      <c r="J180" s="656"/>
      <c r="K180" s="451"/>
      <c r="L180" s="451"/>
      <c r="M180" s="650"/>
      <c r="N180" s="650"/>
      <c r="O180" s="650"/>
      <c r="P180" s="650"/>
      <c r="S180" s="1033">
        <v>4050696843.5429077</v>
      </c>
      <c r="T180" s="721"/>
    </row>
    <row r="181" spans="1:20" s="1" customFormat="1">
      <c r="A181" s="653"/>
      <c r="B181" s="654"/>
      <c r="C181" s="654"/>
      <c r="D181" s="653"/>
      <c r="E181" s="653"/>
      <c r="F181" s="654"/>
      <c r="G181" s="714"/>
      <c r="H181" s="656"/>
      <c r="I181" s="656"/>
      <c r="J181" s="656"/>
      <c r="K181" s="451"/>
      <c r="L181" s="451"/>
      <c r="M181" s="650"/>
      <c r="N181" s="650"/>
      <c r="O181" s="650"/>
      <c r="P181" s="650"/>
      <c r="S181" s="1033">
        <f>+S179-S180</f>
        <v>-2790815223.1689911</v>
      </c>
      <c r="T181" s="721"/>
    </row>
    <row r="182" spans="1:20" s="1" customFormat="1">
      <c r="A182" s="653"/>
      <c r="B182" s="654"/>
      <c r="C182" s="654"/>
      <c r="D182" s="653"/>
      <c r="E182" s="653"/>
      <c r="F182" s="654"/>
      <c r="G182" s="714"/>
      <c r="H182" s="656"/>
      <c r="I182" s="656"/>
      <c r="J182" s="656"/>
      <c r="K182" s="451"/>
      <c r="L182" s="451"/>
      <c r="M182" s="650"/>
      <c r="N182" s="650"/>
      <c r="O182" s="650"/>
      <c r="P182" s="650"/>
      <c r="S182" s="1033"/>
      <c r="T182" s="721"/>
    </row>
    <row r="183" spans="1:20" s="1" customFormat="1">
      <c r="A183" s="653"/>
      <c r="B183" s="654"/>
      <c r="C183" s="654"/>
      <c r="D183" s="653"/>
      <c r="E183" s="653"/>
      <c r="F183" s="654"/>
      <c r="G183" s="714"/>
      <c r="H183" s="656"/>
      <c r="I183" s="685"/>
      <c r="J183" s="656"/>
      <c r="K183" s="451"/>
      <c r="L183" s="451"/>
      <c r="M183" s="650"/>
      <c r="N183" s="650"/>
      <c r="O183" s="650"/>
      <c r="P183" s="650"/>
      <c r="S183" s="1033"/>
      <c r="T183" s="721"/>
    </row>
    <row r="184" spans="1:20" s="1" customFormat="1">
      <c r="A184" s="653"/>
      <c r="B184" s="654"/>
      <c r="C184" s="654"/>
      <c r="D184" s="653"/>
      <c r="E184" s="653"/>
      <c r="F184" s="654"/>
      <c r="G184" s="714"/>
      <c r="H184" s="656"/>
      <c r="I184" s="685"/>
      <c r="J184" s="656"/>
      <c r="K184" s="451"/>
      <c r="L184" s="451"/>
      <c r="M184" s="650"/>
      <c r="N184" s="650"/>
      <c r="O184" s="650"/>
      <c r="P184" s="650"/>
      <c r="S184" s="1033"/>
      <c r="T184" s="721"/>
    </row>
    <row r="185" spans="1:20" s="1" customFormat="1">
      <c r="A185" s="653"/>
      <c r="B185" s="654"/>
      <c r="C185" s="654"/>
      <c r="D185" s="653"/>
      <c r="E185" s="653"/>
      <c r="F185" s="654"/>
      <c r="G185" s="714"/>
      <c r="H185" s="656"/>
      <c r="I185" s="656"/>
      <c r="J185" s="656"/>
      <c r="K185" s="451"/>
      <c r="L185" s="451"/>
      <c r="M185" s="650"/>
      <c r="N185" s="650"/>
      <c r="O185" s="650"/>
      <c r="P185" s="650"/>
      <c r="S185" s="451"/>
      <c r="T185" s="721"/>
    </row>
    <row r="186" spans="1:20" s="1" customFormat="1">
      <c r="A186" s="653"/>
      <c r="B186" s="654"/>
      <c r="C186" s="654"/>
      <c r="D186" s="653"/>
      <c r="E186" s="653"/>
      <c r="F186" s="654"/>
      <c r="G186" s="714"/>
      <c r="H186" s="656"/>
      <c r="I186" s="656"/>
      <c r="J186" s="656"/>
      <c r="K186" s="451"/>
      <c r="L186" s="451"/>
      <c r="M186" s="650"/>
      <c r="N186" s="650"/>
      <c r="O186" s="650"/>
      <c r="P186" s="650"/>
      <c r="S186" s="451"/>
      <c r="T186" s="721"/>
    </row>
    <row r="187" spans="1:20" s="1" customFormat="1">
      <c r="A187" s="653"/>
      <c r="B187" s="654"/>
      <c r="C187" s="654"/>
      <c r="D187" s="653"/>
      <c r="E187" s="653"/>
      <c r="F187" s="654"/>
      <c r="G187" s="714"/>
      <c r="H187" s="656"/>
      <c r="I187" s="656"/>
      <c r="J187" s="656"/>
      <c r="K187" s="451"/>
      <c r="L187" s="451"/>
      <c r="M187" s="650"/>
      <c r="N187" s="650"/>
      <c r="O187" s="650"/>
      <c r="P187" s="650"/>
      <c r="S187" s="451"/>
      <c r="T187" s="721"/>
    </row>
    <row r="188" spans="1:20" s="1" customFormat="1">
      <c r="A188" s="653"/>
      <c r="B188" s="654"/>
      <c r="C188" s="654"/>
      <c r="D188" s="653"/>
      <c r="E188" s="653"/>
      <c r="F188" s="654"/>
      <c r="G188" s="714"/>
      <c r="H188" s="656"/>
      <c r="I188" s="656"/>
      <c r="J188" s="656"/>
      <c r="K188" s="451"/>
      <c r="L188" s="451"/>
      <c r="M188" s="650"/>
      <c r="N188" s="650"/>
      <c r="O188" s="650"/>
      <c r="P188" s="650"/>
      <c r="S188" s="451"/>
      <c r="T188" s="721"/>
    </row>
    <row r="189" spans="1:20" s="1" customFormat="1">
      <c r="A189" s="653"/>
      <c r="B189" s="654"/>
      <c r="C189" s="654"/>
      <c r="D189" s="653"/>
      <c r="E189" s="653"/>
      <c r="F189" s="654"/>
      <c r="G189" s="714"/>
      <c r="H189" s="656"/>
      <c r="I189" s="656"/>
      <c r="J189" s="656"/>
      <c r="K189" s="451"/>
      <c r="L189" s="451"/>
      <c r="M189" s="650"/>
      <c r="N189" s="650"/>
      <c r="O189" s="650"/>
      <c r="P189" s="650"/>
      <c r="S189" s="451"/>
      <c r="T189" s="721"/>
    </row>
    <row r="190" spans="1:20" s="1" customFormat="1">
      <c r="A190" s="653"/>
      <c r="B190" s="654"/>
      <c r="C190" s="654"/>
      <c r="D190" s="653"/>
      <c r="E190" s="653"/>
      <c r="F190" s="654"/>
      <c r="G190" s="714"/>
      <c r="H190" s="656"/>
      <c r="I190" s="656"/>
      <c r="J190" s="656"/>
      <c r="K190" s="451"/>
      <c r="L190" s="451"/>
      <c r="M190" s="650"/>
      <c r="N190" s="650"/>
      <c r="O190" s="650"/>
      <c r="P190" s="650"/>
      <c r="S190" s="451"/>
      <c r="T190" s="721"/>
    </row>
    <row r="191" spans="1:20" s="1" customFormat="1">
      <c r="A191" s="653"/>
      <c r="B191" s="654"/>
      <c r="C191" s="654"/>
      <c r="D191" s="653"/>
      <c r="E191" s="653"/>
      <c r="F191" s="654"/>
      <c r="G191" s="714"/>
      <c r="H191" s="656"/>
      <c r="I191" s="656"/>
      <c r="J191" s="656"/>
      <c r="K191" s="451"/>
      <c r="L191" s="451"/>
      <c r="M191" s="650"/>
      <c r="N191" s="650"/>
      <c r="O191" s="650"/>
      <c r="P191" s="650"/>
      <c r="S191" s="451"/>
      <c r="T191" s="721"/>
    </row>
    <row r="192" spans="1:20" s="1" customFormat="1">
      <c r="A192" s="653"/>
      <c r="B192" s="654"/>
      <c r="C192" s="654"/>
      <c r="D192" s="653"/>
      <c r="E192" s="653"/>
      <c r="F192" s="654"/>
      <c r="G192" s="714"/>
      <c r="H192" s="656"/>
      <c r="I192" s="656"/>
      <c r="J192" s="656"/>
      <c r="K192" s="451"/>
      <c r="L192" s="451"/>
      <c r="M192" s="650"/>
      <c r="N192" s="650"/>
      <c r="O192" s="650"/>
      <c r="P192" s="650"/>
      <c r="S192" s="451"/>
      <c r="T192" s="721"/>
    </row>
    <row r="193" spans="1:20" s="1" customFormat="1">
      <c r="A193" s="653"/>
      <c r="B193" s="654"/>
      <c r="C193" s="654"/>
      <c r="D193" s="653"/>
      <c r="E193" s="653"/>
      <c r="F193" s="654"/>
      <c r="G193" s="714"/>
      <c r="H193" s="656"/>
      <c r="I193" s="656"/>
      <c r="J193" s="656"/>
      <c r="K193" s="451"/>
      <c r="L193" s="451"/>
      <c r="M193" s="650"/>
      <c r="N193" s="650"/>
      <c r="O193" s="650"/>
      <c r="P193" s="650"/>
      <c r="S193" s="451"/>
      <c r="T193" s="721"/>
    </row>
    <row r="194" spans="1:20" s="1" customFormat="1">
      <c r="A194" s="653"/>
      <c r="B194" s="654"/>
      <c r="C194" s="654"/>
      <c r="D194" s="653"/>
      <c r="E194" s="653"/>
      <c r="F194" s="654"/>
      <c r="G194" s="714"/>
      <c r="H194" s="656"/>
      <c r="I194" s="656"/>
      <c r="J194" s="656"/>
      <c r="K194" s="451"/>
      <c r="L194" s="451"/>
      <c r="M194" s="650"/>
      <c r="N194" s="650"/>
      <c r="O194" s="650"/>
      <c r="P194" s="650"/>
      <c r="S194" s="451"/>
      <c r="T194" s="721"/>
    </row>
    <row r="195" spans="1:20" s="1" customFormat="1">
      <c r="A195" s="653"/>
      <c r="B195" s="654"/>
      <c r="C195" s="654"/>
      <c r="D195" s="653"/>
      <c r="E195" s="653"/>
      <c r="F195" s="654"/>
      <c r="G195" s="714"/>
      <c r="H195" s="656"/>
      <c r="I195" s="656"/>
      <c r="J195" s="656"/>
      <c r="K195" s="451"/>
      <c r="L195" s="451"/>
      <c r="M195" s="650"/>
      <c r="N195" s="650"/>
      <c r="O195" s="650"/>
      <c r="P195" s="650"/>
      <c r="S195" s="451"/>
      <c r="T195" s="721"/>
    </row>
    <row r="196" spans="1:20" s="1" customFormat="1">
      <c r="A196" s="653"/>
      <c r="B196" s="654"/>
      <c r="C196" s="654"/>
      <c r="D196" s="653"/>
      <c r="E196" s="653"/>
      <c r="F196" s="654"/>
      <c r="G196" s="714"/>
      <c r="H196" s="656"/>
      <c r="I196" s="656"/>
      <c r="J196" s="656"/>
      <c r="K196" s="451"/>
      <c r="L196" s="451"/>
      <c r="M196" s="650"/>
      <c r="N196" s="650"/>
      <c r="O196" s="650"/>
      <c r="P196" s="650"/>
      <c r="S196" s="451"/>
      <c r="T196" s="721"/>
    </row>
    <row r="197" spans="1:20" s="1" customFormat="1">
      <c r="A197" s="653"/>
      <c r="B197" s="654"/>
      <c r="C197" s="654"/>
      <c r="D197" s="653"/>
      <c r="E197" s="653"/>
      <c r="F197" s="654"/>
      <c r="G197" s="714"/>
      <c r="H197" s="656"/>
      <c r="I197" s="656"/>
      <c r="J197" s="656"/>
      <c r="K197" s="451"/>
      <c r="L197" s="451"/>
      <c r="M197" s="650"/>
      <c r="N197" s="650"/>
      <c r="O197" s="650"/>
      <c r="P197" s="650"/>
      <c r="S197" s="451"/>
      <c r="T197" s="721"/>
    </row>
    <row r="198" spans="1:20" s="1" customFormat="1">
      <c r="A198" s="653"/>
      <c r="B198" s="654"/>
      <c r="C198" s="654"/>
      <c r="D198" s="653"/>
      <c r="E198" s="653"/>
      <c r="F198" s="654"/>
      <c r="G198" s="714"/>
      <c r="H198" s="656"/>
      <c r="I198" s="656"/>
      <c r="J198" s="656"/>
      <c r="K198" s="451"/>
      <c r="L198" s="451"/>
      <c r="M198" s="650"/>
      <c r="N198" s="650"/>
      <c r="O198" s="650"/>
      <c r="P198" s="650"/>
      <c r="S198" s="451"/>
      <c r="T198" s="721"/>
    </row>
    <row r="199" spans="1:20" s="1" customFormat="1">
      <c r="A199" s="653"/>
      <c r="B199" s="654"/>
      <c r="C199" s="654"/>
      <c r="D199" s="653"/>
      <c r="E199" s="653"/>
      <c r="F199" s="654"/>
      <c r="G199" s="714"/>
      <c r="H199" s="656"/>
      <c r="I199" s="656"/>
      <c r="J199" s="656"/>
      <c r="K199" s="451"/>
      <c r="L199" s="451"/>
      <c r="M199" s="650"/>
      <c r="N199" s="650"/>
      <c r="O199" s="650"/>
      <c r="P199" s="650"/>
      <c r="S199" s="451"/>
      <c r="T199" s="721"/>
    </row>
    <row r="200" spans="1:20" s="1" customFormat="1">
      <c r="A200" s="653"/>
      <c r="B200" s="654"/>
      <c r="C200" s="654"/>
      <c r="D200" s="653"/>
      <c r="E200" s="653"/>
      <c r="F200" s="654"/>
      <c r="G200" s="714"/>
      <c r="H200" s="656"/>
      <c r="I200" s="656"/>
      <c r="J200" s="656"/>
      <c r="K200" s="451"/>
      <c r="L200" s="451"/>
      <c r="M200" s="650"/>
      <c r="N200" s="650"/>
      <c r="O200" s="650"/>
      <c r="P200" s="650"/>
      <c r="S200" s="451"/>
      <c r="T200" s="721"/>
    </row>
    <row r="201" spans="1:20" s="1" customFormat="1">
      <c r="A201" s="653"/>
      <c r="B201" s="654"/>
      <c r="C201" s="654"/>
      <c r="D201" s="653"/>
      <c r="E201" s="653"/>
      <c r="F201" s="654"/>
      <c r="G201" s="714"/>
      <c r="H201" s="656"/>
      <c r="I201" s="656"/>
      <c r="J201" s="656"/>
      <c r="K201" s="451"/>
      <c r="L201" s="451"/>
      <c r="M201" s="650"/>
      <c r="N201" s="650"/>
      <c r="O201" s="650"/>
      <c r="P201" s="650"/>
      <c r="S201" s="451"/>
      <c r="T201" s="721"/>
    </row>
    <row r="202" spans="1:20" s="1" customFormat="1">
      <c r="A202" s="653"/>
      <c r="B202" s="654"/>
      <c r="C202" s="654"/>
      <c r="D202" s="653"/>
      <c r="E202" s="653"/>
      <c r="F202" s="654"/>
      <c r="G202" s="714"/>
      <c r="H202" s="656"/>
      <c r="I202" s="656"/>
      <c r="J202" s="656"/>
      <c r="K202" s="451"/>
      <c r="L202" s="451"/>
      <c r="M202" s="650"/>
      <c r="N202" s="650"/>
      <c r="O202" s="650"/>
      <c r="P202" s="650"/>
      <c r="S202" s="451"/>
      <c r="T202" s="721"/>
    </row>
    <row r="203" spans="1:20" s="1" customFormat="1">
      <c r="A203" s="653"/>
      <c r="B203" s="654"/>
      <c r="C203" s="654"/>
      <c r="D203" s="653"/>
      <c r="E203" s="653"/>
      <c r="F203" s="654"/>
      <c r="G203" s="714"/>
      <c r="H203" s="656"/>
      <c r="I203" s="656"/>
      <c r="J203" s="656"/>
      <c r="K203" s="451"/>
      <c r="L203" s="451"/>
      <c r="M203" s="650"/>
      <c r="N203" s="650"/>
      <c r="O203" s="650"/>
      <c r="P203" s="650"/>
      <c r="S203" s="451"/>
      <c r="T203" s="721"/>
    </row>
    <row r="204" spans="1:20" s="1" customFormat="1">
      <c r="A204" s="653"/>
      <c r="B204" s="654"/>
      <c r="C204" s="654"/>
      <c r="D204" s="653"/>
      <c r="E204" s="653"/>
      <c r="F204" s="654"/>
      <c r="G204" s="714"/>
      <c r="H204" s="656"/>
      <c r="I204" s="656"/>
      <c r="J204" s="656"/>
      <c r="K204" s="451"/>
      <c r="L204" s="451"/>
      <c r="M204" s="650"/>
      <c r="N204" s="650"/>
      <c r="O204" s="650"/>
      <c r="P204" s="650"/>
      <c r="S204" s="451"/>
      <c r="T204" s="721"/>
    </row>
    <row r="205" spans="1:20" s="1" customFormat="1">
      <c r="A205" s="653"/>
      <c r="B205" s="654"/>
      <c r="C205" s="654"/>
      <c r="D205" s="653"/>
      <c r="E205" s="653"/>
      <c r="F205" s="654"/>
      <c r="G205" s="714"/>
      <c r="H205" s="656"/>
      <c r="I205" s="656"/>
      <c r="J205" s="656"/>
      <c r="K205" s="451"/>
      <c r="L205" s="451"/>
      <c r="M205" s="650"/>
      <c r="N205" s="650"/>
      <c r="O205" s="650"/>
      <c r="P205" s="650"/>
      <c r="S205" s="451"/>
      <c r="T205" s="721"/>
    </row>
    <row r="206" spans="1:20" s="1" customFormat="1">
      <c r="A206" s="653"/>
      <c r="B206" s="654"/>
      <c r="C206" s="654"/>
      <c r="D206" s="653"/>
      <c r="E206" s="653"/>
      <c r="F206" s="654"/>
      <c r="G206" s="714"/>
      <c r="H206" s="656"/>
      <c r="I206" s="656"/>
      <c r="J206" s="656"/>
      <c r="K206" s="451"/>
      <c r="L206" s="451"/>
      <c r="M206" s="650"/>
      <c r="N206" s="650"/>
      <c r="O206" s="650"/>
      <c r="P206" s="650"/>
      <c r="S206" s="451"/>
      <c r="T206" s="721"/>
    </row>
    <row r="207" spans="1:20" s="1" customFormat="1">
      <c r="A207" s="653"/>
      <c r="B207" s="654"/>
      <c r="C207" s="654"/>
      <c r="D207" s="653"/>
      <c r="E207" s="653"/>
      <c r="F207" s="654"/>
      <c r="G207" s="714"/>
      <c r="H207" s="656"/>
      <c r="I207" s="656"/>
      <c r="J207" s="656"/>
      <c r="K207" s="451"/>
      <c r="L207" s="451"/>
      <c r="M207" s="650"/>
      <c r="N207" s="650"/>
      <c r="O207" s="650"/>
      <c r="P207" s="650"/>
      <c r="S207" s="451"/>
      <c r="T207" s="721"/>
    </row>
    <row r="208" spans="1:20" s="1" customFormat="1">
      <c r="B208" s="447"/>
      <c r="C208" s="447"/>
      <c r="F208" s="447"/>
      <c r="G208" s="2"/>
      <c r="H208" s="148"/>
      <c r="I208" s="148"/>
      <c r="J208" s="148"/>
      <c r="K208" s="451"/>
      <c r="L208" s="451"/>
      <c r="M208" s="650"/>
      <c r="N208" s="650"/>
      <c r="O208" s="650"/>
      <c r="P208" s="650"/>
      <c r="S208" s="451"/>
      <c r="T208" s="721"/>
    </row>
    <row r="209" spans="2:20" s="1" customFormat="1">
      <c r="B209" s="447"/>
      <c r="C209" s="447"/>
      <c r="F209" s="447"/>
      <c r="G209" s="2"/>
      <c r="H209" s="148"/>
      <c r="I209" s="148"/>
      <c r="J209" s="148"/>
      <c r="K209" s="451"/>
      <c r="L209" s="451"/>
      <c r="M209" s="650"/>
      <c r="N209" s="650"/>
      <c r="O209" s="650"/>
      <c r="P209" s="650"/>
      <c r="S209" s="451"/>
      <c r="T209" s="721"/>
    </row>
    <row r="210" spans="2:20" s="1" customFormat="1">
      <c r="B210" s="447"/>
      <c r="C210" s="447"/>
      <c r="F210" s="447"/>
      <c r="G210" s="2"/>
      <c r="H210" s="148"/>
      <c r="I210" s="148"/>
      <c r="J210" s="148"/>
      <c r="K210" s="451"/>
      <c r="L210" s="451"/>
      <c r="M210" s="650"/>
      <c r="N210" s="650"/>
      <c r="O210" s="650"/>
      <c r="P210" s="650"/>
      <c r="S210" s="451"/>
      <c r="T210" s="721"/>
    </row>
    <row r="211" spans="2:20" s="1" customFormat="1">
      <c r="B211" s="447"/>
      <c r="C211" s="447"/>
      <c r="F211" s="447"/>
      <c r="G211" s="2"/>
      <c r="H211" s="148"/>
      <c r="I211" s="148"/>
      <c r="J211" s="148"/>
      <c r="K211" s="451"/>
      <c r="L211" s="451"/>
      <c r="M211" s="650"/>
      <c r="N211" s="650"/>
      <c r="O211" s="650"/>
      <c r="P211" s="650"/>
      <c r="S211" s="451"/>
      <c r="T211" s="721"/>
    </row>
    <row r="212" spans="2:20" s="1" customFormat="1">
      <c r="B212" s="447"/>
      <c r="C212" s="447"/>
      <c r="F212" s="447"/>
      <c r="G212" s="2"/>
      <c r="H212" s="148"/>
      <c r="I212" s="148"/>
      <c r="J212" s="148"/>
      <c r="K212" s="451"/>
      <c r="L212" s="451"/>
      <c r="M212" s="650"/>
      <c r="N212" s="650"/>
      <c r="O212" s="650"/>
      <c r="P212" s="650"/>
      <c r="S212" s="451"/>
      <c r="T212" s="721"/>
    </row>
    <row r="213" spans="2:20" s="1" customFormat="1">
      <c r="B213" s="447"/>
      <c r="C213" s="447"/>
      <c r="F213" s="447"/>
      <c r="G213" s="2"/>
      <c r="H213" s="148"/>
      <c r="I213" s="148"/>
      <c r="J213" s="148"/>
      <c r="K213" s="451"/>
      <c r="L213" s="451"/>
      <c r="M213" s="650"/>
      <c r="N213" s="650"/>
      <c r="O213" s="650"/>
      <c r="P213" s="650"/>
      <c r="S213" s="451"/>
      <c r="T213" s="721"/>
    </row>
    <row r="214" spans="2:20" s="1" customFormat="1">
      <c r="B214" s="447"/>
      <c r="C214" s="447"/>
      <c r="F214" s="447"/>
      <c r="G214" s="2"/>
      <c r="H214" s="148"/>
      <c r="I214" s="148"/>
      <c r="J214" s="148"/>
      <c r="K214" s="451"/>
      <c r="L214" s="451"/>
      <c r="M214" s="650"/>
      <c r="N214" s="650"/>
      <c r="O214" s="650"/>
      <c r="P214" s="650"/>
      <c r="S214" s="451"/>
      <c r="T214" s="721"/>
    </row>
    <row r="215" spans="2:20" s="1" customFormat="1">
      <c r="B215" s="447"/>
      <c r="C215" s="447"/>
      <c r="F215" s="447"/>
      <c r="G215" s="2"/>
      <c r="H215" s="148"/>
      <c r="I215" s="148"/>
      <c r="J215" s="148"/>
      <c r="K215" s="451"/>
      <c r="L215" s="451"/>
      <c r="M215" s="650"/>
      <c r="N215" s="650"/>
      <c r="O215" s="650"/>
      <c r="P215" s="650"/>
      <c r="S215" s="451"/>
      <c r="T215" s="721"/>
    </row>
    <row r="216" spans="2:20" s="1" customFormat="1">
      <c r="B216" s="447"/>
      <c r="C216" s="447"/>
      <c r="F216" s="447"/>
      <c r="G216" s="2"/>
      <c r="H216" s="148"/>
      <c r="I216" s="148"/>
      <c r="J216" s="148"/>
      <c r="K216" s="451"/>
      <c r="L216" s="451"/>
      <c r="M216" s="650"/>
      <c r="N216" s="650"/>
      <c r="O216" s="650"/>
      <c r="P216" s="650"/>
      <c r="S216" s="451"/>
      <c r="T216" s="721"/>
    </row>
    <row r="217" spans="2:20" s="1" customFormat="1">
      <c r="B217" s="447"/>
      <c r="C217" s="447"/>
      <c r="F217" s="447"/>
      <c r="G217" s="2"/>
      <c r="H217" s="148"/>
      <c r="I217" s="148"/>
      <c r="J217" s="148"/>
      <c r="K217" s="451"/>
      <c r="L217" s="451"/>
      <c r="M217" s="650"/>
      <c r="N217" s="650"/>
      <c r="O217" s="650"/>
      <c r="P217" s="650"/>
      <c r="S217" s="451"/>
      <c r="T217" s="721"/>
    </row>
    <row r="218" spans="2:20" s="1" customFormat="1">
      <c r="B218" s="447"/>
      <c r="C218" s="447"/>
      <c r="F218" s="447"/>
      <c r="G218" s="2"/>
      <c r="H218" s="148"/>
      <c r="I218" s="148"/>
      <c r="J218" s="148"/>
      <c r="K218" s="451"/>
      <c r="L218" s="451"/>
      <c r="M218" s="650"/>
      <c r="N218" s="650"/>
      <c r="O218" s="650"/>
      <c r="P218" s="650"/>
      <c r="S218" s="451"/>
      <c r="T218" s="721"/>
    </row>
    <row r="219" spans="2:20" s="1" customFormat="1">
      <c r="B219" s="447"/>
      <c r="C219" s="447"/>
      <c r="F219" s="447"/>
      <c r="G219" s="2"/>
      <c r="H219" s="148"/>
      <c r="I219" s="148"/>
      <c r="J219" s="148"/>
      <c r="K219" s="451"/>
      <c r="L219" s="451"/>
      <c r="M219" s="650"/>
      <c r="N219" s="650"/>
      <c r="O219" s="650"/>
      <c r="P219" s="650"/>
      <c r="S219" s="451"/>
      <c r="T219" s="721"/>
    </row>
    <row r="220" spans="2:20" s="1" customFormat="1">
      <c r="B220" s="447"/>
      <c r="C220" s="447"/>
      <c r="F220" s="447"/>
      <c r="G220" s="2"/>
      <c r="H220" s="148"/>
      <c r="I220" s="148"/>
      <c r="J220" s="148"/>
      <c r="K220" s="451"/>
      <c r="L220" s="451"/>
      <c r="M220" s="650"/>
      <c r="N220" s="650"/>
      <c r="O220" s="650"/>
      <c r="P220" s="650"/>
      <c r="S220" s="451"/>
      <c r="T220" s="721"/>
    </row>
    <row r="221" spans="2:20" s="1" customFormat="1">
      <c r="B221" s="447"/>
      <c r="C221" s="447"/>
      <c r="F221" s="447"/>
      <c r="G221" s="2"/>
      <c r="H221" s="148"/>
      <c r="I221" s="148"/>
      <c r="J221" s="148"/>
      <c r="K221" s="451"/>
      <c r="L221" s="451"/>
      <c r="M221" s="650"/>
      <c r="N221" s="650"/>
      <c r="O221" s="650"/>
      <c r="P221" s="650"/>
      <c r="S221" s="451"/>
      <c r="T221" s="721"/>
    </row>
    <row r="222" spans="2:20" s="1" customFormat="1">
      <c r="B222" s="447"/>
      <c r="C222" s="447"/>
      <c r="F222" s="447"/>
      <c r="G222" s="2"/>
      <c r="H222" s="148"/>
      <c r="I222" s="148"/>
      <c r="J222" s="148"/>
      <c r="K222" s="451"/>
      <c r="L222" s="451"/>
      <c r="M222" s="650"/>
      <c r="N222" s="650"/>
      <c r="O222" s="650"/>
      <c r="P222" s="650"/>
      <c r="S222" s="451"/>
      <c r="T222" s="721"/>
    </row>
    <row r="223" spans="2:20" s="1" customFormat="1">
      <c r="B223" s="447"/>
      <c r="C223" s="447"/>
      <c r="F223" s="447"/>
      <c r="G223" s="2"/>
      <c r="H223" s="148"/>
      <c r="I223" s="148"/>
      <c r="J223" s="148"/>
      <c r="K223" s="451"/>
      <c r="L223" s="451"/>
      <c r="M223" s="650"/>
      <c r="N223" s="650"/>
      <c r="O223" s="650"/>
      <c r="P223" s="650"/>
      <c r="S223" s="451"/>
      <c r="T223" s="721"/>
    </row>
    <row r="224" spans="2:20" s="1" customFormat="1">
      <c r="B224" s="447"/>
      <c r="C224" s="447"/>
      <c r="F224" s="447"/>
      <c r="G224" s="2"/>
      <c r="H224" s="148"/>
      <c r="I224" s="148"/>
      <c r="J224" s="148"/>
      <c r="K224" s="451"/>
      <c r="L224" s="451"/>
      <c r="M224" s="650"/>
      <c r="N224" s="650"/>
      <c r="O224" s="650"/>
      <c r="P224" s="650"/>
      <c r="S224" s="451"/>
      <c r="T224" s="721"/>
    </row>
    <row r="225" spans="2:20" s="1" customFormat="1">
      <c r="B225" s="447"/>
      <c r="C225" s="447"/>
      <c r="F225" s="447"/>
      <c r="G225" s="2"/>
      <c r="H225" s="148"/>
      <c r="I225" s="148"/>
      <c r="J225" s="148"/>
      <c r="K225" s="451"/>
      <c r="L225" s="451"/>
      <c r="M225" s="650"/>
      <c r="N225" s="650"/>
      <c r="O225" s="650"/>
      <c r="P225" s="650"/>
      <c r="S225" s="451"/>
      <c r="T225" s="721"/>
    </row>
    <row r="226" spans="2:20" s="1" customFormat="1">
      <c r="B226" s="447"/>
      <c r="C226" s="447"/>
      <c r="F226" s="447"/>
      <c r="G226" s="2"/>
      <c r="H226" s="148"/>
      <c r="I226" s="148"/>
      <c r="J226" s="148"/>
      <c r="K226" s="451"/>
      <c r="L226" s="451"/>
      <c r="M226" s="650"/>
      <c r="N226" s="650"/>
      <c r="O226" s="650"/>
      <c r="P226" s="650"/>
      <c r="S226" s="451"/>
      <c r="T226" s="721"/>
    </row>
    <row r="227" spans="2:20" s="1" customFormat="1">
      <c r="B227" s="447"/>
      <c r="C227" s="447"/>
      <c r="F227" s="447"/>
      <c r="G227" s="2"/>
      <c r="H227" s="148"/>
      <c r="I227" s="148"/>
      <c r="J227" s="148"/>
      <c r="K227" s="451"/>
      <c r="L227" s="451"/>
      <c r="M227" s="650"/>
      <c r="N227" s="650"/>
      <c r="O227" s="650"/>
      <c r="P227" s="650"/>
      <c r="S227" s="451"/>
      <c r="T227" s="721"/>
    </row>
    <row r="228" spans="2:20" s="1" customFormat="1">
      <c r="B228" s="447"/>
      <c r="C228" s="447"/>
      <c r="F228" s="447"/>
      <c r="G228" s="2"/>
      <c r="H228" s="148"/>
      <c r="I228" s="148"/>
      <c r="J228" s="148"/>
      <c r="K228" s="451"/>
      <c r="L228" s="451"/>
      <c r="M228" s="650"/>
      <c r="N228" s="650"/>
      <c r="O228" s="650"/>
      <c r="P228" s="650"/>
      <c r="S228" s="451"/>
      <c r="T228" s="721"/>
    </row>
    <row r="229" spans="2:20" s="1" customFormat="1">
      <c r="B229" s="447"/>
      <c r="C229" s="447"/>
      <c r="F229" s="447"/>
      <c r="G229" s="2"/>
      <c r="H229" s="148"/>
      <c r="I229" s="148"/>
      <c r="J229" s="148"/>
      <c r="K229" s="451"/>
      <c r="L229" s="451"/>
      <c r="M229" s="650"/>
      <c r="N229" s="650"/>
      <c r="O229" s="650"/>
      <c r="P229" s="650"/>
      <c r="S229" s="451"/>
      <c r="T229" s="721"/>
    </row>
    <row r="230" spans="2:20" s="1" customFormat="1">
      <c r="B230" s="447"/>
      <c r="C230" s="447"/>
      <c r="F230" s="447"/>
      <c r="G230" s="2"/>
      <c r="H230" s="148"/>
      <c r="I230" s="148"/>
      <c r="J230" s="148"/>
      <c r="K230" s="451"/>
      <c r="L230" s="451"/>
      <c r="M230" s="650"/>
      <c r="N230" s="650"/>
      <c r="O230" s="650"/>
      <c r="P230" s="650"/>
      <c r="S230" s="451"/>
      <c r="T230" s="721"/>
    </row>
    <row r="231" spans="2:20" s="1" customFormat="1">
      <c r="B231" s="447"/>
      <c r="C231" s="447"/>
      <c r="F231" s="447"/>
      <c r="G231" s="2"/>
      <c r="H231" s="148"/>
      <c r="I231" s="148"/>
      <c r="J231" s="148"/>
      <c r="K231" s="451"/>
      <c r="L231" s="451"/>
      <c r="M231" s="650"/>
      <c r="N231" s="650"/>
      <c r="O231" s="650"/>
      <c r="P231" s="650"/>
      <c r="S231" s="451"/>
      <c r="T231" s="721"/>
    </row>
    <row r="232" spans="2:20" s="1" customFormat="1">
      <c r="B232" s="447"/>
      <c r="C232" s="447"/>
      <c r="F232" s="447"/>
      <c r="G232" s="2"/>
      <c r="H232" s="148"/>
      <c r="I232" s="148"/>
      <c r="J232" s="148"/>
      <c r="K232" s="451"/>
      <c r="L232" s="451"/>
      <c r="M232" s="650"/>
      <c r="N232" s="650"/>
      <c r="O232" s="650"/>
      <c r="P232" s="650"/>
      <c r="S232" s="451"/>
      <c r="T232" s="721"/>
    </row>
    <row r="233" spans="2:20" s="1" customFormat="1">
      <c r="B233" s="447"/>
      <c r="C233" s="447"/>
      <c r="F233" s="447"/>
      <c r="G233" s="2"/>
      <c r="H233" s="148"/>
      <c r="I233" s="148"/>
      <c r="J233" s="148"/>
      <c r="K233" s="451"/>
      <c r="L233" s="451"/>
      <c r="M233" s="650"/>
      <c r="N233" s="650"/>
      <c r="O233" s="650"/>
      <c r="P233" s="650"/>
      <c r="S233" s="451"/>
      <c r="T233" s="721"/>
    </row>
    <row r="234" spans="2:20" s="1" customFormat="1">
      <c r="B234" s="447"/>
      <c r="C234" s="447"/>
      <c r="F234" s="447"/>
      <c r="G234" s="2"/>
      <c r="H234" s="148"/>
      <c r="I234" s="148"/>
      <c r="J234" s="148"/>
      <c r="K234" s="451"/>
      <c r="L234" s="451"/>
      <c r="M234" s="650"/>
      <c r="N234" s="650"/>
      <c r="O234" s="650"/>
      <c r="P234" s="650"/>
      <c r="S234" s="451"/>
      <c r="T234" s="721"/>
    </row>
    <row r="235" spans="2:20" s="1" customFormat="1">
      <c r="B235" s="447"/>
      <c r="C235" s="447"/>
      <c r="F235" s="447"/>
      <c r="G235" s="2"/>
      <c r="H235" s="148"/>
      <c r="I235" s="148"/>
      <c r="J235" s="148"/>
      <c r="K235" s="451"/>
      <c r="L235" s="451"/>
      <c r="M235" s="650"/>
      <c r="N235" s="650"/>
      <c r="O235" s="650"/>
      <c r="P235" s="650"/>
      <c r="S235" s="451"/>
      <c r="T235" s="721"/>
    </row>
    <row r="236" spans="2:20" s="1" customFormat="1">
      <c r="B236" s="447"/>
      <c r="C236" s="447"/>
      <c r="F236" s="447"/>
      <c r="G236" s="2"/>
      <c r="H236" s="148"/>
      <c r="I236" s="148"/>
      <c r="J236" s="148"/>
      <c r="K236" s="451"/>
      <c r="L236" s="451"/>
      <c r="M236" s="650"/>
      <c r="N236" s="650"/>
      <c r="O236" s="650"/>
      <c r="P236" s="650"/>
      <c r="S236" s="451"/>
      <c r="T236" s="721"/>
    </row>
    <row r="237" spans="2:20" s="1" customFormat="1">
      <c r="B237" s="447"/>
      <c r="C237" s="447"/>
      <c r="F237" s="447"/>
      <c r="G237" s="2"/>
      <c r="H237" s="148"/>
      <c r="I237" s="148"/>
      <c r="J237" s="148"/>
      <c r="K237" s="451"/>
      <c r="L237" s="451"/>
      <c r="M237" s="650"/>
      <c r="N237" s="650"/>
      <c r="O237" s="650"/>
      <c r="P237" s="650"/>
      <c r="S237" s="451"/>
      <c r="T237" s="721"/>
    </row>
    <row r="238" spans="2:20" s="1" customFormat="1">
      <c r="B238" s="447"/>
      <c r="C238" s="447"/>
      <c r="F238" s="447"/>
      <c r="G238" s="2"/>
      <c r="H238" s="148"/>
      <c r="I238" s="148"/>
      <c r="J238" s="148"/>
      <c r="K238" s="451"/>
      <c r="L238" s="451"/>
      <c r="M238" s="650"/>
      <c r="N238" s="650"/>
      <c r="O238" s="650"/>
      <c r="P238" s="650"/>
      <c r="S238" s="451"/>
      <c r="T238" s="721"/>
    </row>
    <row r="239" spans="2:20" s="1" customFormat="1">
      <c r="B239" s="447"/>
      <c r="C239" s="447"/>
      <c r="F239" s="447"/>
      <c r="G239" s="2"/>
      <c r="H239" s="148"/>
      <c r="I239" s="148"/>
      <c r="J239" s="148"/>
      <c r="K239" s="451"/>
      <c r="L239" s="451"/>
      <c r="M239" s="650"/>
      <c r="N239" s="650"/>
      <c r="O239" s="650"/>
      <c r="P239" s="650"/>
      <c r="S239" s="451"/>
      <c r="T239" s="721"/>
    </row>
    <row r="240" spans="2:20" s="1" customFormat="1">
      <c r="B240" s="447"/>
      <c r="C240" s="447"/>
      <c r="F240" s="447"/>
      <c r="G240" s="2"/>
      <c r="H240" s="148"/>
      <c r="I240" s="148"/>
      <c r="J240" s="148"/>
      <c r="K240" s="451"/>
      <c r="L240" s="451"/>
      <c r="M240" s="650"/>
      <c r="N240" s="650"/>
      <c r="O240" s="650"/>
      <c r="P240" s="650"/>
      <c r="S240" s="451"/>
      <c r="T240" s="721"/>
    </row>
    <row r="241" spans="2:20" s="1" customFormat="1">
      <c r="B241" s="447"/>
      <c r="C241" s="447"/>
      <c r="F241" s="447"/>
      <c r="G241" s="2"/>
      <c r="H241" s="148"/>
      <c r="I241" s="148"/>
      <c r="J241" s="148"/>
      <c r="K241" s="451"/>
      <c r="L241" s="451"/>
      <c r="M241" s="650"/>
      <c r="N241" s="650"/>
      <c r="O241" s="650"/>
      <c r="P241" s="650"/>
      <c r="S241" s="451"/>
      <c r="T241" s="721"/>
    </row>
    <row r="242" spans="2:20" s="1" customFormat="1">
      <c r="B242" s="447"/>
      <c r="C242" s="447"/>
      <c r="F242" s="447"/>
      <c r="G242" s="2"/>
      <c r="H242" s="148"/>
      <c r="I242" s="148"/>
      <c r="J242" s="148"/>
      <c r="K242" s="451"/>
      <c r="L242" s="451"/>
      <c r="M242" s="650"/>
      <c r="N242" s="650"/>
      <c r="O242" s="650"/>
      <c r="P242" s="650"/>
      <c r="S242" s="451"/>
      <c r="T242" s="721"/>
    </row>
  </sheetData>
  <mergeCells count="152">
    <mergeCell ref="J174:J177"/>
    <mergeCell ref="A175:H175"/>
    <mergeCell ref="A176:H176"/>
    <mergeCell ref="A177:H177"/>
    <mergeCell ref="B164:B173"/>
    <mergeCell ref="D170:G170"/>
    <mergeCell ref="D171:H171"/>
    <mergeCell ref="D172:H172"/>
    <mergeCell ref="D173:H173"/>
    <mergeCell ref="A174:H174"/>
    <mergeCell ref="D160:H160"/>
    <mergeCell ref="D161:H161"/>
    <mergeCell ref="B162:B163"/>
    <mergeCell ref="E162:E163"/>
    <mergeCell ref="F162:G162"/>
    <mergeCell ref="H162:J162"/>
    <mergeCell ref="A147:A148"/>
    <mergeCell ref="B147:B148"/>
    <mergeCell ref="E147:E148"/>
    <mergeCell ref="F147:G147"/>
    <mergeCell ref="H147:J147"/>
    <mergeCell ref="A149:A173"/>
    <mergeCell ref="B149:B161"/>
    <mergeCell ref="D158:G158"/>
    <mergeCell ref="J158:J161"/>
    <mergeCell ref="D159:H159"/>
    <mergeCell ref="F137:G137"/>
    <mergeCell ref="H137:J137"/>
    <mergeCell ref="B139:B146"/>
    <mergeCell ref="D143:G143"/>
    <mergeCell ref="J143:J146"/>
    <mergeCell ref="D144:H144"/>
    <mergeCell ref="D145:H145"/>
    <mergeCell ref="D146:H146"/>
    <mergeCell ref="A127:A146"/>
    <mergeCell ref="B127:B136"/>
    <mergeCell ref="D133:G133"/>
    <mergeCell ref="J133:J136"/>
    <mergeCell ref="D134:H134"/>
    <mergeCell ref="D135:H135"/>
    <mergeCell ref="D136:H136"/>
    <mergeCell ref="B137:B138"/>
    <mergeCell ref="D137:D138"/>
    <mergeCell ref="E137:E138"/>
    <mergeCell ref="A125:A126"/>
    <mergeCell ref="B125:B126"/>
    <mergeCell ref="D125:D126"/>
    <mergeCell ref="E125:E126"/>
    <mergeCell ref="F125:G125"/>
    <mergeCell ref="H125:J125"/>
    <mergeCell ref="A105:A124"/>
    <mergeCell ref="B105:B124"/>
    <mergeCell ref="D121:G121"/>
    <mergeCell ref="J121:J124"/>
    <mergeCell ref="D122:H122"/>
    <mergeCell ref="D123:H123"/>
    <mergeCell ref="D124:H124"/>
    <mergeCell ref="A103:A104"/>
    <mergeCell ref="B103:B104"/>
    <mergeCell ref="D103:D104"/>
    <mergeCell ref="E103:E104"/>
    <mergeCell ref="F103:G103"/>
    <mergeCell ref="H103:J103"/>
    <mergeCell ref="F93:G93"/>
    <mergeCell ref="H93:J93"/>
    <mergeCell ref="B95:B102"/>
    <mergeCell ref="D99:G99"/>
    <mergeCell ref="J99:J102"/>
    <mergeCell ref="D100:H100"/>
    <mergeCell ref="D101:H101"/>
    <mergeCell ref="D102:H102"/>
    <mergeCell ref="A82:A102"/>
    <mergeCell ref="B82:B92"/>
    <mergeCell ref="D89:G89"/>
    <mergeCell ref="J89:J92"/>
    <mergeCell ref="D90:H90"/>
    <mergeCell ref="D91:H91"/>
    <mergeCell ref="D92:H92"/>
    <mergeCell ref="B93:B94"/>
    <mergeCell ref="D93:D94"/>
    <mergeCell ref="E93:E94"/>
    <mergeCell ref="A80:A81"/>
    <mergeCell ref="B80:B81"/>
    <mergeCell ref="D80:D81"/>
    <mergeCell ref="E80:E81"/>
    <mergeCell ref="F80:G80"/>
    <mergeCell ref="H80:J80"/>
    <mergeCell ref="F66:G66"/>
    <mergeCell ref="H66:J66"/>
    <mergeCell ref="B68:B79"/>
    <mergeCell ref="D76:G76"/>
    <mergeCell ref="J76:J79"/>
    <mergeCell ref="D77:H77"/>
    <mergeCell ref="D78:H78"/>
    <mergeCell ref="D79:H79"/>
    <mergeCell ref="A51:A79"/>
    <mergeCell ref="B51:B65"/>
    <mergeCell ref="D62:G62"/>
    <mergeCell ref="J62:J65"/>
    <mergeCell ref="D63:H63"/>
    <mergeCell ref="D64:H64"/>
    <mergeCell ref="D65:H65"/>
    <mergeCell ref="B66:B67"/>
    <mergeCell ref="D66:D67"/>
    <mergeCell ref="E66:E67"/>
    <mergeCell ref="A49:A50"/>
    <mergeCell ref="B49:B50"/>
    <mergeCell ref="D49:D50"/>
    <mergeCell ref="E49:E50"/>
    <mergeCell ref="F49:G49"/>
    <mergeCell ref="H49:J49"/>
    <mergeCell ref="B41:B42"/>
    <mergeCell ref="D41:D42"/>
    <mergeCell ref="E41:E42"/>
    <mergeCell ref="F41:G41"/>
    <mergeCell ref="H41:J41"/>
    <mergeCell ref="B43:B48"/>
    <mergeCell ref="D45:G45"/>
    <mergeCell ref="J45:J48"/>
    <mergeCell ref="D46:H46"/>
    <mergeCell ref="D47:H47"/>
    <mergeCell ref="F25:G25"/>
    <mergeCell ref="H25:J25"/>
    <mergeCell ref="B27:B40"/>
    <mergeCell ref="D37:G37"/>
    <mergeCell ref="J37:J40"/>
    <mergeCell ref="D38:H38"/>
    <mergeCell ref="D39:H39"/>
    <mergeCell ref="D40:H40"/>
    <mergeCell ref="A9:A48"/>
    <mergeCell ref="B9:B23"/>
    <mergeCell ref="D21:G21"/>
    <mergeCell ref="J21:J23"/>
    <mergeCell ref="D22:H22"/>
    <mergeCell ref="D23:H23"/>
    <mergeCell ref="D24:H24"/>
    <mergeCell ref="B25:B26"/>
    <mergeCell ref="D25:D26"/>
    <mergeCell ref="E25:E26"/>
    <mergeCell ref="D48:H48"/>
    <mergeCell ref="A7:A8"/>
    <mergeCell ref="B7:B8"/>
    <mergeCell ref="D7:D8"/>
    <mergeCell ref="E7:E8"/>
    <mergeCell ref="F7:G7"/>
    <mergeCell ref="H7:J7"/>
    <mergeCell ref="A1:I3"/>
    <mergeCell ref="B4:J4"/>
    <mergeCell ref="A5:B5"/>
    <mergeCell ref="D5:E5"/>
    <mergeCell ref="H5:J5"/>
    <mergeCell ref="B6:J6"/>
  </mergeCells>
  <pageMargins left="0.70866141732283472" right="0.70866141732283472" top="0.74803149606299213" bottom="0.74803149606299213" header="0.31496062992125984" footer="0.31496062992125984"/>
  <pageSetup scale="48" orientation="landscape" verticalDpi="597" r:id="rId1"/>
  <rowBreaks count="7" manualBreakCount="7">
    <brk id="24" max="17" man="1"/>
    <brk id="48" max="17" man="1"/>
    <brk id="79" max="17" man="1"/>
    <brk id="102" max="17" man="1"/>
    <brk id="124" max="17" man="1"/>
    <brk id="146" max="17" man="1"/>
    <brk id="177" max="17" man="1"/>
  </rowBreaks>
  <colBreaks count="1" manualBreakCount="1">
    <brk id="1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25" workbookViewId="0">
      <selection activeCell="E11" sqref="E11"/>
    </sheetView>
  </sheetViews>
  <sheetFormatPr baseColWidth="10" defaultRowHeight="12.75"/>
  <cols>
    <col min="1" max="1" width="9.140625" style="557" customWidth="1"/>
    <col min="2" max="2" width="49" style="557" customWidth="1"/>
    <col min="3" max="4" width="20.5703125" style="557" customWidth="1"/>
    <col min="5" max="5" width="11.7109375" style="557" bestFit="1" customWidth="1"/>
    <col min="6" max="256" width="11.42578125" style="557"/>
    <col min="257" max="257" width="9.140625" style="557" customWidth="1"/>
    <col min="258" max="258" width="49" style="557" customWidth="1"/>
    <col min="259" max="260" width="20.5703125" style="557" customWidth="1"/>
    <col min="261" max="512" width="11.42578125" style="557"/>
    <col min="513" max="513" width="9.140625" style="557" customWidth="1"/>
    <col min="514" max="514" width="49" style="557" customWidth="1"/>
    <col min="515" max="516" width="20.5703125" style="557" customWidth="1"/>
    <col min="517" max="768" width="11.42578125" style="557"/>
    <col min="769" max="769" width="9.140625" style="557" customWidth="1"/>
    <col min="770" max="770" width="49" style="557" customWidth="1"/>
    <col min="771" max="772" width="20.5703125" style="557" customWidth="1"/>
    <col min="773" max="1024" width="11.42578125" style="557"/>
    <col min="1025" max="1025" width="9.140625" style="557" customWidth="1"/>
    <col min="1026" max="1026" width="49" style="557" customWidth="1"/>
    <col min="1027" max="1028" width="20.5703125" style="557" customWidth="1"/>
    <col min="1029" max="1280" width="11.42578125" style="557"/>
    <col min="1281" max="1281" width="9.140625" style="557" customWidth="1"/>
    <col min="1282" max="1282" width="49" style="557" customWidth="1"/>
    <col min="1283" max="1284" width="20.5703125" style="557" customWidth="1"/>
    <col min="1285" max="1536" width="11.42578125" style="557"/>
    <col min="1537" max="1537" width="9.140625" style="557" customWidth="1"/>
    <col min="1538" max="1538" width="49" style="557" customWidth="1"/>
    <col min="1539" max="1540" width="20.5703125" style="557" customWidth="1"/>
    <col min="1541" max="1792" width="11.42578125" style="557"/>
    <col min="1793" max="1793" width="9.140625" style="557" customWidth="1"/>
    <col min="1794" max="1794" width="49" style="557" customWidth="1"/>
    <col min="1795" max="1796" width="20.5703125" style="557" customWidth="1"/>
    <col min="1797" max="2048" width="11.42578125" style="557"/>
    <col min="2049" max="2049" width="9.140625" style="557" customWidth="1"/>
    <col min="2050" max="2050" width="49" style="557" customWidth="1"/>
    <col min="2051" max="2052" width="20.5703125" style="557" customWidth="1"/>
    <col min="2053" max="2304" width="11.42578125" style="557"/>
    <col min="2305" max="2305" width="9.140625" style="557" customWidth="1"/>
    <col min="2306" max="2306" width="49" style="557" customWidth="1"/>
    <col min="2307" max="2308" width="20.5703125" style="557" customWidth="1"/>
    <col min="2309" max="2560" width="11.42578125" style="557"/>
    <col min="2561" max="2561" width="9.140625" style="557" customWidth="1"/>
    <col min="2562" max="2562" width="49" style="557" customWidth="1"/>
    <col min="2563" max="2564" width="20.5703125" style="557" customWidth="1"/>
    <col min="2565" max="2816" width="11.42578125" style="557"/>
    <col min="2817" max="2817" width="9.140625" style="557" customWidth="1"/>
    <col min="2818" max="2818" width="49" style="557" customWidth="1"/>
    <col min="2819" max="2820" width="20.5703125" style="557" customWidth="1"/>
    <col min="2821" max="3072" width="11.42578125" style="557"/>
    <col min="3073" max="3073" width="9.140625" style="557" customWidth="1"/>
    <col min="3074" max="3074" width="49" style="557" customWidth="1"/>
    <col min="3075" max="3076" width="20.5703125" style="557" customWidth="1"/>
    <col min="3077" max="3328" width="11.42578125" style="557"/>
    <col min="3329" max="3329" width="9.140625" style="557" customWidth="1"/>
    <col min="3330" max="3330" width="49" style="557" customWidth="1"/>
    <col min="3331" max="3332" width="20.5703125" style="557" customWidth="1"/>
    <col min="3333" max="3584" width="11.42578125" style="557"/>
    <col min="3585" max="3585" width="9.140625" style="557" customWidth="1"/>
    <col min="3586" max="3586" width="49" style="557" customWidth="1"/>
    <col min="3587" max="3588" width="20.5703125" style="557" customWidth="1"/>
    <col min="3589" max="3840" width="11.42578125" style="557"/>
    <col min="3841" max="3841" width="9.140625" style="557" customWidth="1"/>
    <col min="3842" max="3842" width="49" style="557" customWidth="1"/>
    <col min="3843" max="3844" width="20.5703125" style="557" customWidth="1"/>
    <col min="3845" max="4096" width="11.42578125" style="557"/>
    <col min="4097" max="4097" width="9.140625" style="557" customWidth="1"/>
    <col min="4098" max="4098" width="49" style="557" customWidth="1"/>
    <col min="4099" max="4100" width="20.5703125" style="557" customWidth="1"/>
    <col min="4101" max="4352" width="11.42578125" style="557"/>
    <col min="4353" max="4353" width="9.140625" style="557" customWidth="1"/>
    <col min="4354" max="4354" width="49" style="557" customWidth="1"/>
    <col min="4355" max="4356" width="20.5703125" style="557" customWidth="1"/>
    <col min="4357" max="4608" width="11.42578125" style="557"/>
    <col min="4609" max="4609" width="9.140625" style="557" customWidth="1"/>
    <col min="4610" max="4610" width="49" style="557" customWidth="1"/>
    <col min="4611" max="4612" width="20.5703125" style="557" customWidth="1"/>
    <col min="4613" max="4864" width="11.42578125" style="557"/>
    <col min="4865" max="4865" width="9.140625" style="557" customWidth="1"/>
    <col min="4866" max="4866" width="49" style="557" customWidth="1"/>
    <col min="4867" max="4868" width="20.5703125" style="557" customWidth="1"/>
    <col min="4869" max="5120" width="11.42578125" style="557"/>
    <col min="5121" max="5121" width="9.140625" style="557" customWidth="1"/>
    <col min="5122" max="5122" width="49" style="557" customWidth="1"/>
    <col min="5123" max="5124" width="20.5703125" style="557" customWidth="1"/>
    <col min="5125" max="5376" width="11.42578125" style="557"/>
    <col min="5377" max="5377" width="9.140625" style="557" customWidth="1"/>
    <col min="5378" max="5378" width="49" style="557" customWidth="1"/>
    <col min="5379" max="5380" width="20.5703125" style="557" customWidth="1"/>
    <col min="5381" max="5632" width="11.42578125" style="557"/>
    <col min="5633" max="5633" width="9.140625" style="557" customWidth="1"/>
    <col min="5634" max="5634" width="49" style="557" customWidth="1"/>
    <col min="5635" max="5636" width="20.5703125" style="557" customWidth="1"/>
    <col min="5637" max="5888" width="11.42578125" style="557"/>
    <col min="5889" max="5889" width="9.140625" style="557" customWidth="1"/>
    <col min="5890" max="5890" width="49" style="557" customWidth="1"/>
    <col min="5891" max="5892" width="20.5703125" style="557" customWidth="1"/>
    <col min="5893" max="6144" width="11.42578125" style="557"/>
    <col min="6145" max="6145" width="9.140625" style="557" customWidth="1"/>
    <col min="6146" max="6146" width="49" style="557" customWidth="1"/>
    <col min="6147" max="6148" width="20.5703125" style="557" customWidth="1"/>
    <col min="6149" max="6400" width="11.42578125" style="557"/>
    <col min="6401" max="6401" width="9.140625" style="557" customWidth="1"/>
    <col min="6402" max="6402" width="49" style="557" customWidth="1"/>
    <col min="6403" max="6404" width="20.5703125" style="557" customWidth="1"/>
    <col min="6405" max="6656" width="11.42578125" style="557"/>
    <col min="6657" max="6657" width="9.140625" style="557" customWidth="1"/>
    <col min="6658" max="6658" width="49" style="557" customWidth="1"/>
    <col min="6659" max="6660" width="20.5703125" style="557" customWidth="1"/>
    <col min="6661" max="6912" width="11.42578125" style="557"/>
    <col min="6913" max="6913" width="9.140625" style="557" customWidth="1"/>
    <col min="6914" max="6914" width="49" style="557" customWidth="1"/>
    <col min="6915" max="6916" width="20.5703125" style="557" customWidth="1"/>
    <col min="6917" max="7168" width="11.42578125" style="557"/>
    <col min="7169" max="7169" width="9.140625" style="557" customWidth="1"/>
    <col min="7170" max="7170" width="49" style="557" customWidth="1"/>
    <col min="7171" max="7172" width="20.5703125" style="557" customWidth="1"/>
    <col min="7173" max="7424" width="11.42578125" style="557"/>
    <col min="7425" max="7425" width="9.140625" style="557" customWidth="1"/>
    <col min="7426" max="7426" width="49" style="557" customWidth="1"/>
    <col min="7427" max="7428" width="20.5703125" style="557" customWidth="1"/>
    <col min="7429" max="7680" width="11.42578125" style="557"/>
    <col min="7681" max="7681" width="9.140625" style="557" customWidth="1"/>
    <col min="7682" max="7682" width="49" style="557" customWidth="1"/>
    <col min="7683" max="7684" width="20.5703125" style="557" customWidth="1"/>
    <col min="7685" max="7936" width="11.42578125" style="557"/>
    <col min="7937" max="7937" width="9.140625" style="557" customWidth="1"/>
    <col min="7938" max="7938" width="49" style="557" customWidth="1"/>
    <col min="7939" max="7940" width="20.5703125" style="557" customWidth="1"/>
    <col min="7941" max="8192" width="11.42578125" style="557"/>
    <col min="8193" max="8193" width="9.140625" style="557" customWidth="1"/>
    <col min="8194" max="8194" width="49" style="557" customWidth="1"/>
    <col min="8195" max="8196" width="20.5703125" style="557" customWidth="1"/>
    <col min="8197" max="8448" width="11.42578125" style="557"/>
    <col min="8449" max="8449" width="9.140625" style="557" customWidth="1"/>
    <col min="8450" max="8450" width="49" style="557" customWidth="1"/>
    <col min="8451" max="8452" width="20.5703125" style="557" customWidth="1"/>
    <col min="8453" max="8704" width="11.42578125" style="557"/>
    <col min="8705" max="8705" width="9.140625" style="557" customWidth="1"/>
    <col min="8706" max="8706" width="49" style="557" customWidth="1"/>
    <col min="8707" max="8708" width="20.5703125" style="557" customWidth="1"/>
    <col min="8709" max="8960" width="11.42578125" style="557"/>
    <col min="8961" max="8961" width="9.140625" style="557" customWidth="1"/>
    <col min="8962" max="8962" width="49" style="557" customWidth="1"/>
    <col min="8963" max="8964" width="20.5703125" style="557" customWidth="1"/>
    <col min="8965" max="9216" width="11.42578125" style="557"/>
    <col min="9217" max="9217" width="9.140625" style="557" customWidth="1"/>
    <col min="9218" max="9218" width="49" style="557" customWidth="1"/>
    <col min="9219" max="9220" width="20.5703125" style="557" customWidth="1"/>
    <col min="9221" max="9472" width="11.42578125" style="557"/>
    <col min="9473" max="9473" width="9.140625" style="557" customWidth="1"/>
    <col min="9474" max="9474" width="49" style="557" customWidth="1"/>
    <col min="9475" max="9476" width="20.5703125" style="557" customWidth="1"/>
    <col min="9477" max="9728" width="11.42578125" style="557"/>
    <col min="9729" max="9729" width="9.140625" style="557" customWidth="1"/>
    <col min="9730" max="9730" width="49" style="557" customWidth="1"/>
    <col min="9731" max="9732" width="20.5703125" style="557" customWidth="1"/>
    <col min="9733" max="9984" width="11.42578125" style="557"/>
    <col min="9985" max="9985" width="9.140625" style="557" customWidth="1"/>
    <col min="9986" max="9986" width="49" style="557" customWidth="1"/>
    <col min="9987" max="9988" width="20.5703125" style="557" customWidth="1"/>
    <col min="9989" max="10240" width="11.42578125" style="557"/>
    <col min="10241" max="10241" width="9.140625" style="557" customWidth="1"/>
    <col min="10242" max="10242" width="49" style="557" customWidth="1"/>
    <col min="10243" max="10244" width="20.5703125" style="557" customWidth="1"/>
    <col min="10245" max="10496" width="11.42578125" style="557"/>
    <col min="10497" max="10497" width="9.140625" style="557" customWidth="1"/>
    <col min="10498" max="10498" width="49" style="557" customWidth="1"/>
    <col min="10499" max="10500" width="20.5703125" style="557" customWidth="1"/>
    <col min="10501" max="10752" width="11.42578125" style="557"/>
    <col min="10753" max="10753" width="9.140625" style="557" customWidth="1"/>
    <col min="10754" max="10754" width="49" style="557" customWidth="1"/>
    <col min="10755" max="10756" width="20.5703125" style="557" customWidth="1"/>
    <col min="10757" max="11008" width="11.42578125" style="557"/>
    <col min="11009" max="11009" width="9.140625" style="557" customWidth="1"/>
    <col min="11010" max="11010" width="49" style="557" customWidth="1"/>
    <col min="11011" max="11012" width="20.5703125" style="557" customWidth="1"/>
    <col min="11013" max="11264" width="11.42578125" style="557"/>
    <col min="11265" max="11265" width="9.140625" style="557" customWidth="1"/>
    <col min="11266" max="11266" width="49" style="557" customWidth="1"/>
    <col min="11267" max="11268" width="20.5703125" style="557" customWidth="1"/>
    <col min="11269" max="11520" width="11.42578125" style="557"/>
    <col min="11521" max="11521" width="9.140625" style="557" customWidth="1"/>
    <col min="11522" max="11522" width="49" style="557" customWidth="1"/>
    <col min="11523" max="11524" width="20.5703125" style="557" customWidth="1"/>
    <col min="11525" max="11776" width="11.42578125" style="557"/>
    <col min="11777" max="11777" width="9.140625" style="557" customWidth="1"/>
    <col min="11778" max="11778" width="49" style="557" customWidth="1"/>
    <col min="11779" max="11780" width="20.5703125" style="557" customWidth="1"/>
    <col min="11781" max="12032" width="11.42578125" style="557"/>
    <col min="12033" max="12033" width="9.140625" style="557" customWidth="1"/>
    <col min="12034" max="12034" width="49" style="557" customWidth="1"/>
    <col min="12035" max="12036" width="20.5703125" style="557" customWidth="1"/>
    <col min="12037" max="12288" width="11.42578125" style="557"/>
    <col min="12289" max="12289" width="9.140625" style="557" customWidth="1"/>
    <col min="12290" max="12290" width="49" style="557" customWidth="1"/>
    <col min="12291" max="12292" width="20.5703125" style="557" customWidth="1"/>
    <col min="12293" max="12544" width="11.42578125" style="557"/>
    <col min="12545" max="12545" width="9.140625" style="557" customWidth="1"/>
    <col min="12546" max="12546" width="49" style="557" customWidth="1"/>
    <col min="12547" max="12548" width="20.5703125" style="557" customWidth="1"/>
    <col min="12549" max="12800" width="11.42578125" style="557"/>
    <col min="12801" max="12801" width="9.140625" style="557" customWidth="1"/>
    <col min="12802" max="12802" width="49" style="557" customWidth="1"/>
    <col min="12803" max="12804" width="20.5703125" style="557" customWidth="1"/>
    <col min="12805" max="13056" width="11.42578125" style="557"/>
    <col min="13057" max="13057" width="9.140625" style="557" customWidth="1"/>
    <col min="13058" max="13058" width="49" style="557" customWidth="1"/>
    <col min="13059" max="13060" width="20.5703125" style="557" customWidth="1"/>
    <col min="13061" max="13312" width="11.42578125" style="557"/>
    <col min="13313" max="13313" width="9.140625" style="557" customWidth="1"/>
    <col min="13314" max="13314" width="49" style="557" customWidth="1"/>
    <col min="13315" max="13316" width="20.5703125" style="557" customWidth="1"/>
    <col min="13317" max="13568" width="11.42578125" style="557"/>
    <col min="13569" max="13569" width="9.140625" style="557" customWidth="1"/>
    <col min="13570" max="13570" width="49" style="557" customWidth="1"/>
    <col min="13571" max="13572" width="20.5703125" style="557" customWidth="1"/>
    <col min="13573" max="13824" width="11.42578125" style="557"/>
    <col min="13825" max="13825" width="9.140625" style="557" customWidth="1"/>
    <col min="13826" max="13826" width="49" style="557" customWidth="1"/>
    <col min="13827" max="13828" width="20.5703125" style="557" customWidth="1"/>
    <col min="13829" max="14080" width="11.42578125" style="557"/>
    <col min="14081" max="14081" width="9.140625" style="557" customWidth="1"/>
    <col min="14082" max="14082" width="49" style="557" customWidth="1"/>
    <col min="14083" max="14084" width="20.5703125" style="557" customWidth="1"/>
    <col min="14085" max="14336" width="11.42578125" style="557"/>
    <col min="14337" max="14337" width="9.140625" style="557" customWidth="1"/>
    <col min="14338" max="14338" width="49" style="557" customWidth="1"/>
    <col min="14339" max="14340" width="20.5703125" style="557" customWidth="1"/>
    <col min="14341" max="14592" width="11.42578125" style="557"/>
    <col min="14593" max="14593" width="9.140625" style="557" customWidth="1"/>
    <col min="14594" max="14594" width="49" style="557" customWidth="1"/>
    <col min="14595" max="14596" width="20.5703125" style="557" customWidth="1"/>
    <col min="14597" max="14848" width="11.42578125" style="557"/>
    <col min="14849" max="14849" width="9.140625" style="557" customWidth="1"/>
    <col min="14850" max="14850" width="49" style="557" customWidth="1"/>
    <col min="14851" max="14852" width="20.5703125" style="557" customWidth="1"/>
    <col min="14853" max="15104" width="11.42578125" style="557"/>
    <col min="15105" max="15105" width="9.140625" style="557" customWidth="1"/>
    <col min="15106" max="15106" width="49" style="557" customWidth="1"/>
    <col min="15107" max="15108" width="20.5703125" style="557" customWidth="1"/>
    <col min="15109" max="15360" width="11.42578125" style="557"/>
    <col min="15361" max="15361" width="9.140625" style="557" customWidth="1"/>
    <col min="15362" max="15362" width="49" style="557" customWidth="1"/>
    <col min="15363" max="15364" width="20.5703125" style="557" customWidth="1"/>
    <col min="15365" max="15616" width="11.42578125" style="557"/>
    <col min="15617" max="15617" width="9.140625" style="557" customWidth="1"/>
    <col min="15618" max="15618" width="49" style="557" customWidth="1"/>
    <col min="15619" max="15620" width="20.5703125" style="557" customWidth="1"/>
    <col min="15621" max="15872" width="11.42578125" style="557"/>
    <col min="15873" max="15873" width="9.140625" style="557" customWidth="1"/>
    <col min="15874" max="15874" width="49" style="557" customWidth="1"/>
    <col min="15875" max="15876" width="20.5703125" style="557" customWidth="1"/>
    <col min="15877" max="16128" width="11.42578125" style="557"/>
    <col min="16129" max="16129" width="9.140625" style="557" customWidth="1"/>
    <col min="16130" max="16130" width="49" style="557" customWidth="1"/>
    <col min="16131" max="16132" width="20.5703125" style="557" customWidth="1"/>
    <col min="16133" max="16384" width="11.42578125" style="557"/>
  </cols>
  <sheetData>
    <row r="1" spans="1:8" s="557" customFormat="1" ht="130.5" customHeight="1">
      <c r="A1" s="556"/>
      <c r="B1" s="556"/>
      <c r="C1" s="556"/>
      <c r="D1" s="556"/>
    </row>
    <row r="2" spans="1:8" s="559" customFormat="1">
      <c r="A2" s="910" t="s">
        <v>551</v>
      </c>
      <c r="B2" s="910"/>
      <c r="C2" s="910"/>
      <c r="D2" s="910"/>
      <c r="E2" s="558"/>
      <c r="F2" s="558"/>
      <c r="G2" s="558"/>
    </row>
    <row r="3" spans="1:8" s="559" customFormat="1">
      <c r="A3" s="910" t="s">
        <v>197</v>
      </c>
      <c r="B3" s="910"/>
      <c r="C3" s="910"/>
      <c r="D3" s="910"/>
      <c r="E3" s="558"/>
      <c r="F3" s="558"/>
      <c r="G3" s="558"/>
    </row>
    <row r="4" spans="1:8" s="559" customFormat="1" ht="15.75" customHeight="1" thickBot="1">
      <c r="A4" s="911" t="s">
        <v>626</v>
      </c>
      <c r="B4" s="911"/>
      <c r="C4" s="560" t="s">
        <v>246</v>
      </c>
      <c r="D4" s="560"/>
      <c r="E4" s="561"/>
      <c r="F4" s="561"/>
      <c r="G4" s="561"/>
    </row>
    <row r="5" spans="1:8" s="562" customFormat="1" ht="21" customHeight="1">
      <c r="A5" s="976"/>
      <c r="B5" s="975" t="s">
        <v>198</v>
      </c>
      <c r="C5" s="975" t="s">
        <v>199</v>
      </c>
      <c r="D5" s="975" t="s">
        <v>200</v>
      </c>
    </row>
    <row r="6" spans="1:8" s="559" customFormat="1">
      <c r="A6" s="952">
        <v>3000</v>
      </c>
      <c r="B6" s="974" t="s">
        <v>201</v>
      </c>
      <c r="C6" s="951">
        <f>SUM(C7+C33)</f>
        <v>36346585351</v>
      </c>
      <c r="D6" s="951">
        <f>SUM(D7+D33)</f>
        <v>40303189648</v>
      </c>
      <c r="E6" s="563" t="s">
        <v>246</v>
      </c>
    </row>
    <row r="7" spans="1:8" s="559" customFormat="1">
      <c r="A7" s="961">
        <v>3100</v>
      </c>
      <c r="B7" s="960" t="s">
        <v>202</v>
      </c>
      <c r="C7" s="959">
        <f>SUM(C8+C12)</f>
        <v>23177741855</v>
      </c>
      <c r="D7" s="959">
        <f>SUM(D8+D12)</f>
        <v>25376716198</v>
      </c>
    </row>
    <row r="8" spans="1:8" s="559" customFormat="1">
      <c r="A8" s="973">
        <v>3110</v>
      </c>
      <c r="B8" s="972" t="s">
        <v>203</v>
      </c>
      <c r="C8" s="971">
        <f>SUM(C9:C11)</f>
        <v>9344765137</v>
      </c>
      <c r="D8" s="971">
        <f>SUM(D9:D11)</f>
        <v>9782827094</v>
      </c>
    </row>
    <row r="9" spans="1:8" s="564" customFormat="1" ht="11.25">
      <c r="A9" s="964"/>
      <c r="B9" s="966" t="s">
        <v>204</v>
      </c>
      <c r="C9" s="965"/>
      <c r="D9" s="965"/>
    </row>
    <row r="10" spans="1:8" s="564" customFormat="1" ht="11.25">
      <c r="A10" s="964"/>
      <c r="B10" s="966" t="s">
        <v>205</v>
      </c>
      <c r="C10" s="965">
        <v>9344765137</v>
      </c>
      <c r="D10" s="965">
        <v>9782827094</v>
      </c>
    </row>
    <row r="11" spans="1:8" s="564" customFormat="1" ht="11.25">
      <c r="A11" s="964"/>
      <c r="B11" s="966" t="s">
        <v>206</v>
      </c>
      <c r="C11" s="965"/>
      <c r="D11" s="965"/>
    </row>
    <row r="12" spans="1:8" s="559" customFormat="1">
      <c r="A12" s="973">
        <v>3120</v>
      </c>
      <c r="B12" s="972" t="s">
        <v>207</v>
      </c>
      <c r="C12" s="971">
        <f>SUM(C13+C17+C18+C19+C20+C25)</f>
        <v>13832976718</v>
      </c>
      <c r="D12" s="971">
        <f>SUM(D13+D17+D18+D19+D20+D25)</f>
        <v>15593889104</v>
      </c>
      <c r="H12" s="559" t="s">
        <v>246</v>
      </c>
    </row>
    <row r="13" spans="1:8" s="565" customFormat="1" ht="12">
      <c r="A13" s="964">
        <v>3121</v>
      </c>
      <c r="B13" s="970" t="s">
        <v>208</v>
      </c>
      <c r="C13" s="969">
        <f>SUM(C14:C16)</f>
        <v>993131154</v>
      </c>
      <c r="D13" s="969">
        <f>SUM(D14:D16)</f>
        <v>974930640</v>
      </c>
    </row>
    <row r="14" spans="1:8" s="564" customFormat="1" ht="11.25">
      <c r="A14" s="964"/>
      <c r="B14" s="966" t="s">
        <v>208</v>
      </c>
      <c r="C14" s="965">
        <v>0</v>
      </c>
      <c r="D14" s="965">
        <v>0</v>
      </c>
    </row>
    <row r="15" spans="1:8" s="564" customFormat="1" ht="11.25">
      <c r="A15" s="964"/>
      <c r="B15" s="966" t="s">
        <v>209</v>
      </c>
      <c r="C15" s="965">
        <v>993131154</v>
      </c>
      <c r="D15" s="965">
        <v>974930640</v>
      </c>
    </row>
    <row r="16" spans="1:8" s="564" customFormat="1" ht="11.25">
      <c r="A16" s="964"/>
      <c r="B16" s="966" t="s">
        <v>210</v>
      </c>
      <c r="C16" s="965">
        <v>0</v>
      </c>
      <c r="D16" s="965">
        <v>0</v>
      </c>
    </row>
    <row r="17" spans="1:4" s="565" customFormat="1" ht="12">
      <c r="A17" s="964">
        <v>3123</v>
      </c>
      <c r="B17" s="970" t="s">
        <v>211</v>
      </c>
      <c r="C17" s="969">
        <v>0</v>
      </c>
      <c r="D17" s="969">
        <v>0</v>
      </c>
    </row>
    <row r="18" spans="1:4" s="565" customFormat="1" ht="12">
      <c r="A18" s="964">
        <v>3124</v>
      </c>
      <c r="B18" s="970" t="s">
        <v>212</v>
      </c>
      <c r="C18" s="969">
        <v>0</v>
      </c>
      <c r="D18" s="969">
        <v>0</v>
      </c>
    </row>
    <row r="19" spans="1:4" s="565" customFormat="1" ht="12">
      <c r="A19" s="964">
        <v>3125</v>
      </c>
      <c r="B19" s="970" t="s">
        <v>213</v>
      </c>
      <c r="C19" s="969">
        <v>0</v>
      </c>
      <c r="D19" s="969">
        <v>0</v>
      </c>
    </row>
    <row r="20" spans="1:4" s="565" customFormat="1" ht="12">
      <c r="A20" s="964">
        <v>3126</v>
      </c>
      <c r="B20" s="970" t="s">
        <v>214</v>
      </c>
      <c r="C20" s="969">
        <f>SUM(C21:C24)</f>
        <v>9787052264</v>
      </c>
      <c r="D20" s="969">
        <f>+D21+D23</f>
        <v>10273358507</v>
      </c>
    </row>
    <row r="21" spans="1:4" s="564" customFormat="1" ht="11.25">
      <c r="A21" s="964"/>
      <c r="B21" s="966" t="s">
        <v>215</v>
      </c>
      <c r="C21" s="965">
        <v>9484273515</v>
      </c>
      <c r="D21" s="965">
        <v>9986202730</v>
      </c>
    </row>
    <row r="22" spans="1:4" s="564" customFormat="1" ht="11.25">
      <c r="A22" s="964"/>
      <c r="B22" s="966" t="s">
        <v>216</v>
      </c>
      <c r="C22" s="965"/>
      <c r="D22" s="965"/>
    </row>
    <row r="23" spans="1:4" s="564" customFormat="1" ht="11.25">
      <c r="A23" s="964"/>
      <c r="B23" s="966" t="s">
        <v>217</v>
      </c>
      <c r="C23" s="965">
        <v>302778749</v>
      </c>
      <c r="D23" s="965">
        <v>287155777</v>
      </c>
    </row>
    <row r="24" spans="1:4" s="564" customFormat="1" ht="11.25">
      <c r="A24" s="964"/>
      <c r="B24" s="966" t="s">
        <v>218</v>
      </c>
      <c r="C24" s="965">
        <v>0</v>
      </c>
      <c r="D24" s="965">
        <v>0</v>
      </c>
    </row>
    <row r="25" spans="1:4" s="565" customFormat="1" ht="12">
      <c r="A25" s="964">
        <v>3128</v>
      </c>
      <c r="B25" s="970" t="s">
        <v>219</v>
      </c>
      <c r="C25" s="969">
        <f>SUM(C26:C32)</f>
        <v>3052793300</v>
      </c>
      <c r="D25" s="969">
        <f>SUM(D26:D32)</f>
        <v>4345599957</v>
      </c>
    </row>
    <row r="26" spans="1:4" s="564" customFormat="1" ht="11.25">
      <c r="A26" s="964"/>
      <c r="B26" s="966" t="s">
        <v>220</v>
      </c>
      <c r="C26" s="965">
        <v>1030288704</v>
      </c>
      <c r="D26" s="965">
        <v>2886432921</v>
      </c>
    </row>
    <row r="27" spans="1:4" s="564" customFormat="1" ht="11.25">
      <c r="A27" s="964"/>
      <c r="B27" s="966" t="s">
        <v>221</v>
      </c>
      <c r="C27" s="965"/>
      <c r="D27" s="965"/>
    </row>
    <row r="28" spans="1:4" s="564" customFormat="1" ht="11.25">
      <c r="A28" s="964"/>
      <c r="B28" s="966" t="s">
        <v>222</v>
      </c>
      <c r="C28" s="965">
        <v>1530714673</v>
      </c>
      <c r="D28" s="965">
        <v>912415541</v>
      </c>
    </row>
    <row r="29" spans="1:4" s="564" customFormat="1" ht="11.25">
      <c r="A29" s="964"/>
      <c r="B29" s="966" t="s">
        <v>223</v>
      </c>
      <c r="C29" s="965">
        <v>283332800</v>
      </c>
      <c r="D29" s="965">
        <v>295193162</v>
      </c>
    </row>
    <row r="30" spans="1:4" s="564" customFormat="1" ht="11.25">
      <c r="A30" s="964"/>
      <c r="B30" s="966" t="s">
        <v>224</v>
      </c>
      <c r="C30" s="965"/>
      <c r="D30" s="965"/>
    </row>
    <row r="31" spans="1:4" s="564" customFormat="1" ht="11.25">
      <c r="A31" s="964"/>
      <c r="B31" s="966" t="s">
        <v>225</v>
      </c>
      <c r="C31" s="965">
        <f>+'[3]INGRESOS A '!$D$15</f>
        <v>151754308</v>
      </c>
      <c r="D31" s="965">
        <v>55489307</v>
      </c>
    </row>
    <row r="32" spans="1:4" s="564" customFormat="1" ht="11.25">
      <c r="A32" s="964"/>
      <c r="B32" s="966" t="s">
        <v>219</v>
      </c>
      <c r="C32" s="965">
        <v>56702815</v>
      </c>
      <c r="D32" s="965">
        <f>196011524+57502</f>
        <v>196069026</v>
      </c>
    </row>
    <row r="33" spans="1:4" s="559" customFormat="1">
      <c r="A33" s="961">
        <v>3200</v>
      </c>
      <c r="B33" s="960" t="s">
        <v>226</v>
      </c>
      <c r="C33" s="959">
        <f>SUM(C34+C37+C40+C41+C47+C48)</f>
        <v>13168843496</v>
      </c>
      <c r="D33" s="959">
        <f>SUM(D34+D37+D40+D41+D47+D48)</f>
        <v>14926473450</v>
      </c>
    </row>
    <row r="34" spans="1:4" s="565" customFormat="1" ht="12">
      <c r="A34" s="964">
        <v>3210</v>
      </c>
      <c r="B34" s="963" t="s">
        <v>227</v>
      </c>
      <c r="C34" s="962">
        <v>0</v>
      </c>
      <c r="D34" s="962">
        <v>0</v>
      </c>
    </row>
    <row r="35" spans="1:4" s="564" customFormat="1" ht="11.25">
      <c r="A35" s="967">
        <v>3211</v>
      </c>
      <c r="B35" s="966" t="s">
        <v>228</v>
      </c>
      <c r="C35" s="965">
        <v>0</v>
      </c>
      <c r="D35" s="965">
        <v>0</v>
      </c>
    </row>
    <row r="36" spans="1:4" s="564" customFormat="1" ht="11.25">
      <c r="A36" s="967">
        <v>3212</v>
      </c>
      <c r="B36" s="966" t="s">
        <v>229</v>
      </c>
      <c r="C36" s="965">
        <v>0</v>
      </c>
      <c r="D36" s="965">
        <v>0</v>
      </c>
    </row>
    <row r="37" spans="1:4" s="565" customFormat="1" ht="12">
      <c r="A37" s="964">
        <v>3220</v>
      </c>
      <c r="B37" s="963" t="s">
        <v>230</v>
      </c>
      <c r="C37" s="962">
        <v>0</v>
      </c>
      <c r="D37" s="962">
        <v>0</v>
      </c>
    </row>
    <row r="38" spans="1:4" s="564" customFormat="1" ht="11.25">
      <c r="A38" s="967">
        <v>3221</v>
      </c>
      <c r="B38" s="966" t="s">
        <v>228</v>
      </c>
      <c r="C38" s="965">
        <v>0</v>
      </c>
      <c r="D38" s="965">
        <v>0</v>
      </c>
    </row>
    <row r="39" spans="1:4" s="564" customFormat="1" ht="11.25">
      <c r="A39" s="967">
        <v>3222</v>
      </c>
      <c r="B39" s="966" t="s">
        <v>229</v>
      </c>
      <c r="C39" s="965">
        <v>0</v>
      </c>
      <c r="D39" s="965">
        <v>0</v>
      </c>
    </row>
    <row r="40" spans="1:4" s="565" customFormat="1" ht="12">
      <c r="A40" s="964">
        <v>3230</v>
      </c>
      <c r="B40" s="963" t="s">
        <v>231</v>
      </c>
      <c r="C40" s="968">
        <v>300000000</v>
      </c>
      <c r="D40" s="968">
        <v>1258585000</v>
      </c>
    </row>
    <row r="41" spans="1:4" s="565" customFormat="1" ht="12">
      <c r="A41" s="964">
        <v>3250</v>
      </c>
      <c r="B41" s="963" t="s">
        <v>232</v>
      </c>
      <c r="C41" s="968">
        <f>SUM(C42:C46)</f>
        <v>12868843496</v>
      </c>
      <c r="D41" s="968">
        <f>SUM(D42:D46)</f>
        <v>13667888450</v>
      </c>
    </row>
    <row r="42" spans="1:4" s="564" customFormat="1" ht="11.25">
      <c r="A42" s="967">
        <v>3251</v>
      </c>
      <c r="B42" s="966" t="s">
        <v>233</v>
      </c>
      <c r="C42" s="965">
        <v>0</v>
      </c>
      <c r="D42" s="965">
        <v>0</v>
      </c>
    </row>
    <row r="43" spans="1:4" s="564" customFormat="1" ht="11.25">
      <c r="A43" s="967">
        <v>3252</v>
      </c>
      <c r="B43" s="966" t="s">
        <v>234</v>
      </c>
      <c r="C43" s="965">
        <v>7252172875</v>
      </c>
      <c r="D43" s="965">
        <f>+C43</f>
        <v>7252172875</v>
      </c>
    </row>
    <row r="44" spans="1:4" s="564" customFormat="1" ht="11.25">
      <c r="A44" s="967">
        <v>3253</v>
      </c>
      <c r="B44" s="966" t="s">
        <v>235</v>
      </c>
      <c r="C44" s="965">
        <v>449880465</v>
      </c>
      <c r="D44" s="965">
        <f>+C44</f>
        <v>449880465</v>
      </c>
    </row>
    <row r="45" spans="1:4" s="564" customFormat="1" ht="11.25">
      <c r="A45" s="967">
        <v>3254</v>
      </c>
      <c r="B45" s="966" t="s">
        <v>236</v>
      </c>
      <c r="C45" s="965">
        <v>5166790156</v>
      </c>
      <c r="D45" s="965">
        <v>5965835110</v>
      </c>
    </row>
    <row r="46" spans="1:4" s="564" customFormat="1" ht="11.25">
      <c r="A46" s="967">
        <v>3255</v>
      </c>
      <c r="B46" s="966" t="s">
        <v>237</v>
      </c>
      <c r="C46" s="965">
        <v>0</v>
      </c>
      <c r="D46" s="965">
        <v>0</v>
      </c>
    </row>
    <row r="47" spans="1:4" s="565" customFormat="1" ht="12">
      <c r="A47" s="964">
        <v>3260</v>
      </c>
      <c r="B47" s="963" t="s">
        <v>238</v>
      </c>
      <c r="C47" s="962">
        <v>0</v>
      </c>
      <c r="D47" s="962">
        <v>0</v>
      </c>
    </row>
    <row r="48" spans="1:4" s="559" customFormat="1">
      <c r="A48" s="961">
        <v>3500</v>
      </c>
      <c r="B48" s="960" t="s">
        <v>239</v>
      </c>
      <c r="C48" s="959">
        <v>0</v>
      </c>
      <c r="D48" s="959">
        <v>0</v>
      </c>
    </row>
    <row r="49" spans="1:5" s="559" customFormat="1">
      <c r="A49" s="952">
        <v>4000</v>
      </c>
      <c r="B49" s="958" t="s">
        <v>240</v>
      </c>
      <c r="C49" s="951">
        <f>SUM(C50:C53)</f>
        <v>2185304000</v>
      </c>
      <c r="D49" s="951">
        <f>SUM(D50:D53)</f>
        <v>1918995327</v>
      </c>
    </row>
    <row r="50" spans="1:5" s="565" customFormat="1" ht="12">
      <c r="A50" s="955">
        <v>4100</v>
      </c>
      <c r="B50" s="954" t="s">
        <v>241</v>
      </c>
      <c r="C50" s="957">
        <v>2185304000</v>
      </c>
      <c r="D50" s="957">
        <v>1918995327</v>
      </c>
      <c r="E50" s="565" t="s">
        <v>246</v>
      </c>
    </row>
    <row r="51" spans="1:5" s="565" customFormat="1" ht="12">
      <c r="A51" s="955">
        <v>4200</v>
      </c>
      <c r="B51" s="954" t="s">
        <v>242</v>
      </c>
      <c r="C51" s="953">
        <v>0</v>
      </c>
      <c r="D51" s="953">
        <v>0</v>
      </c>
      <c r="E51" s="956" t="s">
        <v>246</v>
      </c>
    </row>
    <row r="52" spans="1:5" s="565" customFormat="1" ht="12">
      <c r="A52" s="955">
        <v>4300</v>
      </c>
      <c r="B52" s="954" t="s">
        <v>243</v>
      </c>
      <c r="C52" s="953">
        <v>0</v>
      </c>
      <c r="D52" s="953">
        <v>0</v>
      </c>
      <c r="E52" s="565" t="s">
        <v>552</v>
      </c>
    </row>
    <row r="53" spans="1:5" s="559" customFormat="1">
      <c r="A53" s="955">
        <v>41001</v>
      </c>
      <c r="B53" s="954" t="s">
        <v>244</v>
      </c>
      <c r="C53" s="953">
        <v>0</v>
      </c>
      <c r="D53" s="953">
        <v>0</v>
      </c>
    </row>
    <row r="54" spans="1:5" s="557" customFormat="1" ht="23.25" customHeight="1">
      <c r="A54" s="952"/>
      <c r="B54" s="952" t="s">
        <v>245</v>
      </c>
      <c r="C54" s="951">
        <f>SUM(C6+C49)</f>
        <v>38531889351</v>
      </c>
      <c r="D54" s="951">
        <f>SUM(D6+D49)</f>
        <v>42222184975</v>
      </c>
    </row>
    <row r="55" spans="1:5" s="557" customFormat="1" ht="7.5" customHeight="1"/>
    <row r="56" spans="1:5" s="557" customFormat="1">
      <c r="C56" s="566" t="s">
        <v>246</v>
      </c>
      <c r="D56" s="566" t="s">
        <v>246</v>
      </c>
    </row>
    <row r="57" spans="1:5" s="557" customFormat="1">
      <c r="C57" s="566" t="s">
        <v>246</v>
      </c>
      <c r="D57" s="566" t="s">
        <v>246</v>
      </c>
    </row>
    <row r="58" spans="1:5" s="557" customFormat="1">
      <c r="D58" s="566" t="s">
        <v>246</v>
      </c>
    </row>
    <row r="59" spans="1:5" s="557" customFormat="1">
      <c r="D59" s="566" t="s">
        <v>246</v>
      </c>
    </row>
    <row r="60" spans="1:5" s="557" customFormat="1">
      <c r="D60" s="557" t="s">
        <v>246</v>
      </c>
    </row>
    <row r="61" spans="1:5" s="557" customFormat="1">
      <c r="D61" s="557" t="s">
        <v>246</v>
      </c>
    </row>
    <row r="62" spans="1:5" s="557" customFormat="1">
      <c r="D62" s="557" t="s">
        <v>246</v>
      </c>
    </row>
  </sheetData>
  <mergeCells count="3">
    <mergeCell ref="A2:D2"/>
    <mergeCell ref="A3:D3"/>
    <mergeCell ref="A4:B4"/>
  </mergeCells>
  <pageMargins left="0.70866141732283472" right="0.70866141732283472" top="0.74803149606299213" bottom="0.74803149606299213" header="0.31496062992125984" footer="0.31496062992125984"/>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4"/>
  <sheetViews>
    <sheetView topLeftCell="A34" workbookViewId="0">
      <selection activeCell="G57" sqref="G57"/>
    </sheetView>
  </sheetViews>
  <sheetFormatPr baseColWidth="10" defaultRowHeight="12.75"/>
  <cols>
    <col min="1" max="1" width="46" style="567" customWidth="1"/>
    <col min="2" max="2" width="14.42578125" style="567" customWidth="1"/>
    <col min="3" max="4" width="14" style="567" customWidth="1"/>
    <col min="5" max="7" width="13.5703125" style="567" customWidth="1"/>
    <col min="8" max="8" width="14.28515625" style="567" customWidth="1"/>
    <col min="9" max="10" width="14" style="567" customWidth="1"/>
    <col min="11" max="11" width="13.7109375" style="567" bestFit="1" customWidth="1"/>
    <col min="12" max="12" width="16.42578125" style="567" customWidth="1"/>
    <col min="13" max="15" width="12.7109375" style="567" bestFit="1" customWidth="1"/>
    <col min="16" max="256" width="11.42578125" style="567"/>
    <col min="257" max="257" width="46" style="567" customWidth="1"/>
    <col min="258" max="258" width="14.42578125" style="567" customWidth="1"/>
    <col min="259" max="260" width="14" style="567" customWidth="1"/>
    <col min="261" max="263" width="13.5703125" style="567" customWidth="1"/>
    <col min="264" max="264" width="14.28515625" style="567" customWidth="1"/>
    <col min="265" max="266" width="14" style="567" customWidth="1"/>
    <col min="267" max="512" width="11.42578125" style="567"/>
    <col min="513" max="513" width="46" style="567" customWidth="1"/>
    <col min="514" max="514" width="14.42578125" style="567" customWidth="1"/>
    <col min="515" max="516" width="14" style="567" customWidth="1"/>
    <col min="517" max="519" width="13.5703125" style="567" customWidth="1"/>
    <col min="520" max="520" width="14.28515625" style="567" customWidth="1"/>
    <col min="521" max="522" width="14" style="567" customWidth="1"/>
    <col min="523" max="768" width="11.42578125" style="567"/>
    <col min="769" max="769" width="46" style="567" customWidth="1"/>
    <col min="770" max="770" width="14.42578125" style="567" customWidth="1"/>
    <col min="771" max="772" width="14" style="567" customWidth="1"/>
    <col min="773" max="775" width="13.5703125" style="567" customWidth="1"/>
    <col min="776" max="776" width="14.28515625" style="567" customWidth="1"/>
    <col min="777" max="778" width="14" style="567" customWidth="1"/>
    <col min="779" max="1024" width="11.42578125" style="567"/>
    <col min="1025" max="1025" width="46" style="567" customWidth="1"/>
    <col min="1026" max="1026" width="14.42578125" style="567" customWidth="1"/>
    <col min="1027" max="1028" width="14" style="567" customWidth="1"/>
    <col min="1029" max="1031" width="13.5703125" style="567" customWidth="1"/>
    <col min="1032" max="1032" width="14.28515625" style="567" customWidth="1"/>
    <col min="1033" max="1034" width="14" style="567" customWidth="1"/>
    <col min="1035" max="1280" width="11.42578125" style="567"/>
    <col min="1281" max="1281" width="46" style="567" customWidth="1"/>
    <col min="1282" max="1282" width="14.42578125" style="567" customWidth="1"/>
    <col min="1283" max="1284" width="14" style="567" customWidth="1"/>
    <col min="1285" max="1287" width="13.5703125" style="567" customWidth="1"/>
    <col min="1288" max="1288" width="14.28515625" style="567" customWidth="1"/>
    <col min="1289" max="1290" width="14" style="567" customWidth="1"/>
    <col min="1291" max="1536" width="11.42578125" style="567"/>
    <col min="1537" max="1537" width="46" style="567" customWidth="1"/>
    <col min="1538" max="1538" width="14.42578125" style="567" customWidth="1"/>
    <col min="1539" max="1540" width="14" style="567" customWidth="1"/>
    <col min="1541" max="1543" width="13.5703125" style="567" customWidth="1"/>
    <col min="1544" max="1544" width="14.28515625" style="567" customWidth="1"/>
    <col min="1545" max="1546" width="14" style="567" customWidth="1"/>
    <col min="1547" max="1792" width="11.42578125" style="567"/>
    <col min="1793" max="1793" width="46" style="567" customWidth="1"/>
    <col min="1794" max="1794" width="14.42578125" style="567" customWidth="1"/>
    <col min="1795" max="1796" width="14" style="567" customWidth="1"/>
    <col min="1797" max="1799" width="13.5703125" style="567" customWidth="1"/>
    <col min="1800" max="1800" width="14.28515625" style="567" customWidth="1"/>
    <col min="1801" max="1802" width="14" style="567" customWidth="1"/>
    <col min="1803" max="2048" width="11.42578125" style="567"/>
    <col min="2049" max="2049" width="46" style="567" customWidth="1"/>
    <col min="2050" max="2050" width="14.42578125" style="567" customWidth="1"/>
    <col min="2051" max="2052" width="14" style="567" customWidth="1"/>
    <col min="2053" max="2055" width="13.5703125" style="567" customWidth="1"/>
    <col min="2056" max="2056" width="14.28515625" style="567" customWidth="1"/>
    <col min="2057" max="2058" width="14" style="567" customWidth="1"/>
    <col min="2059" max="2304" width="11.42578125" style="567"/>
    <col min="2305" max="2305" width="46" style="567" customWidth="1"/>
    <col min="2306" max="2306" width="14.42578125" style="567" customWidth="1"/>
    <col min="2307" max="2308" width="14" style="567" customWidth="1"/>
    <col min="2309" max="2311" width="13.5703125" style="567" customWidth="1"/>
    <col min="2312" max="2312" width="14.28515625" style="567" customWidth="1"/>
    <col min="2313" max="2314" width="14" style="567" customWidth="1"/>
    <col min="2315" max="2560" width="11.42578125" style="567"/>
    <col min="2561" max="2561" width="46" style="567" customWidth="1"/>
    <col min="2562" max="2562" width="14.42578125" style="567" customWidth="1"/>
    <col min="2563" max="2564" width="14" style="567" customWidth="1"/>
    <col min="2565" max="2567" width="13.5703125" style="567" customWidth="1"/>
    <col min="2568" max="2568" width="14.28515625" style="567" customWidth="1"/>
    <col min="2569" max="2570" width="14" style="567" customWidth="1"/>
    <col min="2571" max="2816" width="11.42578125" style="567"/>
    <col min="2817" max="2817" width="46" style="567" customWidth="1"/>
    <col min="2818" max="2818" width="14.42578125" style="567" customWidth="1"/>
    <col min="2819" max="2820" width="14" style="567" customWidth="1"/>
    <col min="2821" max="2823" width="13.5703125" style="567" customWidth="1"/>
    <col min="2824" max="2824" width="14.28515625" style="567" customWidth="1"/>
    <col min="2825" max="2826" width="14" style="567" customWidth="1"/>
    <col min="2827" max="3072" width="11.42578125" style="567"/>
    <col min="3073" max="3073" width="46" style="567" customWidth="1"/>
    <col min="3074" max="3074" width="14.42578125" style="567" customWidth="1"/>
    <col min="3075" max="3076" width="14" style="567" customWidth="1"/>
    <col min="3077" max="3079" width="13.5703125" style="567" customWidth="1"/>
    <col min="3080" max="3080" width="14.28515625" style="567" customWidth="1"/>
    <col min="3081" max="3082" width="14" style="567" customWidth="1"/>
    <col min="3083" max="3328" width="11.42578125" style="567"/>
    <col min="3329" max="3329" width="46" style="567" customWidth="1"/>
    <col min="3330" max="3330" width="14.42578125" style="567" customWidth="1"/>
    <col min="3331" max="3332" width="14" style="567" customWidth="1"/>
    <col min="3333" max="3335" width="13.5703125" style="567" customWidth="1"/>
    <col min="3336" max="3336" width="14.28515625" style="567" customWidth="1"/>
    <col min="3337" max="3338" width="14" style="567" customWidth="1"/>
    <col min="3339" max="3584" width="11.42578125" style="567"/>
    <col min="3585" max="3585" width="46" style="567" customWidth="1"/>
    <col min="3586" max="3586" width="14.42578125" style="567" customWidth="1"/>
    <col min="3587" max="3588" width="14" style="567" customWidth="1"/>
    <col min="3589" max="3591" width="13.5703125" style="567" customWidth="1"/>
    <col min="3592" max="3592" width="14.28515625" style="567" customWidth="1"/>
    <col min="3593" max="3594" width="14" style="567" customWidth="1"/>
    <col min="3595" max="3840" width="11.42578125" style="567"/>
    <col min="3841" max="3841" width="46" style="567" customWidth="1"/>
    <col min="3842" max="3842" width="14.42578125" style="567" customWidth="1"/>
    <col min="3843" max="3844" width="14" style="567" customWidth="1"/>
    <col min="3845" max="3847" width="13.5703125" style="567" customWidth="1"/>
    <col min="3848" max="3848" width="14.28515625" style="567" customWidth="1"/>
    <col min="3849" max="3850" width="14" style="567" customWidth="1"/>
    <col min="3851" max="4096" width="11.42578125" style="567"/>
    <col min="4097" max="4097" width="46" style="567" customWidth="1"/>
    <col min="4098" max="4098" width="14.42578125" style="567" customWidth="1"/>
    <col min="4099" max="4100" width="14" style="567" customWidth="1"/>
    <col min="4101" max="4103" width="13.5703125" style="567" customWidth="1"/>
    <col min="4104" max="4104" width="14.28515625" style="567" customWidth="1"/>
    <col min="4105" max="4106" width="14" style="567" customWidth="1"/>
    <col min="4107" max="4352" width="11.42578125" style="567"/>
    <col min="4353" max="4353" width="46" style="567" customWidth="1"/>
    <col min="4354" max="4354" width="14.42578125" style="567" customWidth="1"/>
    <col min="4355" max="4356" width="14" style="567" customWidth="1"/>
    <col min="4357" max="4359" width="13.5703125" style="567" customWidth="1"/>
    <col min="4360" max="4360" width="14.28515625" style="567" customWidth="1"/>
    <col min="4361" max="4362" width="14" style="567" customWidth="1"/>
    <col min="4363" max="4608" width="11.42578125" style="567"/>
    <col min="4609" max="4609" width="46" style="567" customWidth="1"/>
    <col min="4610" max="4610" width="14.42578125" style="567" customWidth="1"/>
    <col min="4611" max="4612" width="14" style="567" customWidth="1"/>
    <col min="4613" max="4615" width="13.5703125" style="567" customWidth="1"/>
    <col min="4616" max="4616" width="14.28515625" style="567" customWidth="1"/>
    <col min="4617" max="4618" width="14" style="567" customWidth="1"/>
    <col min="4619" max="4864" width="11.42578125" style="567"/>
    <col min="4865" max="4865" width="46" style="567" customWidth="1"/>
    <col min="4866" max="4866" width="14.42578125" style="567" customWidth="1"/>
    <col min="4867" max="4868" width="14" style="567" customWidth="1"/>
    <col min="4869" max="4871" width="13.5703125" style="567" customWidth="1"/>
    <col min="4872" max="4872" width="14.28515625" style="567" customWidth="1"/>
    <col min="4873" max="4874" width="14" style="567" customWidth="1"/>
    <col min="4875" max="5120" width="11.42578125" style="567"/>
    <col min="5121" max="5121" width="46" style="567" customWidth="1"/>
    <col min="5122" max="5122" width="14.42578125" style="567" customWidth="1"/>
    <col min="5123" max="5124" width="14" style="567" customWidth="1"/>
    <col min="5125" max="5127" width="13.5703125" style="567" customWidth="1"/>
    <col min="5128" max="5128" width="14.28515625" style="567" customWidth="1"/>
    <col min="5129" max="5130" width="14" style="567" customWidth="1"/>
    <col min="5131" max="5376" width="11.42578125" style="567"/>
    <col min="5377" max="5377" width="46" style="567" customWidth="1"/>
    <col min="5378" max="5378" width="14.42578125" style="567" customWidth="1"/>
    <col min="5379" max="5380" width="14" style="567" customWidth="1"/>
    <col min="5381" max="5383" width="13.5703125" style="567" customWidth="1"/>
    <col min="5384" max="5384" width="14.28515625" style="567" customWidth="1"/>
    <col min="5385" max="5386" width="14" style="567" customWidth="1"/>
    <col min="5387" max="5632" width="11.42578125" style="567"/>
    <col min="5633" max="5633" width="46" style="567" customWidth="1"/>
    <col min="5634" max="5634" width="14.42578125" style="567" customWidth="1"/>
    <col min="5635" max="5636" width="14" style="567" customWidth="1"/>
    <col min="5637" max="5639" width="13.5703125" style="567" customWidth="1"/>
    <col min="5640" max="5640" width="14.28515625" style="567" customWidth="1"/>
    <col min="5641" max="5642" width="14" style="567" customWidth="1"/>
    <col min="5643" max="5888" width="11.42578125" style="567"/>
    <col min="5889" max="5889" width="46" style="567" customWidth="1"/>
    <col min="5890" max="5890" width="14.42578125" style="567" customWidth="1"/>
    <col min="5891" max="5892" width="14" style="567" customWidth="1"/>
    <col min="5893" max="5895" width="13.5703125" style="567" customWidth="1"/>
    <col min="5896" max="5896" width="14.28515625" style="567" customWidth="1"/>
    <col min="5897" max="5898" width="14" style="567" customWidth="1"/>
    <col min="5899" max="6144" width="11.42578125" style="567"/>
    <col min="6145" max="6145" width="46" style="567" customWidth="1"/>
    <col min="6146" max="6146" width="14.42578125" style="567" customWidth="1"/>
    <col min="6147" max="6148" width="14" style="567" customWidth="1"/>
    <col min="6149" max="6151" width="13.5703125" style="567" customWidth="1"/>
    <col min="6152" max="6152" width="14.28515625" style="567" customWidth="1"/>
    <col min="6153" max="6154" width="14" style="567" customWidth="1"/>
    <col min="6155" max="6400" width="11.42578125" style="567"/>
    <col min="6401" max="6401" width="46" style="567" customWidth="1"/>
    <col min="6402" max="6402" width="14.42578125" style="567" customWidth="1"/>
    <col min="6403" max="6404" width="14" style="567" customWidth="1"/>
    <col min="6405" max="6407" width="13.5703125" style="567" customWidth="1"/>
    <col min="6408" max="6408" width="14.28515625" style="567" customWidth="1"/>
    <col min="6409" max="6410" width="14" style="567" customWidth="1"/>
    <col min="6411" max="6656" width="11.42578125" style="567"/>
    <col min="6657" max="6657" width="46" style="567" customWidth="1"/>
    <col min="6658" max="6658" width="14.42578125" style="567" customWidth="1"/>
    <col min="6659" max="6660" width="14" style="567" customWidth="1"/>
    <col min="6661" max="6663" width="13.5703125" style="567" customWidth="1"/>
    <col min="6664" max="6664" width="14.28515625" style="567" customWidth="1"/>
    <col min="6665" max="6666" width="14" style="567" customWidth="1"/>
    <col min="6667" max="6912" width="11.42578125" style="567"/>
    <col min="6913" max="6913" width="46" style="567" customWidth="1"/>
    <col min="6914" max="6914" width="14.42578125" style="567" customWidth="1"/>
    <col min="6915" max="6916" width="14" style="567" customWidth="1"/>
    <col min="6917" max="6919" width="13.5703125" style="567" customWidth="1"/>
    <col min="6920" max="6920" width="14.28515625" style="567" customWidth="1"/>
    <col min="6921" max="6922" width="14" style="567" customWidth="1"/>
    <col min="6923" max="7168" width="11.42578125" style="567"/>
    <col min="7169" max="7169" width="46" style="567" customWidth="1"/>
    <col min="7170" max="7170" width="14.42578125" style="567" customWidth="1"/>
    <col min="7171" max="7172" width="14" style="567" customWidth="1"/>
    <col min="7173" max="7175" width="13.5703125" style="567" customWidth="1"/>
    <col min="7176" max="7176" width="14.28515625" style="567" customWidth="1"/>
    <col min="7177" max="7178" width="14" style="567" customWidth="1"/>
    <col min="7179" max="7424" width="11.42578125" style="567"/>
    <col min="7425" max="7425" width="46" style="567" customWidth="1"/>
    <col min="7426" max="7426" width="14.42578125" style="567" customWidth="1"/>
    <col min="7427" max="7428" width="14" style="567" customWidth="1"/>
    <col min="7429" max="7431" width="13.5703125" style="567" customWidth="1"/>
    <col min="7432" max="7432" width="14.28515625" style="567" customWidth="1"/>
    <col min="7433" max="7434" width="14" style="567" customWidth="1"/>
    <col min="7435" max="7680" width="11.42578125" style="567"/>
    <col min="7681" max="7681" width="46" style="567" customWidth="1"/>
    <col min="7682" max="7682" width="14.42578125" style="567" customWidth="1"/>
    <col min="7683" max="7684" width="14" style="567" customWidth="1"/>
    <col min="7685" max="7687" width="13.5703125" style="567" customWidth="1"/>
    <col min="7688" max="7688" width="14.28515625" style="567" customWidth="1"/>
    <col min="7689" max="7690" width="14" style="567" customWidth="1"/>
    <col min="7691" max="7936" width="11.42578125" style="567"/>
    <col min="7937" max="7937" width="46" style="567" customWidth="1"/>
    <col min="7938" max="7938" width="14.42578125" style="567" customWidth="1"/>
    <col min="7939" max="7940" width="14" style="567" customWidth="1"/>
    <col min="7941" max="7943" width="13.5703125" style="567" customWidth="1"/>
    <col min="7944" max="7944" width="14.28515625" style="567" customWidth="1"/>
    <col min="7945" max="7946" width="14" style="567" customWidth="1"/>
    <col min="7947" max="8192" width="11.42578125" style="567"/>
    <col min="8193" max="8193" width="46" style="567" customWidth="1"/>
    <col min="8194" max="8194" width="14.42578125" style="567" customWidth="1"/>
    <col min="8195" max="8196" width="14" style="567" customWidth="1"/>
    <col min="8197" max="8199" width="13.5703125" style="567" customWidth="1"/>
    <col min="8200" max="8200" width="14.28515625" style="567" customWidth="1"/>
    <col min="8201" max="8202" width="14" style="567" customWidth="1"/>
    <col min="8203" max="8448" width="11.42578125" style="567"/>
    <col min="8449" max="8449" width="46" style="567" customWidth="1"/>
    <col min="8450" max="8450" width="14.42578125" style="567" customWidth="1"/>
    <col min="8451" max="8452" width="14" style="567" customWidth="1"/>
    <col min="8453" max="8455" width="13.5703125" style="567" customWidth="1"/>
    <col min="8456" max="8456" width="14.28515625" style="567" customWidth="1"/>
    <col min="8457" max="8458" width="14" style="567" customWidth="1"/>
    <col min="8459" max="8704" width="11.42578125" style="567"/>
    <col min="8705" max="8705" width="46" style="567" customWidth="1"/>
    <col min="8706" max="8706" width="14.42578125" style="567" customWidth="1"/>
    <col min="8707" max="8708" width="14" style="567" customWidth="1"/>
    <col min="8709" max="8711" width="13.5703125" style="567" customWidth="1"/>
    <col min="8712" max="8712" width="14.28515625" style="567" customWidth="1"/>
    <col min="8713" max="8714" width="14" style="567" customWidth="1"/>
    <col min="8715" max="8960" width="11.42578125" style="567"/>
    <col min="8961" max="8961" width="46" style="567" customWidth="1"/>
    <col min="8962" max="8962" width="14.42578125" style="567" customWidth="1"/>
    <col min="8963" max="8964" width="14" style="567" customWidth="1"/>
    <col min="8965" max="8967" width="13.5703125" style="567" customWidth="1"/>
    <col min="8968" max="8968" width="14.28515625" style="567" customWidth="1"/>
    <col min="8969" max="8970" width="14" style="567" customWidth="1"/>
    <col min="8971" max="9216" width="11.42578125" style="567"/>
    <col min="9217" max="9217" width="46" style="567" customWidth="1"/>
    <col min="9218" max="9218" width="14.42578125" style="567" customWidth="1"/>
    <col min="9219" max="9220" width="14" style="567" customWidth="1"/>
    <col min="9221" max="9223" width="13.5703125" style="567" customWidth="1"/>
    <col min="9224" max="9224" width="14.28515625" style="567" customWidth="1"/>
    <col min="9225" max="9226" width="14" style="567" customWidth="1"/>
    <col min="9227" max="9472" width="11.42578125" style="567"/>
    <col min="9473" max="9473" width="46" style="567" customWidth="1"/>
    <col min="9474" max="9474" width="14.42578125" style="567" customWidth="1"/>
    <col min="9475" max="9476" width="14" style="567" customWidth="1"/>
    <col min="9477" max="9479" width="13.5703125" style="567" customWidth="1"/>
    <col min="9480" max="9480" width="14.28515625" style="567" customWidth="1"/>
    <col min="9481" max="9482" width="14" style="567" customWidth="1"/>
    <col min="9483" max="9728" width="11.42578125" style="567"/>
    <col min="9729" max="9729" width="46" style="567" customWidth="1"/>
    <col min="9730" max="9730" width="14.42578125" style="567" customWidth="1"/>
    <col min="9731" max="9732" width="14" style="567" customWidth="1"/>
    <col min="9733" max="9735" width="13.5703125" style="567" customWidth="1"/>
    <col min="9736" max="9736" width="14.28515625" style="567" customWidth="1"/>
    <col min="9737" max="9738" width="14" style="567" customWidth="1"/>
    <col min="9739" max="9984" width="11.42578125" style="567"/>
    <col min="9985" max="9985" width="46" style="567" customWidth="1"/>
    <col min="9986" max="9986" width="14.42578125" style="567" customWidth="1"/>
    <col min="9987" max="9988" width="14" style="567" customWidth="1"/>
    <col min="9989" max="9991" width="13.5703125" style="567" customWidth="1"/>
    <col min="9992" max="9992" width="14.28515625" style="567" customWidth="1"/>
    <col min="9993" max="9994" width="14" style="567" customWidth="1"/>
    <col min="9995" max="10240" width="11.42578125" style="567"/>
    <col min="10241" max="10241" width="46" style="567" customWidth="1"/>
    <col min="10242" max="10242" width="14.42578125" style="567" customWidth="1"/>
    <col min="10243" max="10244" width="14" style="567" customWidth="1"/>
    <col min="10245" max="10247" width="13.5703125" style="567" customWidth="1"/>
    <col min="10248" max="10248" width="14.28515625" style="567" customWidth="1"/>
    <col min="10249" max="10250" width="14" style="567" customWidth="1"/>
    <col min="10251" max="10496" width="11.42578125" style="567"/>
    <col min="10497" max="10497" width="46" style="567" customWidth="1"/>
    <col min="10498" max="10498" width="14.42578125" style="567" customWidth="1"/>
    <col min="10499" max="10500" width="14" style="567" customWidth="1"/>
    <col min="10501" max="10503" width="13.5703125" style="567" customWidth="1"/>
    <col min="10504" max="10504" width="14.28515625" style="567" customWidth="1"/>
    <col min="10505" max="10506" width="14" style="567" customWidth="1"/>
    <col min="10507" max="10752" width="11.42578125" style="567"/>
    <col min="10753" max="10753" width="46" style="567" customWidth="1"/>
    <col min="10754" max="10754" width="14.42578125" style="567" customWidth="1"/>
    <col min="10755" max="10756" width="14" style="567" customWidth="1"/>
    <col min="10757" max="10759" width="13.5703125" style="567" customWidth="1"/>
    <col min="10760" max="10760" width="14.28515625" style="567" customWidth="1"/>
    <col min="10761" max="10762" width="14" style="567" customWidth="1"/>
    <col min="10763" max="11008" width="11.42578125" style="567"/>
    <col min="11009" max="11009" width="46" style="567" customWidth="1"/>
    <col min="11010" max="11010" width="14.42578125" style="567" customWidth="1"/>
    <col min="11011" max="11012" width="14" style="567" customWidth="1"/>
    <col min="11013" max="11015" width="13.5703125" style="567" customWidth="1"/>
    <col min="11016" max="11016" width="14.28515625" style="567" customWidth="1"/>
    <col min="11017" max="11018" width="14" style="567" customWidth="1"/>
    <col min="11019" max="11264" width="11.42578125" style="567"/>
    <col min="11265" max="11265" width="46" style="567" customWidth="1"/>
    <col min="11266" max="11266" width="14.42578125" style="567" customWidth="1"/>
    <col min="11267" max="11268" width="14" style="567" customWidth="1"/>
    <col min="11269" max="11271" width="13.5703125" style="567" customWidth="1"/>
    <col min="11272" max="11272" width="14.28515625" style="567" customWidth="1"/>
    <col min="11273" max="11274" width="14" style="567" customWidth="1"/>
    <col min="11275" max="11520" width="11.42578125" style="567"/>
    <col min="11521" max="11521" width="46" style="567" customWidth="1"/>
    <col min="11522" max="11522" width="14.42578125" style="567" customWidth="1"/>
    <col min="11523" max="11524" width="14" style="567" customWidth="1"/>
    <col min="11525" max="11527" width="13.5703125" style="567" customWidth="1"/>
    <col min="11528" max="11528" width="14.28515625" style="567" customWidth="1"/>
    <col min="11529" max="11530" width="14" style="567" customWidth="1"/>
    <col min="11531" max="11776" width="11.42578125" style="567"/>
    <col min="11777" max="11777" width="46" style="567" customWidth="1"/>
    <col min="11778" max="11778" width="14.42578125" style="567" customWidth="1"/>
    <col min="11779" max="11780" width="14" style="567" customWidth="1"/>
    <col min="11781" max="11783" width="13.5703125" style="567" customWidth="1"/>
    <col min="11784" max="11784" width="14.28515625" style="567" customWidth="1"/>
    <col min="11785" max="11786" width="14" style="567" customWidth="1"/>
    <col min="11787" max="12032" width="11.42578125" style="567"/>
    <col min="12033" max="12033" width="46" style="567" customWidth="1"/>
    <col min="12034" max="12034" width="14.42578125" style="567" customWidth="1"/>
    <col min="12035" max="12036" width="14" style="567" customWidth="1"/>
    <col min="12037" max="12039" width="13.5703125" style="567" customWidth="1"/>
    <col min="12040" max="12040" width="14.28515625" style="567" customWidth="1"/>
    <col min="12041" max="12042" width="14" style="567" customWidth="1"/>
    <col min="12043" max="12288" width="11.42578125" style="567"/>
    <col min="12289" max="12289" width="46" style="567" customWidth="1"/>
    <col min="12290" max="12290" width="14.42578125" style="567" customWidth="1"/>
    <col min="12291" max="12292" width="14" style="567" customWidth="1"/>
    <col min="12293" max="12295" width="13.5703125" style="567" customWidth="1"/>
    <col min="12296" max="12296" width="14.28515625" style="567" customWidth="1"/>
    <col min="12297" max="12298" width="14" style="567" customWidth="1"/>
    <col min="12299" max="12544" width="11.42578125" style="567"/>
    <col min="12545" max="12545" width="46" style="567" customWidth="1"/>
    <col min="12546" max="12546" width="14.42578125" style="567" customWidth="1"/>
    <col min="12547" max="12548" width="14" style="567" customWidth="1"/>
    <col min="12549" max="12551" width="13.5703125" style="567" customWidth="1"/>
    <col min="12552" max="12552" width="14.28515625" style="567" customWidth="1"/>
    <col min="12553" max="12554" width="14" style="567" customWidth="1"/>
    <col min="12555" max="12800" width="11.42578125" style="567"/>
    <col min="12801" max="12801" width="46" style="567" customWidth="1"/>
    <col min="12802" max="12802" width="14.42578125" style="567" customWidth="1"/>
    <col min="12803" max="12804" width="14" style="567" customWidth="1"/>
    <col min="12805" max="12807" width="13.5703125" style="567" customWidth="1"/>
    <col min="12808" max="12808" width="14.28515625" style="567" customWidth="1"/>
    <col min="12809" max="12810" width="14" style="567" customWidth="1"/>
    <col min="12811" max="13056" width="11.42578125" style="567"/>
    <col min="13057" max="13057" width="46" style="567" customWidth="1"/>
    <col min="13058" max="13058" width="14.42578125" style="567" customWidth="1"/>
    <col min="13059" max="13060" width="14" style="567" customWidth="1"/>
    <col min="13061" max="13063" width="13.5703125" style="567" customWidth="1"/>
    <col min="13064" max="13064" width="14.28515625" style="567" customWidth="1"/>
    <col min="13065" max="13066" width="14" style="567" customWidth="1"/>
    <col min="13067" max="13312" width="11.42578125" style="567"/>
    <col min="13313" max="13313" width="46" style="567" customWidth="1"/>
    <col min="13314" max="13314" width="14.42578125" style="567" customWidth="1"/>
    <col min="13315" max="13316" width="14" style="567" customWidth="1"/>
    <col min="13317" max="13319" width="13.5703125" style="567" customWidth="1"/>
    <col min="13320" max="13320" width="14.28515625" style="567" customWidth="1"/>
    <col min="13321" max="13322" width="14" style="567" customWidth="1"/>
    <col min="13323" max="13568" width="11.42578125" style="567"/>
    <col min="13569" max="13569" width="46" style="567" customWidth="1"/>
    <col min="13570" max="13570" width="14.42578125" style="567" customWidth="1"/>
    <col min="13571" max="13572" width="14" style="567" customWidth="1"/>
    <col min="13573" max="13575" width="13.5703125" style="567" customWidth="1"/>
    <col min="13576" max="13576" width="14.28515625" style="567" customWidth="1"/>
    <col min="13577" max="13578" width="14" style="567" customWidth="1"/>
    <col min="13579" max="13824" width="11.42578125" style="567"/>
    <col min="13825" max="13825" width="46" style="567" customWidth="1"/>
    <col min="13826" max="13826" width="14.42578125" style="567" customWidth="1"/>
    <col min="13827" max="13828" width="14" style="567" customWidth="1"/>
    <col min="13829" max="13831" width="13.5703125" style="567" customWidth="1"/>
    <col min="13832" max="13832" width="14.28515625" style="567" customWidth="1"/>
    <col min="13833" max="13834" width="14" style="567" customWidth="1"/>
    <col min="13835" max="14080" width="11.42578125" style="567"/>
    <col min="14081" max="14081" width="46" style="567" customWidth="1"/>
    <col min="14082" max="14082" width="14.42578125" style="567" customWidth="1"/>
    <col min="14083" max="14084" width="14" style="567" customWidth="1"/>
    <col min="14085" max="14087" width="13.5703125" style="567" customWidth="1"/>
    <col min="14088" max="14088" width="14.28515625" style="567" customWidth="1"/>
    <col min="14089" max="14090" width="14" style="567" customWidth="1"/>
    <col min="14091" max="14336" width="11.42578125" style="567"/>
    <col min="14337" max="14337" width="46" style="567" customWidth="1"/>
    <col min="14338" max="14338" width="14.42578125" style="567" customWidth="1"/>
    <col min="14339" max="14340" width="14" style="567" customWidth="1"/>
    <col min="14341" max="14343" width="13.5703125" style="567" customWidth="1"/>
    <col min="14344" max="14344" width="14.28515625" style="567" customWidth="1"/>
    <col min="14345" max="14346" width="14" style="567" customWidth="1"/>
    <col min="14347" max="14592" width="11.42578125" style="567"/>
    <col min="14593" max="14593" width="46" style="567" customWidth="1"/>
    <col min="14594" max="14594" width="14.42578125" style="567" customWidth="1"/>
    <col min="14595" max="14596" width="14" style="567" customWidth="1"/>
    <col min="14597" max="14599" width="13.5703125" style="567" customWidth="1"/>
    <col min="14600" max="14600" width="14.28515625" style="567" customWidth="1"/>
    <col min="14601" max="14602" width="14" style="567" customWidth="1"/>
    <col min="14603" max="14848" width="11.42578125" style="567"/>
    <col min="14849" max="14849" width="46" style="567" customWidth="1"/>
    <col min="14850" max="14850" width="14.42578125" style="567" customWidth="1"/>
    <col min="14851" max="14852" width="14" style="567" customWidth="1"/>
    <col min="14853" max="14855" width="13.5703125" style="567" customWidth="1"/>
    <col min="14856" max="14856" width="14.28515625" style="567" customWidth="1"/>
    <col min="14857" max="14858" width="14" style="567" customWidth="1"/>
    <col min="14859" max="15104" width="11.42578125" style="567"/>
    <col min="15105" max="15105" width="46" style="567" customWidth="1"/>
    <col min="15106" max="15106" width="14.42578125" style="567" customWidth="1"/>
    <col min="15107" max="15108" width="14" style="567" customWidth="1"/>
    <col min="15109" max="15111" width="13.5703125" style="567" customWidth="1"/>
    <col min="15112" max="15112" width="14.28515625" style="567" customWidth="1"/>
    <col min="15113" max="15114" width="14" style="567" customWidth="1"/>
    <col min="15115" max="15360" width="11.42578125" style="567"/>
    <col min="15361" max="15361" width="46" style="567" customWidth="1"/>
    <col min="15362" max="15362" width="14.42578125" style="567" customWidth="1"/>
    <col min="15363" max="15364" width="14" style="567" customWidth="1"/>
    <col min="15365" max="15367" width="13.5703125" style="567" customWidth="1"/>
    <col min="15368" max="15368" width="14.28515625" style="567" customWidth="1"/>
    <col min="15369" max="15370" width="14" style="567" customWidth="1"/>
    <col min="15371" max="15616" width="11.42578125" style="567"/>
    <col min="15617" max="15617" width="46" style="567" customWidth="1"/>
    <col min="15618" max="15618" width="14.42578125" style="567" customWidth="1"/>
    <col min="15619" max="15620" width="14" style="567" customWidth="1"/>
    <col min="15621" max="15623" width="13.5703125" style="567" customWidth="1"/>
    <col min="15624" max="15624" width="14.28515625" style="567" customWidth="1"/>
    <col min="15625" max="15626" width="14" style="567" customWidth="1"/>
    <col min="15627" max="15872" width="11.42578125" style="567"/>
    <col min="15873" max="15873" width="46" style="567" customWidth="1"/>
    <col min="15874" max="15874" width="14.42578125" style="567" customWidth="1"/>
    <col min="15875" max="15876" width="14" style="567" customWidth="1"/>
    <col min="15877" max="15879" width="13.5703125" style="567" customWidth="1"/>
    <col min="15880" max="15880" width="14.28515625" style="567" customWidth="1"/>
    <col min="15881" max="15882" width="14" style="567" customWidth="1"/>
    <col min="15883" max="16128" width="11.42578125" style="567"/>
    <col min="16129" max="16129" width="46" style="567" customWidth="1"/>
    <col min="16130" max="16130" width="14.42578125" style="567" customWidth="1"/>
    <col min="16131" max="16132" width="14" style="567" customWidth="1"/>
    <col min="16133" max="16135" width="13.5703125" style="567" customWidth="1"/>
    <col min="16136" max="16136" width="14.28515625" style="567" customWidth="1"/>
    <col min="16137" max="16138" width="14" style="567" customWidth="1"/>
    <col min="16139" max="16384" width="11.42578125" style="567"/>
  </cols>
  <sheetData>
    <row r="1" spans="1:39" s="567" customFormat="1" ht="130.5" customHeight="1" thickBot="1">
      <c r="A1" s="912"/>
      <c r="B1" s="912"/>
      <c r="C1" s="912"/>
      <c r="D1" s="912"/>
      <c r="E1" s="912"/>
      <c r="F1" s="912"/>
      <c r="G1" s="912"/>
      <c r="H1" s="912"/>
      <c r="I1" s="912"/>
      <c r="J1" s="806"/>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row>
    <row r="2" spans="1:39" s="567" customFormat="1">
      <c r="A2" s="913" t="s">
        <v>575</v>
      </c>
      <c r="B2" s="914"/>
      <c r="C2" s="914"/>
      <c r="D2" s="914"/>
      <c r="E2" s="914"/>
      <c r="F2" s="914"/>
      <c r="G2" s="914"/>
      <c r="H2" s="914"/>
      <c r="I2" s="914"/>
      <c r="J2" s="915"/>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row>
    <row r="3" spans="1:39" s="567" customFormat="1">
      <c r="A3" s="916" t="str">
        <f>+'INGRESOS '!A3:D3</f>
        <v>CORPORACION AUTONOMA REGIONAL DEL ALTO MAGDALENA CAM</v>
      </c>
      <c r="B3" s="917"/>
      <c r="C3" s="917"/>
      <c r="D3" s="917"/>
      <c r="E3" s="917"/>
      <c r="F3" s="917"/>
      <c r="G3" s="917"/>
      <c r="H3" s="917"/>
      <c r="I3" s="917"/>
      <c r="J3" s="918"/>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row>
    <row r="4" spans="1:39" s="567" customFormat="1" ht="24.75" customHeight="1" thickBot="1">
      <c r="A4" s="1031" t="s">
        <v>627</v>
      </c>
      <c r="B4" s="1030"/>
      <c r="C4" s="1030"/>
      <c r="D4" s="1030"/>
      <c r="E4" s="1029"/>
      <c r="F4" s="1029"/>
      <c r="G4" s="1029"/>
      <c r="H4" s="1029"/>
      <c r="I4" s="1029"/>
      <c r="J4" s="1028"/>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row>
    <row r="5" spans="1:39" s="567" customFormat="1" ht="33" customHeight="1">
      <c r="A5" s="1024" t="s">
        <v>251</v>
      </c>
      <c r="B5" s="1027" t="s">
        <v>252</v>
      </c>
      <c r="C5" s="1026"/>
      <c r="D5" s="1025"/>
      <c r="E5" s="1027" t="s">
        <v>253</v>
      </c>
      <c r="F5" s="1026"/>
      <c r="G5" s="1025"/>
      <c r="H5" s="1027" t="s">
        <v>254</v>
      </c>
      <c r="I5" s="1026"/>
      <c r="J5" s="1025"/>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row>
    <row r="6" spans="1:39" s="567" customFormat="1" ht="21.75" customHeight="1" thickBot="1">
      <c r="A6" s="1024"/>
      <c r="B6" s="1023" t="s">
        <v>553</v>
      </c>
      <c r="C6" s="1022" t="s">
        <v>554</v>
      </c>
      <c r="D6" s="1021" t="s">
        <v>569</v>
      </c>
      <c r="E6" s="1023" t="s">
        <v>553</v>
      </c>
      <c r="F6" s="1022" t="s">
        <v>554</v>
      </c>
      <c r="G6" s="1021" t="s">
        <v>569</v>
      </c>
      <c r="H6" s="1023" t="s">
        <v>553</v>
      </c>
      <c r="I6" s="1022" t="s">
        <v>554</v>
      </c>
      <c r="J6" s="1021" t="s">
        <v>569</v>
      </c>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571"/>
      <c r="AK6" s="571"/>
      <c r="AL6" s="571"/>
      <c r="AM6" s="571"/>
    </row>
    <row r="7" spans="1:39" s="562" customFormat="1" ht="13.5" thickBot="1">
      <c r="A7" s="979" t="s">
        <v>257</v>
      </c>
      <c r="B7" s="978">
        <v>2829040097</v>
      </c>
      <c r="C7" s="995">
        <v>2661022532</v>
      </c>
      <c r="D7" s="996">
        <v>2543933251</v>
      </c>
      <c r="E7" s="978">
        <v>2150339000</v>
      </c>
      <c r="F7" s="995">
        <v>2150323549</v>
      </c>
      <c r="G7" s="995">
        <f>+F7</f>
        <v>2150323549</v>
      </c>
      <c r="H7" s="1003">
        <f>+B7+E7</f>
        <v>4979379097</v>
      </c>
      <c r="I7" s="1003">
        <f>+C7+F7</f>
        <v>4811346081</v>
      </c>
      <c r="J7" s="1003">
        <f>+D7+G7</f>
        <v>4694256800</v>
      </c>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row>
    <row r="8" spans="1:39" s="562" customFormat="1">
      <c r="A8" s="1016" t="s">
        <v>258</v>
      </c>
      <c r="B8" s="1015">
        <f>SUM(B9:B11)</f>
        <v>1453518365</v>
      </c>
      <c r="C8" s="1014">
        <f>SUM(C9:C11)</f>
        <v>1307251650</v>
      </c>
      <c r="D8" s="1013">
        <f>SUM(D9:D11)</f>
        <v>1212564580</v>
      </c>
      <c r="E8" s="1015">
        <f>SUM(E9:E11)</f>
        <v>24111000</v>
      </c>
      <c r="F8" s="1014">
        <f>SUM(F9:F11)</f>
        <v>24111000</v>
      </c>
      <c r="G8" s="1013">
        <f>SUM(G9:G11)</f>
        <v>24111000</v>
      </c>
      <c r="H8" s="1015">
        <f>SUM(H9:H11)</f>
        <v>1477629365</v>
      </c>
      <c r="I8" s="1014">
        <f>SUM(I9:I11)</f>
        <v>1331362650</v>
      </c>
      <c r="J8" s="1013">
        <f>SUM(J9:J11)</f>
        <v>1236675580</v>
      </c>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row>
    <row r="9" spans="1:39" s="567" customFormat="1">
      <c r="A9" s="1004" t="s">
        <v>259</v>
      </c>
      <c r="B9" s="1003">
        <v>204175683</v>
      </c>
      <c r="C9" s="1002">
        <v>193690690</v>
      </c>
      <c r="D9" s="1001">
        <v>183743132</v>
      </c>
      <c r="E9" s="1003">
        <v>0</v>
      </c>
      <c r="F9" s="1002">
        <v>0</v>
      </c>
      <c r="G9" s="1001"/>
      <c r="H9" s="1003">
        <f>+B9+E9</f>
        <v>204175683</v>
      </c>
      <c r="I9" s="1002">
        <f>+C9+F9</f>
        <v>193690690</v>
      </c>
      <c r="J9" s="1001">
        <f>+D9+G9</f>
        <v>183743132</v>
      </c>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row>
    <row r="10" spans="1:39" s="567" customFormat="1">
      <c r="A10" s="1004" t="s">
        <v>260</v>
      </c>
      <c r="B10" s="1003">
        <v>1201512682</v>
      </c>
      <c r="C10" s="1002">
        <v>1065736821</v>
      </c>
      <c r="D10" s="1001">
        <v>980997309</v>
      </c>
      <c r="E10" s="1003">
        <v>22601000</v>
      </c>
      <c r="F10" s="1002">
        <f>+E10</f>
        <v>22601000</v>
      </c>
      <c r="G10" s="1001">
        <f>+F10</f>
        <v>22601000</v>
      </c>
      <c r="H10" s="1003">
        <f>+B10+E10</f>
        <v>1224113682</v>
      </c>
      <c r="I10" s="1002">
        <f>+C10+F10</f>
        <v>1088337821</v>
      </c>
      <c r="J10" s="1001">
        <f>+D10+G10</f>
        <v>1003598309</v>
      </c>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row>
    <row r="11" spans="1:39" s="567" customFormat="1" ht="13.5" thickBot="1">
      <c r="A11" s="1020" t="s">
        <v>261</v>
      </c>
      <c r="B11" s="1018">
        <v>47830000</v>
      </c>
      <c r="C11" s="1017">
        <f>49334119-1509980</f>
        <v>47824139</v>
      </c>
      <c r="D11" s="1019">
        <f>+C11</f>
        <v>47824139</v>
      </c>
      <c r="E11" s="1018">
        <v>1510000</v>
      </c>
      <c r="F11" s="1017">
        <f>+E11</f>
        <v>1510000</v>
      </c>
      <c r="G11" s="1019">
        <f>+F11</f>
        <v>1510000</v>
      </c>
      <c r="H11" s="1018">
        <f>+B11+E11</f>
        <v>49340000</v>
      </c>
      <c r="I11" s="1017">
        <f>+C11+F11</f>
        <v>49334139</v>
      </c>
      <c r="J11" s="1001">
        <f>+D11+G11</f>
        <v>49334139</v>
      </c>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1"/>
      <c r="AL11" s="571"/>
      <c r="AM11" s="571"/>
    </row>
    <row r="12" spans="1:39" s="562" customFormat="1">
      <c r="A12" s="1016" t="s">
        <v>262</v>
      </c>
      <c r="B12" s="1015">
        <f>+B13+B17+B20</f>
        <v>3849220448</v>
      </c>
      <c r="C12" s="1015">
        <f>+C13+C17+C20</f>
        <v>3358609222</v>
      </c>
      <c r="D12" s="1015">
        <f>+D13+D17+D20</f>
        <v>3358609222</v>
      </c>
      <c r="E12" s="1015">
        <f>+E13+E17</f>
        <v>10854000</v>
      </c>
      <c r="F12" s="1014">
        <f>+F13+F17</f>
        <v>10854000</v>
      </c>
      <c r="G12" s="1013">
        <f>+G13+G17</f>
        <v>10854000</v>
      </c>
      <c r="H12" s="1015">
        <f>+H13+H17</f>
        <v>3850074448</v>
      </c>
      <c r="I12" s="1014">
        <f>+I13+I17</f>
        <v>3364327863</v>
      </c>
      <c r="J12" s="1013">
        <f>+J13+J17</f>
        <v>3364327863</v>
      </c>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row>
    <row r="13" spans="1:39" s="568" customFormat="1" ht="12">
      <c r="A13" s="1008" t="s">
        <v>263</v>
      </c>
      <c r="B13" s="1007">
        <f>SUM(B14:B16)</f>
        <v>3839220448</v>
      </c>
      <c r="C13" s="1006">
        <f>SUM(C14:C16)</f>
        <v>3353473863</v>
      </c>
      <c r="D13" s="1005">
        <f>SUM(D14:D16)</f>
        <v>3353473863</v>
      </c>
      <c r="E13" s="1007">
        <f>SUM(E14:E16)</f>
        <v>10854000</v>
      </c>
      <c r="F13" s="1006">
        <f>SUM(F14:F16)</f>
        <v>10854000</v>
      </c>
      <c r="G13" s="1005">
        <f>SUM(G14:G16)</f>
        <v>10854000</v>
      </c>
      <c r="H13" s="1007">
        <f>SUM(H14:H16)</f>
        <v>3850074448</v>
      </c>
      <c r="I13" s="1006">
        <f>SUM(I14:I16)</f>
        <v>3364327863</v>
      </c>
      <c r="J13" s="1005">
        <f>SUM(J14:J16)</f>
        <v>3364327863</v>
      </c>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1"/>
      <c r="AM13" s="731"/>
    </row>
    <row r="14" spans="1:39" s="569" customFormat="1" ht="11.25">
      <c r="A14" s="1004" t="s">
        <v>264</v>
      </c>
      <c r="B14" s="1003">
        <v>48146000</v>
      </c>
      <c r="C14" s="1002">
        <v>47429091</v>
      </c>
      <c r="D14" s="1001">
        <f>+C14</f>
        <v>47429091</v>
      </c>
      <c r="E14" s="1003">
        <v>10854000</v>
      </c>
      <c r="F14" s="1002">
        <f>+E14</f>
        <v>10854000</v>
      </c>
      <c r="G14" s="1001">
        <f>+F14</f>
        <v>10854000</v>
      </c>
      <c r="H14" s="1003">
        <f>+B14+E14</f>
        <v>59000000</v>
      </c>
      <c r="I14" s="1002">
        <f>+C14+F14</f>
        <v>58283091</v>
      </c>
      <c r="J14" s="1001">
        <f>+D14+G14</f>
        <v>58283091</v>
      </c>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2"/>
      <c r="AH14" s="732"/>
      <c r="AI14" s="732"/>
      <c r="AJ14" s="732"/>
      <c r="AK14" s="732"/>
      <c r="AL14" s="732"/>
      <c r="AM14" s="732"/>
    </row>
    <row r="15" spans="1:39" s="569" customFormat="1" ht="11.25">
      <c r="A15" s="1004" t="s">
        <v>265</v>
      </c>
      <c r="B15" s="1003">
        <v>3274005970</v>
      </c>
      <c r="C15" s="1002">
        <f>+B15</f>
        <v>3274005970</v>
      </c>
      <c r="D15" s="1001">
        <f>+C15</f>
        <v>3274005970</v>
      </c>
      <c r="E15" s="1003"/>
      <c r="F15" s="1002"/>
      <c r="G15" s="1001"/>
      <c r="H15" s="1003">
        <f>+B15+E15</f>
        <v>3274005970</v>
      </c>
      <c r="I15" s="1002">
        <f>+C15+F15</f>
        <v>3274005970</v>
      </c>
      <c r="J15" s="1001">
        <f>+D15+G15</f>
        <v>3274005970</v>
      </c>
      <c r="K15" s="732"/>
      <c r="L15" s="732"/>
      <c r="M15" s="732"/>
      <c r="N15" s="732"/>
      <c r="O15" s="732"/>
      <c r="P15" s="732"/>
      <c r="Q15" s="732"/>
      <c r="R15" s="732"/>
      <c r="S15" s="732"/>
      <c r="T15" s="732"/>
      <c r="U15" s="732"/>
      <c r="V15" s="732"/>
      <c r="W15" s="732"/>
      <c r="X15" s="732"/>
      <c r="Y15" s="732"/>
      <c r="Z15" s="732"/>
      <c r="AA15" s="732"/>
      <c r="AB15" s="732"/>
      <c r="AC15" s="732"/>
      <c r="AD15" s="732"/>
      <c r="AE15" s="732"/>
      <c r="AF15" s="732"/>
      <c r="AG15" s="732"/>
      <c r="AH15" s="732"/>
      <c r="AI15" s="732"/>
      <c r="AJ15" s="732"/>
      <c r="AK15" s="732"/>
      <c r="AL15" s="732"/>
      <c r="AM15" s="732"/>
    </row>
    <row r="16" spans="1:39" s="569" customFormat="1" ht="11.25">
      <c r="A16" s="1004" t="s">
        <v>206</v>
      </c>
      <c r="B16" s="1003">
        <f>32038802+485029676</f>
        <v>517068478</v>
      </c>
      <c r="C16" s="1002">
        <v>32038802</v>
      </c>
      <c r="D16" s="1001">
        <f>+C16</f>
        <v>32038802</v>
      </c>
      <c r="E16" s="1003"/>
      <c r="F16" s="1002"/>
      <c r="G16" s="1001"/>
      <c r="H16" s="1003">
        <f>+B16+E16</f>
        <v>517068478</v>
      </c>
      <c r="I16" s="1002">
        <f>+C16+F16</f>
        <v>32038802</v>
      </c>
      <c r="J16" s="1001">
        <f>+D16+G16</f>
        <v>32038802</v>
      </c>
      <c r="K16" s="732"/>
      <c r="L16" s="732"/>
      <c r="M16" s="732"/>
      <c r="N16" s="732"/>
      <c r="O16" s="732"/>
      <c r="P16" s="732"/>
      <c r="Q16" s="732"/>
      <c r="R16" s="732"/>
      <c r="S16" s="732"/>
      <c r="T16" s="732"/>
      <c r="U16" s="732"/>
      <c r="V16" s="732"/>
      <c r="W16" s="732"/>
      <c r="X16" s="732"/>
      <c r="Y16" s="732"/>
      <c r="Z16" s="732"/>
      <c r="AA16" s="732"/>
      <c r="AB16" s="732"/>
      <c r="AC16" s="732"/>
      <c r="AD16" s="732"/>
      <c r="AE16" s="732"/>
      <c r="AF16" s="732"/>
      <c r="AG16" s="732"/>
      <c r="AH16" s="732"/>
      <c r="AI16" s="732"/>
      <c r="AJ16" s="732"/>
      <c r="AK16" s="732"/>
      <c r="AL16" s="732"/>
      <c r="AM16" s="732"/>
    </row>
    <row r="17" spans="1:39" s="568" customFormat="1" ht="12">
      <c r="A17" s="1008" t="s">
        <v>266</v>
      </c>
      <c r="B17" s="1007">
        <f>SUM(B18:B19)</f>
        <v>0</v>
      </c>
      <c r="C17" s="1006">
        <f>SUM(C18:C19)</f>
        <v>0</v>
      </c>
      <c r="D17" s="1005">
        <f>SUM(D18:D19)</f>
        <v>0</v>
      </c>
      <c r="E17" s="1007">
        <f>SUM(E18:E19)</f>
        <v>0</v>
      </c>
      <c r="F17" s="1006">
        <f>SUM(F18:F19)</f>
        <v>0</v>
      </c>
      <c r="G17" s="1005">
        <f>SUM(G18:G19)</f>
        <v>0</v>
      </c>
      <c r="H17" s="1007">
        <f>SUM(H18:H19)</f>
        <v>0</v>
      </c>
      <c r="I17" s="1006">
        <f>SUM(I18:I19)</f>
        <v>0</v>
      </c>
      <c r="J17" s="1005">
        <f>SUM(J18:J19)</f>
        <v>0</v>
      </c>
      <c r="K17" s="731"/>
      <c r="L17" s="731"/>
      <c r="M17" s="731"/>
      <c r="N17" s="731"/>
      <c r="O17" s="731"/>
      <c r="P17" s="731"/>
      <c r="Q17" s="731"/>
      <c r="R17" s="731"/>
      <c r="S17" s="731"/>
      <c r="T17" s="731"/>
      <c r="U17" s="731"/>
      <c r="V17" s="731"/>
      <c r="W17" s="731"/>
      <c r="X17" s="731"/>
      <c r="Y17" s="731"/>
      <c r="Z17" s="731"/>
      <c r="AA17" s="731"/>
      <c r="AB17" s="731"/>
      <c r="AC17" s="731"/>
      <c r="AD17" s="731"/>
      <c r="AE17" s="731"/>
      <c r="AF17" s="731"/>
      <c r="AG17" s="731"/>
      <c r="AH17" s="731"/>
      <c r="AI17" s="731"/>
      <c r="AJ17" s="731"/>
      <c r="AK17" s="731"/>
      <c r="AL17" s="731"/>
      <c r="AM17" s="731"/>
    </row>
    <row r="18" spans="1:39" s="569" customFormat="1" ht="11.25">
      <c r="A18" s="1004" t="s">
        <v>267</v>
      </c>
      <c r="B18" s="1003"/>
      <c r="C18" s="1002"/>
      <c r="D18" s="1001"/>
      <c r="E18" s="1003"/>
      <c r="F18" s="1002"/>
      <c r="G18" s="1001"/>
      <c r="H18" s="1003">
        <f>+B18+E18</f>
        <v>0</v>
      </c>
      <c r="I18" s="1002">
        <f>+C18+F18</f>
        <v>0</v>
      </c>
      <c r="J18" s="1001">
        <f>+D18+G18</f>
        <v>0</v>
      </c>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row>
    <row r="19" spans="1:39" s="569" customFormat="1" ht="11.25">
      <c r="A19" s="1004" t="s">
        <v>268</v>
      </c>
      <c r="B19" s="1003"/>
      <c r="C19" s="1002"/>
      <c r="D19" s="1001"/>
      <c r="E19" s="1003"/>
      <c r="F19" s="1002"/>
      <c r="G19" s="1001"/>
      <c r="H19" s="1003">
        <f>+B19+E19</f>
        <v>0</v>
      </c>
      <c r="I19" s="1002">
        <f>+C19+F19</f>
        <v>0</v>
      </c>
      <c r="J19" s="1001">
        <f>+D19+G19</f>
        <v>0</v>
      </c>
      <c r="K19" s="732"/>
      <c r="L19" s="732"/>
      <c r="M19" s="732"/>
      <c r="N19" s="732"/>
      <c r="O19" s="732"/>
      <c r="P19" s="732"/>
      <c r="Q19" s="732"/>
      <c r="R19" s="732"/>
      <c r="S19" s="732"/>
      <c r="T19" s="732"/>
      <c r="U19" s="732"/>
      <c r="V19" s="732"/>
      <c r="W19" s="732"/>
      <c r="X19" s="732"/>
      <c r="Y19" s="732"/>
      <c r="Z19" s="732"/>
      <c r="AA19" s="732"/>
      <c r="AB19" s="732"/>
      <c r="AC19" s="732"/>
      <c r="AD19" s="732"/>
      <c r="AE19" s="732"/>
      <c r="AF19" s="732"/>
      <c r="AG19" s="732"/>
      <c r="AH19" s="732"/>
      <c r="AI19" s="732"/>
      <c r="AJ19" s="732"/>
      <c r="AK19" s="732"/>
      <c r="AL19" s="732"/>
      <c r="AM19" s="732"/>
    </row>
    <row r="20" spans="1:39" s="562" customFormat="1">
      <c r="A20" s="1012" t="s">
        <v>269</v>
      </c>
      <c r="B20" s="1011">
        <f>+B21+B23</f>
        <v>10000000</v>
      </c>
      <c r="C20" s="1010">
        <f>+C21+C23</f>
        <v>5135359</v>
      </c>
      <c r="D20" s="1009">
        <f>+D21+D23</f>
        <v>5135359</v>
      </c>
      <c r="E20" s="1011">
        <f>+E21+E23</f>
        <v>0</v>
      </c>
      <c r="F20" s="1010">
        <f>+F21+F23</f>
        <v>0</v>
      </c>
      <c r="G20" s="1009">
        <f>+G21+G23</f>
        <v>0</v>
      </c>
      <c r="H20" s="1011">
        <f>+H21+H23</f>
        <v>10000000</v>
      </c>
      <c r="I20" s="1010">
        <f>+I21+I23</f>
        <v>5135359</v>
      </c>
      <c r="J20" s="1009">
        <f>+J21+J23</f>
        <v>5135359</v>
      </c>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row>
    <row r="21" spans="1:39" s="568" customFormat="1" ht="12">
      <c r="A21" s="1008" t="s">
        <v>270</v>
      </c>
      <c r="B21" s="1007">
        <f>SUM(B22)</f>
        <v>10000000</v>
      </c>
      <c r="C21" s="1006">
        <f>SUM(C22)</f>
        <v>5135359</v>
      </c>
      <c r="D21" s="1005">
        <f>SUM(D22)</f>
        <v>5135359</v>
      </c>
      <c r="E21" s="1007">
        <f>SUM(E22)</f>
        <v>0</v>
      </c>
      <c r="F21" s="1006">
        <f>SUM(F22)</f>
        <v>0</v>
      </c>
      <c r="G21" s="1005">
        <f>SUM(G22)</f>
        <v>0</v>
      </c>
      <c r="H21" s="1007">
        <f>SUM(H22)</f>
        <v>10000000</v>
      </c>
      <c r="I21" s="1006">
        <f>SUM(I22)</f>
        <v>5135359</v>
      </c>
      <c r="J21" s="1005">
        <f>SUM(J22)</f>
        <v>5135359</v>
      </c>
      <c r="K21" s="731"/>
      <c r="L21" s="758"/>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1"/>
      <c r="AM21" s="731"/>
    </row>
    <row r="22" spans="1:39" s="567" customFormat="1">
      <c r="A22" s="1004" t="s">
        <v>271</v>
      </c>
      <c r="B22" s="1003">
        <v>10000000</v>
      </c>
      <c r="C22" s="1002">
        <v>5135359</v>
      </c>
      <c r="D22" s="1001">
        <f>+C22</f>
        <v>5135359</v>
      </c>
      <c r="E22" s="1003"/>
      <c r="F22" s="1002"/>
      <c r="G22" s="1001"/>
      <c r="H22" s="1003">
        <f>+B22+E22</f>
        <v>10000000</v>
      </c>
      <c r="I22" s="1002">
        <f>+C22+F22</f>
        <v>5135359</v>
      </c>
      <c r="J22" s="1001">
        <f>+D22+G22</f>
        <v>5135359</v>
      </c>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row>
    <row r="23" spans="1:39" s="568" customFormat="1" thickBot="1">
      <c r="A23" s="1000" t="s">
        <v>272</v>
      </c>
      <c r="B23" s="999"/>
      <c r="C23" s="998"/>
      <c r="D23" s="997"/>
      <c r="E23" s="999"/>
      <c r="F23" s="998"/>
      <c r="G23" s="997"/>
      <c r="H23" s="999">
        <f>+B23+E23</f>
        <v>0</v>
      </c>
      <c r="I23" s="998">
        <f>+C23+F23</f>
        <v>0</v>
      </c>
      <c r="J23" s="997">
        <f>+D23+G23</f>
        <v>0</v>
      </c>
      <c r="K23" s="731"/>
      <c r="L23" s="731"/>
      <c r="M23" s="731"/>
      <c r="N23" s="731"/>
      <c r="O23" s="731"/>
      <c r="P23" s="731"/>
      <c r="Q23" s="731"/>
      <c r="R23" s="731"/>
      <c r="S23" s="731"/>
      <c r="T23" s="731"/>
      <c r="U23" s="731"/>
      <c r="V23" s="731"/>
      <c r="W23" s="731"/>
      <c r="X23" s="731"/>
      <c r="Y23" s="731"/>
      <c r="Z23" s="731"/>
      <c r="AA23" s="731"/>
      <c r="AB23" s="731"/>
      <c r="AC23" s="731"/>
      <c r="AD23" s="731"/>
      <c r="AE23" s="731"/>
      <c r="AF23" s="731"/>
      <c r="AG23" s="731"/>
      <c r="AH23" s="731"/>
      <c r="AI23" s="731"/>
      <c r="AJ23" s="731"/>
      <c r="AK23" s="731"/>
      <c r="AL23" s="731"/>
      <c r="AM23" s="731"/>
    </row>
    <row r="24" spans="1:39" s="562" customFormat="1" ht="13.5" thickBot="1">
      <c r="A24" s="979" t="s">
        <v>273</v>
      </c>
      <c r="B24" s="978">
        <f>+B7+B8+B12</f>
        <v>8131778910</v>
      </c>
      <c r="C24" s="978">
        <f>+C7+C8+C12</f>
        <v>7326883404</v>
      </c>
      <c r="D24" s="978">
        <f>+D7+D8+D12</f>
        <v>7115107053</v>
      </c>
      <c r="E24" s="978">
        <f>+E7+E8+E12+E20</f>
        <v>2185304000</v>
      </c>
      <c r="F24" s="995">
        <f>+F7+F8+F12+F20</f>
        <v>2185288549</v>
      </c>
      <c r="G24" s="996">
        <f>+G7+G8+G12+G20</f>
        <v>2185288549</v>
      </c>
      <c r="H24" s="978">
        <f>+H7+H8+H12+H20</f>
        <v>10317082910</v>
      </c>
      <c r="I24" s="995">
        <f>+I7+I8+I12+I20</f>
        <v>9512171953</v>
      </c>
      <c r="J24" s="995">
        <f>+J7+J8+J12+J20</f>
        <v>9300395602</v>
      </c>
      <c r="K24" s="570"/>
      <c r="L24" s="570"/>
      <c r="M24" s="571" t="s">
        <v>246</v>
      </c>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row>
    <row r="25" spans="1:39" s="567" customFormat="1" ht="13.5" thickBot="1">
      <c r="A25" s="994"/>
      <c r="B25" s="993" t="s">
        <v>246</v>
      </c>
      <c r="C25" s="992"/>
      <c r="D25" s="991"/>
      <c r="E25" s="993"/>
      <c r="F25" s="992"/>
      <c r="G25" s="991"/>
      <c r="H25" s="993"/>
      <c r="I25" s="992"/>
      <c r="J25" s="99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row>
    <row r="26" spans="1:39" s="562" customFormat="1" ht="13.5" thickBot="1">
      <c r="A26" s="979" t="s">
        <v>274</v>
      </c>
      <c r="B26" s="978">
        <f>+B28+B32+B36+B40+B42+B45</f>
        <v>28214806441</v>
      </c>
      <c r="C26" s="978">
        <f>+C28+C32+C36+C40+C42+C45</f>
        <v>27708281592</v>
      </c>
      <c r="D26" s="978">
        <f>+D28+D32+D36+D40+D42+D45</f>
        <v>16279232587</v>
      </c>
      <c r="E26" s="978">
        <f>+E28+E32+E36+E40+E42+E45</f>
        <v>0</v>
      </c>
      <c r="F26" s="978">
        <f>+F28+F32+F36+F40+F42+F45</f>
        <v>0</v>
      </c>
      <c r="G26" s="978">
        <f>+G28+G32+G36+G40+G42+G45</f>
        <v>0</v>
      </c>
      <c r="H26" s="978">
        <f>+H28+H32+H36+H40+H42+H45</f>
        <v>28214806441</v>
      </c>
      <c r="I26" s="978">
        <f>+I28+I32+I36+I40+I42+I45</f>
        <v>27708281592</v>
      </c>
      <c r="J26" s="978">
        <f>+J28+J32+J36+J40+J42+J45</f>
        <v>16279232587</v>
      </c>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row>
    <row r="27" spans="1:39" s="567" customFormat="1">
      <c r="A27" s="985"/>
      <c r="B27" s="985"/>
      <c r="C27" s="985"/>
      <c r="D27" s="985"/>
      <c r="E27" s="985"/>
      <c r="F27" s="985"/>
      <c r="G27" s="985"/>
      <c r="H27" s="986" t="s">
        <v>246</v>
      </c>
      <c r="I27" s="985" t="s">
        <v>246</v>
      </c>
      <c r="J27" s="984" t="s">
        <v>246</v>
      </c>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row>
    <row r="28" spans="1:39" s="567" customFormat="1">
      <c r="A28" s="989" t="s">
        <v>555</v>
      </c>
      <c r="B28" s="989">
        <f>SUM(B29:B31)</f>
        <v>10311549938</v>
      </c>
      <c r="C28" s="989">
        <f>SUM(C29:C31)</f>
        <v>10229154170</v>
      </c>
      <c r="D28" s="989">
        <f>SUM(D29:D31)</f>
        <v>6976990196</v>
      </c>
      <c r="E28" s="989">
        <f>SUM(E29:E31)</f>
        <v>0</v>
      </c>
      <c r="F28" s="989">
        <f>SUM(F29:F31)</f>
        <v>0</v>
      </c>
      <c r="G28" s="989">
        <f>SUM(G29:G31)</f>
        <v>0</v>
      </c>
      <c r="H28" s="986">
        <f>+B28+E28</f>
        <v>10311549938</v>
      </c>
      <c r="I28" s="985">
        <f>+C28+F28</f>
        <v>10229154170</v>
      </c>
      <c r="J28" s="984">
        <f>+D28+G28</f>
        <v>6976990196</v>
      </c>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row>
    <row r="29" spans="1:39" s="567" customFormat="1">
      <c r="A29" s="987" t="s">
        <v>576</v>
      </c>
      <c r="B29" s="985">
        <v>1727333482</v>
      </c>
      <c r="C29" s="985">
        <v>1698582660</v>
      </c>
      <c r="D29" s="985">
        <v>1358519367</v>
      </c>
      <c r="E29" s="985"/>
      <c r="F29" s="985"/>
      <c r="G29" s="985"/>
      <c r="H29" s="986">
        <f>+B29+E29</f>
        <v>1727333482</v>
      </c>
      <c r="I29" s="985">
        <f>+C29+F29</f>
        <v>1698582660</v>
      </c>
      <c r="J29" s="984">
        <f>+D29+G29</f>
        <v>1358519367</v>
      </c>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71"/>
      <c r="AM29" s="571"/>
    </row>
    <row r="30" spans="1:39" s="567" customFormat="1">
      <c r="A30" s="987" t="s">
        <v>577</v>
      </c>
      <c r="B30" s="985">
        <v>7450417535</v>
      </c>
      <c r="C30" s="985">
        <v>7396818893</v>
      </c>
      <c r="D30" s="985">
        <v>4544160635</v>
      </c>
      <c r="E30" s="985"/>
      <c r="F30" s="985"/>
      <c r="G30" s="985"/>
      <c r="H30" s="986">
        <f>+B30+E30</f>
        <v>7450417535</v>
      </c>
      <c r="I30" s="985">
        <f>+C30+F30</f>
        <v>7396818893</v>
      </c>
      <c r="J30" s="984">
        <f>+D30+G30</f>
        <v>4544160635</v>
      </c>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row>
    <row r="31" spans="1:39" s="567" customFormat="1">
      <c r="A31" s="987" t="s">
        <v>578</v>
      </c>
      <c r="B31" s="985">
        <v>1133798921</v>
      </c>
      <c r="C31" s="985">
        <v>1133752617</v>
      </c>
      <c r="D31" s="985">
        <v>1074310194</v>
      </c>
      <c r="E31" s="985"/>
      <c r="F31" s="985"/>
      <c r="G31" s="985"/>
      <c r="H31" s="986">
        <f>+B31+E31</f>
        <v>1133798921</v>
      </c>
      <c r="I31" s="985">
        <f>+C31+F31</f>
        <v>1133752617</v>
      </c>
      <c r="J31" s="984">
        <f>+D31+G31</f>
        <v>1074310194</v>
      </c>
      <c r="K31" s="571"/>
      <c r="L31" s="571"/>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1"/>
      <c r="AM31" s="571"/>
    </row>
    <row r="32" spans="1:39" s="567" customFormat="1">
      <c r="A32" s="989" t="s">
        <v>556</v>
      </c>
      <c r="B32" s="989">
        <f>+B33+B34+B35</f>
        <v>4596082933</v>
      </c>
      <c r="C32" s="989">
        <f>+C33+C34+C35</f>
        <v>4496737848</v>
      </c>
      <c r="D32" s="989">
        <f>+D33+D34+D35</f>
        <v>2705544892</v>
      </c>
      <c r="E32" s="989"/>
      <c r="F32" s="989"/>
      <c r="G32" s="989"/>
      <c r="H32" s="990">
        <f>+B32+E32</f>
        <v>4596082933</v>
      </c>
      <c r="I32" s="989">
        <f>+C32+F32</f>
        <v>4496737848</v>
      </c>
      <c r="J32" s="988">
        <f>+D32+G32</f>
        <v>2705544892</v>
      </c>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row>
    <row r="33" spans="1:39" s="567" customFormat="1">
      <c r="A33" s="987" t="s">
        <v>579</v>
      </c>
      <c r="B33" s="985">
        <v>1671872928</v>
      </c>
      <c r="C33" s="985">
        <v>1611204408</v>
      </c>
      <c r="D33" s="985">
        <v>708383075</v>
      </c>
      <c r="E33" s="985"/>
      <c r="F33" s="985"/>
      <c r="G33" s="985"/>
      <c r="H33" s="986">
        <f>+B33+E33</f>
        <v>1671872928</v>
      </c>
      <c r="I33" s="985">
        <f>+C33+F33</f>
        <v>1611204408</v>
      </c>
      <c r="J33" s="984">
        <f>+D33+G33</f>
        <v>708383075</v>
      </c>
      <c r="K33" s="571"/>
      <c r="L33" s="571"/>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571"/>
      <c r="AK33" s="571"/>
      <c r="AL33" s="571"/>
      <c r="AM33" s="571"/>
    </row>
    <row r="34" spans="1:39" s="567" customFormat="1" ht="22.5">
      <c r="A34" s="987" t="s">
        <v>580</v>
      </c>
      <c r="B34" s="985">
        <v>2879251454</v>
      </c>
      <c r="C34" s="985">
        <v>2840574889</v>
      </c>
      <c r="D34" s="985">
        <v>1952203266</v>
      </c>
      <c r="E34" s="985"/>
      <c r="F34" s="985"/>
      <c r="G34" s="985"/>
      <c r="H34" s="986">
        <f>+B34+E34</f>
        <v>2879251454</v>
      </c>
      <c r="I34" s="985">
        <f>+C34+F34</f>
        <v>2840574889</v>
      </c>
      <c r="J34" s="984">
        <f>+D34+G34</f>
        <v>1952203266</v>
      </c>
      <c r="K34" s="571"/>
      <c r="L34" s="571"/>
      <c r="M34" s="571"/>
      <c r="N34" s="571"/>
      <c r="O34" s="571"/>
      <c r="P34" s="571"/>
      <c r="Q34" s="571"/>
      <c r="R34" s="571"/>
      <c r="S34" s="571"/>
      <c r="T34" s="571"/>
      <c r="U34" s="571"/>
      <c r="V34" s="571"/>
      <c r="W34" s="571"/>
      <c r="X34" s="571"/>
      <c r="Y34" s="571"/>
      <c r="Z34" s="571"/>
      <c r="AA34" s="571"/>
      <c r="AB34" s="571"/>
      <c r="AC34" s="571"/>
      <c r="AD34" s="571"/>
      <c r="AE34" s="571"/>
      <c r="AF34" s="571"/>
      <c r="AG34" s="571"/>
      <c r="AH34" s="571"/>
      <c r="AI34" s="571"/>
      <c r="AJ34" s="571"/>
      <c r="AK34" s="571"/>
      <c r="AL34" s="571"/>
      <c r="AM34" s="571"/>
    </row>
    <row r="35" spans="1:39" s="567" customFormat="1" ht="22.5">
      <c r="A35" s="987" t="s">
        <v>581</v>
      </c>
      <c r="B35" s="985">
        <v>44958551</v>
      </c>
      <c r="C35" s="985">
        <f>+B35</f>
        <v>44958551</v>
      </c>
      <c r="D35" s="985">
        <f>+C35</f>
        <v>44958551</v>
      </c>
      <c r="E35" s="985"/>
      <c r="F35" s="985"/>
      <c r="G35" s="985"/>
      <c r="H35" s="986">
        <f>+B35+E35</f>
        <v>44958551</v>
      </c>
      <c r="I35" s="985">
        <f>+H35</f>
        <v>44958551</v>
      </c>
      <c r="J35" s="984">
        <v>0</v>
      </c>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1"/>
      <c r="AK35" s="571"/>
      <c r="AL35" s="571"/>
      <c r="AM35" s="571"/>
    </row>
    <row r="36" spans="1:39" s="567" customFormat="1">
      <c r="A36" s="989" t="s">
        <v>557</v>
      </c>
      <c r="B36" s="989">
        <f>SUM(B37:B39)</f>
        <v>3393001759</v>
      </c>
      <c r="C36" s="989">
        <f>SUM(C37:C39)</f>
        <v>3366783845</v>
      </c>
      <c r="D36" s="989">
        <f>SUM(D37:D39)</f>
        <v>2544252295</v>
      </c>
      <c r="E36" s="989">
        <f>SUM(E37:E39)</f>
        <v>0</v>
      </c>
      <c r="F36" s="989">
        <f>SUM(F37:F39)</f>
        <v>0</v>
      </c>
      <c r="G36" s="989">
        <f>SUM(G37:G39)</f>
        <v>0</v>
      </c>
      <c r="H36" s="989">
        <f>SUM(H37:H39)</f>
        <v>3393001759</v>
      </c>
      <c r="I36" s="989">
        <f>SUM(I37:I39)</f>
        <v>3366783845</v>
      </c>
      <c r="J36" s="989">
        <f>SUM(J37:J39)</f>
        <v>2544252295</v>
      </c>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row>
    <row r="37" spans="1:39" s="567" customFormat="1">
      <c r="A37" s="987" t="s">
        <v>558</v>
      </c>
      <c r="B37" s="985">
        <v>1557203536</v>
      </c>
      <c r="C37" s="985">
        <v>1535442114</v>
      </c>
      <c r="D37" s="985">
        <v>1029608670</v>
      </c>
      <c r="E37" s="985"/>
      <c r="F37" s="985"/>
      <c r="G37" s="985"/>
      <c r="H37" s="986">
        <f>+B37+E37</f>
        <v>1557203536</v>
      </c>
      <c r="I37" s="985">
        <f>+C37+F37</f>
        <v>1535442114</v>
      </c>
      <c r="J37" s="984">
        <f>+D37+G37</f>
        <v>1029608670</v>
      </c>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row>
    <row r="38" spans="1:39" s="567" customFormat="1">
      <c r="A38" s="987" t="s">
        <v>559</v>
      </c>
      <c r="B38" s="985">
        <v>550000000</v>
      </c>
      <c r="C38" s="985">
        <v>545543608</v>
      </c>
      <c r="D38" s="985">
        <v>228845502</v>
      </c>
      <c r="E38" s="985"/>
      <c r="F38" s="985"/>
      <c r="G38" s="985"/>
      <c r="H38" s="986">
        <f>+B38+E38</f>
        <v>550000000</v>
      </c>
      <c r="I38" s="985">
        <f>+C38+F38</f>
        <v>545543608</v>
      </c>
      <c r="J38" s="984">
        <f>+D38+G38</f>
        <v>228845502</v>
      </c>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row>
    <row r="39" spans="1:39" s="567" customFormat="1" ht="22.5">
      <c r="A39" s="987" t="s">
        <v>560</v>
      </c>
      <c r="B39" s="985">
        <v>1285798223</v>
      </c>
      <c r="C39" s="985">
        <v>1285798123</v>
      </c>
      <c r="D39" s="985">
        <f>+C39</f>
        <v>1285798123</v>
      </c>
      <c r="E39" s="985"/>
      <c r="F39" s="985"/>
      <c r="G39" s="985"/>
      <c r="H39" s="986">
        <f>+B39+E39</f>
        <v>1285798223</v>
      </c>
      <c r="I39" s="985">
        <f>+C39+F39</f>
        <v>1285798123</v>
      </c>
      <c r="J39" s="984">
        <f>+D39+G39</f>
        <v>1285798123</v>
      </c>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row>
    <row r="40" spans="1:39" s="567" customFormat="1">
      <c r="A40" s="989" t="s">
        <v>561</v>
      </c>
      <c r="B40" s="989">
        <f>+B41</f>
        <v>1768739350</v>
      </c>
      <c r="C40" s="989">
        <f>+C41</f>
        <v>1755850233</v>
      </c>
      <c r="D40" s="989">
        <f>+D41</f>
        <v>1383459799</v>
      </c>
      <c r="E40" s="989"/>
      <c r="F40" s="989"/>
      <c r="G40" s="989"/>
      <c r="H40" s="990">
        <f>+B40+E40</f>
        <v>1768739350</v>
      </c>
      <c r="I40" s="989">
        <f>+C40+F40</f>
        <v>1755850233</v>
      </c>
      <c r="J40" s="988">
        <f>+D40+G40</f>
        <v>1383459799</v>
      </c>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row>
    <row r="41" spans="1:39" s="567" customFormat="1">
      <c r="A41" s="987" t="s">
        <v>562</v>
      </c>
      <c r="B41" s="985">
        <v>1768739350</v>
      </c>
      <c r="C41" s="985">
        <v>1755850233</v>
      </c>
      <c r="D41" s="985">
        <v>1383459799</v>
      </c>
      <c r="E41" s="985"/>
      <c r="F41" s="985"/>
      <c r="G41" s="985"/>
      <c r="H41" s="986">
        <f>+B41+E41</f>
        <v>1768739350</v>
      </c>
      <c r="I41" s="985">
        <f>+C41+F41</f>
        <v>1755850233</v>
      </c>
      <c r="J41" s="984">
        <f>+D41+G41</f>
        <v>1383459799</v>
      </c>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row>
    <row r="42" spans="1:39" s="567" customFormat="1">
      <c r="A42" s="989" t="s">
        <v>563</v>
      </c>
      <c r="B42" s="989">
        <f>+B43+B44</f>
        <v>5623707658</v>
      </c>
      <c r="C42" s="989">
        <f>+C43+C44</f>
        <v>5565687068</v>
      </c>
      <c r="D42" s="989">
        <f>+D43+D44</f>
        <v>758252790</v>
      </c>
      <c r="E42" s="989"/>
      <c r="F42" s="989"/>
      <c r="G42" s="989"/>
      <c r="H42" s="990">
        <f>+B42+E42</f>
        <v>5623707658</v>
      </c>
      <c r="I42" s="989">
        <f>+C42+F42</f>
        <v>5565687068</v>
      </c>
      <c r="J42" s="988">
        <f>+D42+G42</f>
        <v>758252790</v>
      </c>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571"/>
      <c r="AM42" s="571"/>
    </row>
    <row r="43" spans="1:39" s="567" customFormat="1">
      <c r="A43" s="987" t="s">
        <v>582</v>
      </c>
      <c r="B43" s="985">
        <v>556250000</v>
      </c>
      <c r="C43" s="985">
        <v>498334491</v>
      </c>
      <c r="D43" s="985">
        <v>457186645</v>
      </c>
      <c r="E43" s="985"/>
      <c r="F43" s="985"/>
      <c r="G43" s="985"/>
      <c r="H43" s="986">
        <f>+B43+E43</f>
        <v>556250000</v>
      </c>
      <c r="I43" s="985">
        <f>+C43+F43</f>
        <v>498334491</v>
      </c>
      <c r="J43" s="984">
        <f>+D43+G43</f>
        <v>457186645</v>
      </c>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571"/>
      <c r="AJ43" s="571"/>
      <c r="AK43" s="571"/>
      <c r="AL43" s="571"/>
      <c r="AM43" s="571"/>
    </row>
    <row r="44" spans="1:39" s="567" customFormat="1">
      <c r="A44" s="987" t="s">
        <v>583</v>
      </c>
      <c r="B44" s="985">
        <v>5067457658</v>
      </c>
      <c r="C44" s="985">
        <v>5067352577</v>
      </c>
      <c r="D44" s="985">
        <v>301066145</v>
      </c>
      <c r="E44" s="985"/>
      <c r="F44" s="985"/>
      <c r="G44" s="985"/>
      <c r="H44" s="986">
        <f>+B44+E44</f>
        <v>5067457658</v>
      </c>
      <c r="I44" s="985">
        <f>+C44+F44</f>
        <v>5067352577</v>
      </c>
      <c r="J44" s="984">
        <f>+D44+G44</f>
        <v>301066145</v>
      </c>
      <c r="K44" s="571"/>
      <c r="L44" s="571"/>
      <c r="M44" s="571"/>
      <c r="N44" s="571"/>
      <c r="O44" s="571"/>
      <c r="P44" s="571"/>
      <c r="Q44" s="571"/>
      <c r="R44" s="571"/>
      <c r="S44" s="571"/>
      <c r="T44" s="571"/>
      <c r="U44" s="571"/>
      <c r="V44" s="571"/>
      <c r="W44" s="571"/>
      <c r="X44" s="571"/>
      <c r="Y44" s="571"/>
      <c r="Z44" s="571"/>
      <c r="AA44" s="571"/>
      <c r="AB44" s="571"/>
      <c r="AC44" s="571"/>
      <c r="AD44" s="571"/>
      <c r="AE44" s="571"/>
      <c r="AF44" s="571"/>
      <c r="AG44" s="571"/>
      <c r="AH44" s="571"/>
      <c r="AI44" s="571"/>
      <c r="AJ44" s="571"/>
      <c r="AK44" s="571"/>
      <c r="AL44" s="571"/>
      <c r="AM44" s="571"/>
    </row>
    <row r="45" spans="1:39" s="567" customFormat="1">
      <c r="A45" s="989" t="s">
        <v>564</v>
      </c>
      <c r="B45" s="989">
        <f>+B46+B47</f>
        <v>2521724803</v>
      </c>
      <c r="C45" s="989">
        <f>+C46+C47</f>
        <v>2294068428</v>
      </c>
      <c r="D45" s="989">
        <f>+D46+D47</f>
        <v>1910732615</v>
      </c>
      <c r="E45" s="989"/>
      <c r="F45" s="989"/>
      <c r="G45" s="989"/>
      <c r="H45" s="990">
        <f>+B45+E45</f>
        <v>2521724803</v>
      </c>
      <c r="I45" s="989">
        <f>+C45+F45</f>
        <v>2294068428</v>
      </c>
      <c r="J45" s="988">
        <f>+D45+G45</f>
        <v>1910732615</v>
      </c>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row>
    <row r="46" spans="1:39" s="567" customFormat="1">
      <c r="A46" s="987" t="s">
        <v>584</v>
      </c>
      <c r="B46" s="985">
        <v>846724803</v>
      </c>
      <c r="C46" s="985">
        <v>840712669</v>
      </c>
      <c r="D46" s="985">
        <v>672205487</v>
      </c>
      <c r="E46" s="985"/>
      <c r="F46" s="985"/>
      <c r="G46" s="985"/>
      <c r="H46" s="986">
        <f>+B46+E46</f>
        <v>846724803</v>
      </c>
      <c r="I46" s="985">
        <f>+C46+F46</f>
        <v>840712669</v>
      </c>
      <c r="J46" s="984">
        <f>+D46+G46</f>
        <v>672205487</v>
      </c>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1"/>
      <c r="AM46" s="571"/>
    </row>
    <row r="47" spans="1:39" s="567" customFormat="1">
      <c r="A47" s="987" t="s">
        <v>585</v>
      </c>
      <c r="B47" s="985">
        <v>1675000000</v>
      </c>
      <c r="C47" s="985">
        <v>1453355759</v>
      </c>
      <c r="D47" s="985">
        <v>1238527128</v>
      </c>
      <c r="E47" s="985"/>
      <c r="F47" s="985"/>
      <c r="G47" s="985"/>
      <c r="H47" s="986">
        <f>+B47+E47</f>
        <v>1675000000</v>
      </c>
      <c r="I47" s="985">
        <f>+C47+F47</f>
        <v>1453355759</v>
      </c>
      <c r="J47" s="984">
        <f>+D47+G47</f>
        <v>1238527128</v>
      </c>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row>
    <row r="48" spans="1:39" s="567" customFormat="1">
      <c r="A48" s="985"/>
      <c r="B48" s="985"/>
      <c r="C48" s="985"/>
      <c r="D48" s="985"/>
      <c r="E48" s="985"/>
      <c r="F48" s="985"/>
      <c r="G48" s="985"/>
      <c r="H48" s="986">
        <f>+B48+E48</f>
        <v>0</v>
      </c>
      <c r="I48" s="985">
        <f>+C48+F48</f>
        <v>0</v>
      </c>
      <c r="J48" s="984">
        <f>+D48+G48</f>
        <v>0</v>
      </c>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row>
    <row r="49" spans="1:39" s="567" customFormat="1" ht="13.5" thickBot="1">
      <c r="A49" s="983"/>
      <c r="B49" s="982"/>
      <c r="C49" s="981"/>
      <c r="D49" s="980"/>
      <c r="E49" s="982"/>
      <c r="F49" s="981"/>
      <c r="G49" s="980"/>
      <c r="H49" s="982">
        <f>+B49+E49</f>
        <v>0</v>
      </c>
      <c r="I49" s="981">
        <f>+C49+F49</f>
        <v>0</v>
      </c>
      <c r="J49" s="980">
        <f>+D49+G49</f>
        <v>0</v>
      </c>
      <c r="K49" s="571"/>
      <c r="L49" s="571"/>
      <c r="M49" s="571"/>
      <c r="N49" s="571"/>
      <c r="O49" s="571"/>
      <c r="P49" s="571"/>
      <c r="Q49" s="571"/>
      <c r="R49" s="571"/>
      <c r="S49" s="571"/>
      <c r="T49" s="571"/>
      <c r="U49" s="571"/>
      <c r="V49" s="571"/>
      <c r="W49" s="571"/>
      <c r="X49" s="571"/>
      <c r="Y49" s="571"/>
      <c r="Z49" s="571"/>
      <c r="AA49" s="571"/>
      <c r="AB49" s="571"/>
      <c r="AC49" s="571"/>
      <c r="AD49" s="571"/>
      <c r="AE49" s="571"/>
      <c r="AF49" s="571"/>
      <c r="AG49" s="571"/>
      <c r="AH49" s="571"/>
      <c r="AI49" s="571"/>
      <c r="AJ49" s="571"/>
      <c r="AK49" s="571"/>
      <c r="AL49" s="571"/>
      <c r="AM49" s="571"/>
    </row>
    <row r="50" spans="1:39" s="567" customFormat="1" ht="13.5" thickBot="1">
      <c r="A50" s="979" t="s">
        <v>586</v>
      </c>
      <c r="B50" s="978">
        <f>+B26</f>
        <v>28214806441</v>
      </c>
      <c r="C50" s="978">
        <f>+C26</f>
        <v>27708281592</v>
      </c>
      <c r="D50" s="978">
        <f>+D26</f>
        <v>16279232587</v>
      </c>
      <c r="E50" s="978">
        <f>+E26</f>
        <v>0</v>
      </c>
      <c r="F50" s="978">
        <f>+F26</f>
        <v>0</v>
      </c>
      <c r="G50" s="978">
        <f>+G26</f>
        <v>0</v>
      </c>
      <c r="H50" s="978">
        <f>+H26</f>
        <v>28214806441</v>
      </c>
      <c r="I50" s="978">
        <f>+I26</f>
        <v>27708281592</v>
      </c>
      <c r="J50" s="978">
        <f>+J26</f>
        <v>16279232587</v>
      </c>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row>
    <row r="51" spans="1:39" s="567" customFormat="1">
      <c r="B51" s="571" t="s">
        <v>246</v>
      </c>
      <c r="E51" s="571" t="s">
        <v>246</v>
      </c>
      <c r="H51" s="571"/>
      <c r="I51" s="571"/>
      <c r="J51" s="571" t="s">
        <v>246</v>
      </c>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row>
    <row r="52" spans="1:39" s="567" customFormat="1">
      <c r="B52" s="571" t="s">
        <v>246</v>
      </c>
      <c r="D52" s="571" t="s">
        <v>246</v>
      </c>
      <c r="E52" s="571"/>
      <c r="F52" s="571"/>
      <c r="G52" s="571" t="s">
        <v>246</v>
      </c>
      <c r="H52" s="571"/>
      <c r="I52" s="571"/>
      <c r="J52" s="571">
        <f>+J50+J24</f>
        <v>25579628189</v>
      </c>
      <c r="K52" s="571"/>
      <c r="L52" s="571"/>
      <c r="M52" s="571"/>
      <c r="N52" s="571"/>
    </row>
    <row r="53" spans="1:39" s="567" customFormat="1">
      <c r="E53" s="571"/>
      <c r="F53" s="571"/>
      <c r="G53" s="571"/>
      <c r="H53" s="977"/>
      <c r="I53" s="571"/>
      <c r="J53" s="571"/>
      <c r="K53" s="571"/>
      <c r="L53" s="571"/>
      <c r="M53" s="571"/>
      <c r="N53" s="571"/>
    </row>
    <row r="54" spans="1:39" s="567" customFormat="1">
      <c r="E54" s="571"/>
      <c r="F54" s="571"/>
      <c r="G54" s="571"/>
      <c r="H54" s="571"/>
      <c r="I54" s="571"/>
      <c r="J54" s="571"/>
      <c r="K54" s="571"/>
      <c r="L54" s="571"/>
      <c r="M54" s="571"/>
      <c r="N54" s="571"/>
    </row>
    <row r="55" spans="1:39" s="567" customFormat="1">
      <c r="E55" s="571"/>
      <c r="F55" s="571"/>
      <c r="G55" s="571"/>
      <c r="H55" s="977"/>
      <c r="I55" s="571"/>
      <c r="J55" s="571"/>
      <c r="K55" s="571"/>
      <c r="L55" s="571"/>
      <c r="M55" s="571"/>
      <c r="N55" s="571"/>
    </row>
    <row r="56" spans="1:39" s="567" customFormat="1">
      <c r="E56" s="571"/>
      <c r="F56" s="571"/>
      <c r="G56" s="571"/>
      <c r="H56" s="571"/>
      <c r="I56" s="571"/>
      <c r="J56" s="571"/>
      <c r="K56" s="571"/>
      <c r="L56" s="571"/>
      <c r="M56" s="571"/>
      <c r="N56" s="571"/>
    </row>
    <row r="57" spans="1:39" s="567" customFormat="1">
      <c r="E57" s="571"/>
      <c r="F57" s="571"/>
      <c r="G57" s="571"/>
      <c r="H57" s="571"/>
      <c r="I57" s="571"/>
      <c r="J57" s="571"/>
      <c r="K57" s="571"/>
      <c r="L57" s="571"/>
      <c r="M57" s="571"/>
      <c r="N57" s="571"/>
    </row>
    <row r="58" spans="1:39" s="567" customFormat="1">
      <c r="E58" s="571"/>
      <c r="F58" s="571"/>
      <c r="G58" s="571"/>
      <c r="H58" s="571"/>
      <c r="I58" s="571"/>
      <c r="J58" s="571"/>
      <c r="K58" s="571"/>
      <c r="L58" s="571"/>
      <c r="M58" s="571"/>
      <c r="N58" s="571"/>
    </row>
    <row r="59" spans="1:39" s="567" customFormat="1">
      <c r="E59" s="571"/>
      <c r="F59" s="571"/>
      <c r="G59" s="571"/>
      <c r="H59" s="571"/>
      <c r="I59" s="571"/>
      <c r="J59" s="571"/>
      <c r="K59" s="571"/>
      <c r="L59" s="571"/>
      <c r="M59" s="571"/>
      <c r="N59" s="571"/>
    </row>
    <row r="60" spans="1:39" s="567" customFormat="1">
      <c r="E60" s="571"/>
      <c r="F60" s="571"/>
      <c r="G60" s="571"/>
      <c r="H60" s="571"/>
      <c r="I60" s="571"/>
      <c r="J60" s="571"/>
      <c r="K60" s="571"/>
      <c r="L60" s="571"/>
      <c r="M60" s="571"/>
      <c r="N60" s="571"/>
    </row>
    <row r="61" spans="1:39" s="567" customFormat="1">
      <c r="E61" s="571"/>
      <c r="F61" s="571"/>
      <c r="G61" s="571"/>
      <c r="H61" s="571"/>
      <c r="I61" s="571"/>
      <c r="J61" s="571"/>
      <c r="K61" s="571"/>
      <c r="L61" s="571"/>
      <c r="M61" s="571"/>
      <c r="N61" s="571"/>
    </row>
    <row r="62" spans="1:39" s="567" customFormat="1">
      <c r="E62" s="571"/>
      <c r="F62" s="571"/>
      <c r="G62" s="571"/>
      <c r="H62" s="571"/>
      <c r="I62" s="571"/>
      <c r="J62" s="571"/>
      <c r="K62" s="571"/>
      <c r="L62" s="571"/>
      <c r="M62" s="571"/>
      <c r="N62" s="571"/>
    </row>
    <row r="63" spans="1:39" s="567" customFormat="1">
      <c r="E63" s="571"/>
      <c r="F63" s="571"/>
      <c r="G63" s="571"/>
      <c r="H63" s="571"/>
      <c r="I63" s="571"/>
      <c r="J63" s="571"/>
      <c r="K63" s="571"/>
      <c r="L63" s="571"/>
      <c r="M63" s="571"/>
      <c r="N63" s="571"/>
    </row>
    <row r="64" spans="1:39" s="567" customFormat="1">
      <c r="E64" s="571"/>
      <c r="F64" s="571"/>
      <c r="G64" s="571"/>
      <c r="H64" s="571"/>
      <c r="I64" s="571"/>
      <c r="J64" s="571"/>
      <c r="K64" s="571"/>
      <c r="L64" s="571"/>
      <c r="M64" s="571"/>
      <c r="N64" s="571"/>
    </row>
    <row r="65" spans="5:14" s="567" customFormat="1">
      <c r="E65" s="571"/>
      <c r="F65" s="571"/>
      <c r="G65" s="571"/>
      <c r="H65" s="571"/>
      <c r="I65" s="571"/>
      <c r="J65" s="571"/>
      <c r="K65" s="571"/>
      <c r="L65" s="571"/>
      <c r="M65" s="571"/>
      <c r="N65" s="571"/>
    </row>
    <row r="66" spans="5:14" s="567" customFormat="1">
      <c r="E66" s="571"/>
      <c r="F66" s="571"/>
      <c r="G66" s="571"/>
      <c r="H66" s="571"/>
      <c r="I66" s="571"/>
      <c r="J66" s="571"/>
      <c r="K66" s="571"/>
      <c r="L66" s="571"/>
      <c r="M66" s="571"/>
      <c r="N66" s="571"/>
    </row>
    <row r="67" spans="5:14" s="567" customFormat="1">
      <c r="E67" s="571"/>
      <c r="F67" s="571"/>
      <c r="G67" s="571"/>
      <c r="H67" s="571"/>
      <c r="I67" s="571"/>
      <c r="J67" s="571"/>
      <c r="K67" s="571"/>
      <c r="L67" s="571"/>
      <c r="M67" s="571"/>
      <c r="N67" s="571"/>
    </row>
    <row r="68" spans="5:14" s="567" customFormat="1">
      <c r="E68" s="571"/>
      <c r="F68" s="571"/>
      <c r="G68" s="571"/>
      <c r="H68" s="571"/>
      <c r="I68" s="571"/>
      <c r="J68" s="571"/>
      <c r="K68" s="571"/>
      <c r="L68" s="571"/>
      <c r="M68" s="571"/>
      <c r="N68" s="571"/>
    </row>
    <row r="69" spans="5:14" s="567" customFormat="1">
      <c r="E69" s="571"/>
      <c r="F69" s="571"/>
      <c r="G69" s="571"/>
      <c r="H69" s="571"/>
      <c r="I69" s="571"/>
      <c r="J69" s="571"/>
      <c r="K69" s="571"/>
      <c r="L69" s="571"/>
      <c r="M69" s="571"/>
      <c r="N69" s="571"/>
    </row>
    <row r="70" spans="5:14" s="567" customFormat="1">
      <c r="E70" s="571"/>
      <c r="F70" s="571"/>
      <c r="G70" s="571"/>
      <c r="H70" s="571"/>
      <c r="I70" s="571"/>
      <c r="J70" s="571"/>
      <c r="K70" s="571"/>
      <c r="L70" s="571"/>
      <c r="M70" s="571"/>
      <c r="N70" s="571"/>
    </row>
    <row r="71" spans="5:14" s="567" customFormat="1">
      <c r="E71" s="571"/>
      <c r="F71" s="571"/>
      <c r="G71" s="571"/>
      <c r="H71" s="571"/>
      <c r="I71" s="571"/>
      <c r="J71" s="571"/>
      <c r="K71" s="571"/>
      <c r="L71" s="571"/>
      <c r="M71" s="571"/>
      <c r="N71" s="571"/>
    </row>
    <row r="72" spans="5:14" s="567" customFormat="1">
      <c r="E72" s="571"/>
      <c r="F72" s="571"/>
      <c r="G72" s="571"/>
      <c r="H72" s="571"/>
      <c r="I72" s="571"/>
      <c r="J72" s="571"/>
      <c r="K72" s="571"/>
      <c r="L72" s="571"/>
      <c r="M72" s="571"/>
      <c r="N72" s="571"/>
    </row>
    <row r="73" spans="5:14" s="567" customFormat="1">
      <c r="E73" s="571"/>
      <c r="F73" s="571"/>
      <c r="G73" s="571"/>
      <c r="H73" s="571"/>
      <c r="I73" s="571"/>
      <c r="J73" s="571"/>
      <c r="K73" s="571"/>
      <c r="L73" s="571"/>
      <c r="M73" s="571"/>
      <c r="N73" s="571"/>
    </row>
    <row r="74" spans="5:14" s="567" customFormat="1">
      <c r="E74" s="571"/>
      <c r="F74" s="571"/>
      <c r="G74" s="571"/>
      <c r="H74" s="571"/>
      <c r="I74" s="571"/>
      <c r="J74" s="571"/>
      <c r="K74" s="571"/>
      <c r="L74" s="571"/>
      <c r="M74" s="571"/>
      <c r="N74" s="571"/>
    </row>
    <row r="75" spans="5:14" s="567" customFormat="1">
      <c r="E75" s="571"/>
      <c r="F75" s="571"/>
      <c r="G75" s="571"/>
      <c r="H75" s="571"/>
      <c r="I75" s="571"/>
      <c r="J75" s="571"/>
      <c r="K75" s="571"/>
      <c r="L75" s="571"/>
      <c r="M75" s="571"/>
      <c r="N75" s="571"/>
    </row>
    <row r="76" spans="5:14" s="567" customFormat="1">
      <c r="E76" s="571"/>
      <c r="F76" s="571"/>
      <c r="G76" s="571"/>
      <c r="H76" s="571"/>
      <c r="I76" s="571"/>
      <c r="J76" s="571"/>
      <c r="K76" s="571"/>
      <c r="L76" s="571"/>
      <c r="M76" s="571"/>
      <c r="N76" s="571"/>
    </row>
    <row r="77" spans="5:14" s="567" customFormat="1">
      <c r="E77" s="571"/>
      <c r="F77" s="571"/>
      <c r="G77" s="571"/>
      <c r="H77" s="571"/>
      <c r="I77" s="571"/>
      <c r="J77" s="571"/>
      <c r="K77" s="571"/>
      <c r="L77" s="571"/>
      <c r="M77" s="571"/>
      <c r="N77" s="571"/>
    </row>
    <row r="78" spans="5:14" s="567" customFormat="1">
      <c r="E78" s="571"/>
      <c r="F78" s="571"/>
      <c r="G78" s="571"/>
      <c r="H78" s="571"/>
      <c r="I78" s="571"/>
      <c r="J78" s="571"/>
      <c r="K78" s="571"/>
      <c r="L78" s="571"/>
      <c r="M78" s="571"/>
      <c r="N78" s="571"/>
    </row>
    <row r="79" spans="5:14" s="567" customFormat="1">
      <c r="E79" s="571"/>
      <c r="F79" s="571"/>
      <c r="G79" s="571"/>
      <c r="H79" s="571"/>
      <c r="I79" s="571"/>
      <c r="J79" s="571"/>
      <c r="K79" s="571"/>
      <c r="L79" s="571"/>
      <c r="M79" s="571"/>
      <c r="N79" s="571"/>
    </row>
    <row r="80" spans="5:14" s="567" customFormat="1">
      <c r="E80" s="571"/>
      <c r="F80" s="571"/>
      <c r="G80" s="571"/>
      <c r="H80" s="571"/>
      <c r="I80" s="571"/>
      <c r="J80" s="571"/>
      <c r="K80" s="571"/>
      <c r="L80" s="571"/>
      <c r="M80" s="571"/>
      <c r="N80" s="571"/>
    </row>
    <row r="81" spans="5:14" s="567" customFormat="1">
      <c r="E81" s="571"/>
      <c r="F81" s="571"/>
      <c r="G81" s="571"/>
      <c r="H81" s="571"/>
      <c r="I81" s="571"/>
      <c r="J81" s="571"/>
      <c r="K81" s="571"/>
      <c r="L81" s="571"/>
      <c r="M81" s="571"/>
      <c r="N81" s="571"/>
    </row>
    <row r="82" spans="5:14" s="567" customFormat="1">
      <c r="E82" s="571"/>
      <c r="F82" s="571"/>
      <c r="G82" s="571"/>
      <c r="H82" s="571"/>
      <c r="I82" s="571"/>
      <c r="J82" s="571"/>
      <c r="K82" s="571"/>
      <c r="L82" s="571"/>
      <c r="M82" s="571"/>
      <c r="N82" s="571"/>
    </row>
    <row r="83" spans="5:14" s="567" customFormat="1">
      <c r="E83" s="571"/>
      <c r="F83" s="571"/>
      <c r="G83" s="571"/>
      <c r="H83" s="571"/>
      <c r="I83" s="571"/>
      <c r="J83" s="571"/>
      <c r="K83" s="571"/>
      <c r="L83" s="571"/>
      <c r="M83" s="571"/>
      <c r="N83" s="571"/>
    </row>
    <row r="84" spans="5:14" s="567" customFormat="1">
      <c r="E84" s="571"/>
      <c r="F84" s="571"/>
      <c r="G84" s="571"/>
      <c r="H84" s="571"/>
      <c r="I84" s="571"/>
      <c r="J84" s="571"/>
      <c r="K84" s="571"/>
      <c r="L84" s="571"/>
      <c r="M84" s="571"/>
      <c r="N84" s="571"/>
    </row>
    <row r="85" spans="5:14" s="567" customFormat="1">
      <c r="E85" s="571"/>
      <c r="F85" s="571"/>
      <c r="G85" s="571"/>
      <c r="H85" s="571"/>
      <c r="I85" s="571"/>
      <c r="J85" s="571"/>
      <c r="K85" s="571"/>
      <c r="L85" s="571"/>
      <c r="M85" s="571"/>
      <c r="N85" s="571"/>
    </row>
    <row r="86" spans="5:14" s="567" customFormat="1">
      <c r="E86" s="571"/>
      <c r="F86" s="571"/>
      <c r="G86" s="571"/>
      <c r="H86" s="571"/>
      <c r="I86" s="571"/>
      <c r="J86" s="571"/>
      <c r="K86" s="571"/>
      <c r="L86" s="571"/>
      <c r="M86" s="571"/>
      <c r="N86" s="571"/>
    </row>
    <row r="87" spans="5:14" s="567" customFormat="1">
      <c r="E87" s="571"/>
      <c r="F87" s="571"/>
      <c r="G87" s="571"/>
      <c r="H87" s="571"/>
      <c r="I87" s="571"/>
      <c r="J87" s="571"/>
      <c r="K87" s="571"/>
      <c r="L87" s="571"/>
      <c r="M87" s="571"/>
      <c r="N87" s="571"/>
    </row>
    <row r="88" spans="5:14" s="567" customFormat="1">
      <c r="E88" s="571"/>
      <c r="F88" s="571"/>
      <c r="G88" s="571"/>
      <c r="H88" s="571"/>
      <c r="I88" s="571"/>
      <c r="J88" s="571"/>
      <c r="K88" s="571"/>
      <c r="L88" s="571"/>
      <c r="M88" s="571"/>
      <c r="N88" s="571"/>
    </row>
    <row r="89" spans="5:14" s="567" customFormat="1">
      <c r="E89" s="571"/>
      <c r="F89" s="571"/>
      <c r="G89" s="571"/>
      <c r="H89" s="571"/>
      <c r="I89" s="571"/>
      <c r="J89" s="571"/>
      <c r="K89" s="571"/>
      <c r="L89" s="571"/>
      <c r="M89" s="571"/>
      <c r="N89" s="571"/>
    </row>
    <row r="90" spans="5:14" s="567" customFormat="1">
      <c r="E90" s="571"/>
      <c r="F90" s="571"/>
      <c r="G90" s="571"/>
      <c r="H90" s="571"/>
      <c r="I90" s="571"/>
      <c r="J90" s="571"/>
      <c r="K90" s="571"/>
      <c r="L90" s="571"/>
      <c r="M90" s="571"/>
      <c r="N90" s="571"/>
    </row>
    <row r="91" spans="5:14" s="567" customFormat="1">
      <c r="E91" s="571"/>
      <c r="F91" s="571"/>
      <c r="G91" s="571"/>
      <c r="H91" s="571"/>
      <c r="I91" s="571"/>
      <c r="J91" s="571"/>
      <c r="K91" s="571"/>
      <c r="L91" s="571"/>
      <c r="M91" s="571"/>
      <c r="N91" s="571"/>
    </row>
    <row r="92" spans="5:14" s="567" customFormat="1">
      <c r="E92" s="571"/>
      <c r="F92" s="571"/>
      <c r="G92" s="571"/>
      <c r="H92" s="571"/>
      <c r="I92" s="571"/>
      <c r="J92" s="571"/>
      <c r="K92" s="571"/>
      <c r="L92" s="571"/>
      <c r="M92" s="571"/>
      <c r="N92" s="571"/>
    </row>
    <row r="93" spans="5:14" s="567" customFormat="1">
      <c r="E93" s="571"/>
      <c r="F93" s="571"/>
      <c r="G93" s="571"/>
      <c r="H93" s="571"/>
      <c r="I93" s="571"/>
      <c r="J93" s="571"/>
      <c r="K93" s="571"/>
      <c r="L93" s="571"/>
      <c r="M93" s="571"/>
      <c r="N93" s="571"/>
    </row>
    <row r="94" spans="5:14" s="567" customFormat="1">
      <c r="E94" s="571"/>
      <c r="F94" s="571"/>
      <c r="G94" s="571"/>
      <c r="H94" s="571"/>
      <c r="I94" s="571"/>
      <c r="J94" s="571"/>
      <c r="K94" s="571"/>
      <c r="L94" s="571"/>
      <c r="M94" s="571"/>
      <c r="N94" s="571"/>
    </row>
    <row r="95" spans="5:14" s="567" customFormat="1">
      <c r="E95" s="571"/>
      <c r="F95" s="571"/>
      <c r="G95" s="571"/>
      <c r="H95" s="571"/>
      <c r="I95" s="571"/>
      <c r="J95" s="571"/>
      <c r="K95" s="571"/>
      <c r="L95" s="571"/>
      <c r="M95" s="571"/>
      <c r="N95" s="571"/>
    </row>
    <row r="96" spans="5:14" s="567" customFormat="1">
      <c r="E96" s="571"/>
      <c r="F96" s="571"/>
      <c r="G96" s="571"/>
      <c r="H96" s="571"/>
      <c r="I96" s="571"/>
      <c r="J96" s="571"/>
      <c r="K96" s="571"/>
      <c r="L96" s="571"/>
      <c r="M96" s="571"/>
      <c r="N96" s="571"/>
    </row>
    <row r="97" spans="5:14" s="567" customFormat="1">
      <c r="E97" s="571"/>
      <c r="F97" s="571"/>
      <c r="G97" s="571"/>
      <c r="H97" s="571"/>
      <c r="I97" s="571"/>
      <c r="J97" s="571"/>
      <c r="K97" s="571"/>
      <c r="L97" s="571"/>
      <c r="M97" s="571"/>
      <c r="N97" s="571"/>
    </row>
    <row r="98" spans="5:14" s="567" customFormat="1">
      <c r="E98" s="571"/>
      <c r="F98" s="571"/>
      <c r="G98" s="571"/>
      <c r="H98" s="571"/>
      <c r="I98" s="571"/>
      <c r="J98" s="571"/>
      <c r="K98" s="571"/>
      <c r="L98" s="571"/>
      <c r="M98" s="571"/>
      <c r="N98" s="571"/>
    </row>
    <row r="99" spans="5:14" s="567" customFormat="1">
      <c r="E99" s="571"/>
      <c r="F99" s="571"/>
      <c r="G99" s="571"/>
      <c r="H99" s="571"/>
      <c r="I99" s="571"/>
      <c r="J99" s="571"/>
      <c r="K99" s="571"/>
      <c r="L99" s="571"/>
      <c r="M99" s="571"/>
      <c r="N99" s="571"/>
    </row>
    <row r="100" spans="5:14" s="567" customFormat="1">
      <c r="E100" s="571"/>
      <c r="F100" s="571"/>
      <c r="G100" s="571"/>
      <c r="H100" s="571"/>
      <c r="I100" s="571"/>
      <c r="J100" s="571"/>
      <c r="K100" s="571"/>
      <c r="L100" s="571"/>
      <c r="M100" s="571"/>
      <c r="N100" s="571"/>
    </row>
    <row r="101" spans="5:14" s="567" customFormat="1">
      <c r="E101" s="571"/>
      <c r="F101" s="571"/>
      <c r="G101" s="571"/>
      <c r="H101" s="571"/>
      <c r="I101" s="571"/>
      <c r="J101" s="571"/>
      <c r="K101" s="571"/>
      <c r="L101" s="571"/>
      <c r="M101" s="571"/>
      <c r="N101" s="571"/>
    </row>
    <row r="102" spans="5:14" s="567" customFormat="1">
      <c r="E102" s="571"/>
      <c r="F102" s="571"/>
      <c r="G102" s="571"/>
      <c r="H102" s="571"/>
      <c r="I102" s="571"/>
      <c r="J102" s="571"/>
      <c r="K102" s="571"/>
      <c r="L102" s="571"/>
      <c r="M102" s="571"/>
      <c r="N102" s="571"/>
    </row>
    <row r="103" spans="5:14" s="567" customFormat="1">
      <c r="E103" s="571"/>
      <c r="F103" s="571"/>
      <c r="G103" s="571"/>
      <c r="H103" s="571"/>
      <c r="I103" s="571"/>
      <c r="J103" s="571"/>
      <c r="K103" s="571"/>
      <c r="L103" s="571"/>
      <c r="M103" s="571"/>
      <c r="N103" s="571"/>
    </row>
    <row r="104" spans="5:14" s="567" customFormat="1">
      <c r="E104" s="571"/>
      <c r="F104" s="571"/>
      <c r="G104" s="571"/>
      <c r="H104" s="571"/>
      <c r="I104" s="571"/>
      <c r="J104" s="571"/>
      <c r="K104" s="571"/>
      <c r="L104" s="571"/>
      <c r="M104" s="571"/>
      <c r="N104" s="571"/>
    </row>
  </sheetData>
  <mergeCells count="8">
    <mergeCell ref="A1:I1"/>
    <mergeCell ref="A2:J2"/>
    <mergeCell ref="A3:J3"/>
    <mergeCell ref="B4:J4"/>
    <mergeCell ref="A5:A6"/>
    <mergeCell ref="B5:D5"/>
    <mergeCell ref="E5:G5"/>
    <mergeCell ref="H5:J5"/>
  </mergeCells>
  <pageMargins left="0.70866141732283472" right="0.70866141732283472" top="0.74803149606299213" bottom="0.74803149606299213"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heetViews>
  <sheetFormatPr baseColWidth="10" defaultRowHeight="12.75"/>
  <cols>
    <col min="1" max="1" width="9.140625" style="557" customWidth="1"/>
    <col min="2" max="2" width="49" style="557" customWidth="1"/>
    <col min="3" max="4" width="20.5703125" style="557" customWidth="1"/>
    <col min="5" max="5" width="11.7109375" style="557" bestFit="1" customWidth="1"/>
    <col min="6" max="256" width="11.42578125" style="557"/>
    <col min="257" max="257" width="9.140625" style="557" customWidth="1"/>
    <col min="258" max="258" width="49" style="557" customWidth="1"/>
    <col min="259" max="260" width="20.5703125" style="557" customWidth="1"/>
    <col min="261" max="512" width="11.42578125" style="557"/>
    <col min="513" max="513" width="9.140625" style="557" customWidth="1"/>
    <col min="514" max="514" width="49" style="557" customWidth="1"/>
    <col min="515" max="516" width="20.5703125" style="557" customWidth="1"/>
    <col min="517" max="768" width="11.42578125" style="557"/>
    <col min="769" max="769" width="9.140625" style="557" customWidth="1"/>
    <col min="770" max="770" width="49" style="557" customWidth="1"/>
    <col min="771" max="772" width="20.5703125" style="557" customWidth="1"/>
    <col min="773" max="1024" width="11.42578125" style="557"/>
    <col min="1025" max="1025" width="9.140625" style="557" customWidth="1"/>
    <col min="1026" max="1026" width="49" style="557" customWidth="1"/>
    <col min="1027" max="1028" width="20.5703125" style="557" customWidth="1"/>
    <col min="1029" max="1280" width="11.42578125" style="557"/>
    <col min="1281" max="1281" width="9.140625" style="557" customWidth="1"/>
    <col min="1282" max="1282" width="49" style="557" customWidth="1"/>
    <col min="1283" max="1284" width="20.5703125" style="557" customWidth="1"/>
    <col min="1285" max="1536" width="11.42578125" style="557"/>
    <col min="1537" max="1537" width="9.140625" style="557" customWidth="1"/>
    <col min="1538" max="1538" width="49" style="557" customWidth="1"/>
    <col min="1539" max="1540" width="20.5703125" style="557" customWidth="1"/>
    <col min="1541" max="1792" width="11.42578125" style="557"/>
    <col min="1793" max="1793" width="9.140625" style="557" customWidth="1"/>
    <col min="1794" max="1794" width="49" style="557" customWidth="1"/>
    <col min="1795" max="1796" width="20.5703125" style="557" customWidth="1"/>
    <col min="1797" max="2048" width="11.42578125" style="557"/>
    <col min="2049" max="2049" width="9.140625" style="557" customWidth="1"/>
    <col min="2050" max="2050" width="49" style="557" customWidth="1"/>
    <col min="2051" max="2052" width="20.5703125" style="557" customWidth="1"/>
    <col min="2053" max="2304" width="11.42578125" style="557"/>
    <col min="2305" max="2305" width="9.140625" style="557" customWidth="1"/>
    <col min="2306" max="2306" width="49" style="557" customWidth="1"/>
    <col min="2307" max="2308" width="20.5703125" style="557" customWidth="1"/>
    <col min="2309" max="2560" width="11.42578125" style="557"/>
    <col min="2561" max="2561" width="9.140625" style="557" customWidth="1"/>
    <col min="2562" max="2562" width="49" style="557" customWidth="1"/>
    <col min="2563" max="2564" width="20.5703125" style="557" customWidth="1"/>
    <col min="2565" max="2816" width="11.42578125" style="557"/>
    <col min="2817" max="2817" width="9.140625" style="557" customWidth="1"/>
    <col min="2818" max="2818" width="49" style="557" customWidth="1"/>
    <col min="2819" max="2820" width="20.5703125" style="557" customWidth="1"/>
    <col min="2821" max="3072" width="11.42578125" style="557"/>
    <col min="3073" max="3073" width="9.140625" style="557" customWidth="1"/>
    <col min="3074" max="3074" width="49" style="557" customWidth="1"/>
    <col min="3075" max="3076" width="20.5703125" style="557" customWidth="1"/>
    <col min="3077" max="3328" width="11.42578125" style="557"/>
    <col min="3329" max="3329" width="9.140625" style="557" customWidth="1"/>
    <col min="3330" max="3330" width="49" style="557" customWidth="1"/>
    <col min="3331" max="3332" width="20.5703125" style="557" customWidth="1"/>
    <col min="3333" max="3584" width="11.42578125" style="557"/>
    <col min="3585" max="3585" width="9.140625" style="557" customWidth="1"/>
    <col min="3586" max="3586" width="49" style="557" customWidth="1"/>
    <col min="3587" max="3588" width="20.5703125" style="557" customWidth="1"/>
    <col min="3589" max="3840" width="11.42578125" style="557"/>
    <col min="3841" max="3841" width="9.140625" style="557" customWidth="1"/>
    <col min="3842" max="3842" width="49" style="557" customWidth="1"/>
    <col min="3843" max="3844" width="20.5703125" style="557" customWidth="1"/>
    <col min="3845" max="4096" width="11.42578125" style="557"/>
    <col min="4097" max="4097" width="9.140625" style="557" customWidth="1"/>
    <col min="4098" max="4098" width="49" style="557" customWidth="1"/>
    <col min="4099" max="4100" width="20.5703125" style="557" customWidth="1"/>
    <col min="4101" max="4352" width="11.42578125" style="557"/>
    <col min="4353" max="4353" width="9.140625" style="557" customWidth="1"/>
    <col min="4354" max="4354" width="49" style="557" customWidth="1"/>
    <col min="4355" max="4356" width="20.5703125" style="557" customWidth="1"/>
    <col min="4357" max="4608" width="11.42578125" style="557"/>
    <col min="4609" max="4609" width="9.140625" style="557" customWidth="1"/>
    <col min="4610" max="4610" width="49" style="557" customWidth="1"/>
    <col min="4611" max="4612" width="20.5703125" style="557" customWidth="1"/>
    <col min="4613" max="4864" width="11.42578125" style="557"/>
    <col min="4865" max="4865" width="9.140625" style="557" customWidth="1"/>
    <col min="4866" max="4866" width="49" style="557" customWidth="1"/>
    <col min="4867" max="4868" width="20.5703125" style="557" customWidth="1"/>
    <col min="4869" max="5120" width="11.42578125" style="557"/>
    <col min="5121" max="5121" width="9.140625" style="557" customWidth="1"/>
    <col min="5122" max="5122" width="49" style="557" customWidth="1"/>
    <col min="5123" max="5124" width="20.5703125" style="557" customWidth="1"/>
    <col min="5125" max="5376" width="11.42578125" style="557"/>
    <col min="5377" max="5377" width="9.140625" style="557" customWidth="1"/>
    <col min="5378" max="5378" width="49" style="557" customWidth="1"/>
    <col min="5379" max="5380" width="20.5703125" style="557" customWidth="1"/>
    <col min="5381" max="5632" width="11.42578125" style="557"/>
    <col min="5633" max="5633" width="9.140625" style="557" customWidth="1"/>
    <col min="5634" max="5634" width="49" style="557" customWidth="1"/>
    <col min="5635" max="5636" width="20.5703125" style="557" customWidth="1"/>
    <col min="5637" max="5888" width="11.42578125" style="557"/>
    <col min="5889" max="5889" width="9.140625" style="557" customWidth="1"/>
    <col min="5890" max="5890" width="49" style="557" customWidth="1"/>
    <col min="5891" max="5892" width="20.5703125" style="557" customWidth="1"/>
    <col min="5893" max="6144" width="11.42578125" style="557"/>
    <col min="6145" max="6145" width="9.140625" style="557" customWidth="1"/>
    <col min="6146" max="6146" width="49" style="557" customWidth="1"/>
    <col min="6147" max="6148" width="20.5703125" style="557" customWidth="1"/>
    <col min="6149" max="6400" width="11.42578125" style="557"/>
    <col min="6401" max="6401" width="9.140625" style="557" customWidth="1"/>
    <col min="6402" max="6402" width="49" style="557" customWidth="1"/>
    <col min="6403" max="6404" width="20.5703125" style="557" customWidth="1"/>
    <col min="6405" max="6656" width="11.42578125" style="557"/>
    <col min="6657" max="6657" width="9.140625" style="557" customWidth="1"/>
    <col min="6658" max="6658" width="49" style="557" customWidth="1"/>
    <col min="6659" max="6660" width="20.5703125" style="557" customWidth="1"/>
    <col min="6661" max="6912" width="11.42578125" style="557"/>
    <col min="6913" max="6913" width="9.140625" style="557" customWidth="1"/>
    <col min="6914" max="6914" width="49" style="557" customWidth="1"/>
    <col min="6915" max="6916" width="20.5703125" style="557" customWidth="1"/>
    <col min="6917" max="7168" width="11.42578125" style="557"/>
    <col min="7169" max="7169" width="9.140625" style="557" customWidth="1"/>
    <col min="7170" max="7170" width="49" style="557" customWidth="1"/>
    <col min="7171" max="7172" width="20.5703125" style="557" customWidth="1"/>
    <col min="7173" max="7424" width="11.42578125" style="557"/>
    <col min="7425" max="7425" width="9.140625" style="557" customWidth="1"/>
    <col min="7426" max="7426" width="49" style="557" customWidth="1"/>
    <col min="7427" max="7428" width="20.5703125" style="557" customWidth="1"/>
    <col min="7429" max="7680" width="11.42578125" style="557"/>
    <col min="7681" max="7681" width="9.140625" style="557" customWidth="1"/>
    <col min="7682" max="7682" width="49" style="557" customWidth="1"/>
    <col min="7683" max="7684" width="20.5703125" style="557" customWidth="1"/>
    <col min="7685" max="7936" width="11.42578125" style="557"/>
    <col min="7937" max="7937" width="9.140625" style="557" customWidth="1"/>
    <col min="7938" max="7938" width="49" style="557" customWidth="1"/>
    <col min="7939" max="7940" width="20.5703125" style="557" customWidth="1"/>
    <col min="7941" max="8192" width="11.42578125" style="557"/>
    <col min="8193" max="8193" width="9.140625" style="557" customWidth="1"/>
    <col min="8194" max="8194" width="49" style="557" customWidth="1"/>
    <col min="8195" max="8196" width="20.5703125" style="557" customWidth="1"/>
    <col min="8197" max="8448" width="11.42578125" style="557"/>
    <col min="8449" max="8449" width="9.140625" style="557" customWidth="1"/>
    <col min="8450" max="8450" width="49" style="557" customWidth="1"/>
    <col min="8451" max="8452" width="20.5703125" style="557" customWidth="1"/>
    <col min="8453" max="8704" width="11.42578125" style="557"/>
    <col min="8705" max="8705" width="9.140625" style="557" customWidth="1"/>
    <col min="8706" max="8706" width="49" style="557" customWidth="1"/>
    <col min="8707" max="8708" width="20.5703125" style="557" customWidth="1"/>
    <col min="8709" max="8960" width="11.42578125" style="557"/>
    <col min="8961" max="8961" width="9.140625" style="557" customWidth="1"/>
    <col min="8962" max="8962" width="49" style="557" customWidth="1"/>
    <col min="8963" max="8964" width="20.5703125" style="557" customWidth="1"/>
    <col min="8965" max="9216" width="11.42578125" style="557"/>
    <col min="9217" max="9217" width="9.140625" style="557" customWidth="1"/>
    <col min="9218" max="9218" width="49" style="557" customWidth="1"/>
    <col min="9219" max="9220" width="20.5703125" style="557" customWidth="1"/>
    <col min="9221" max="9472" width="11.42578125" style="557"/>
    <col min="9473" max="9473" width="9.140625" style="557" customWidth="1"/>
    <col min="9474" max="9474" width="49" style="557" customWidth="1"/>
    <col min="9475" max="9476" width="20.5703125" style="557" customWidth="1"/>
    <col min="9477" max="9728" width="11.42578125" style="557"/>
    <col min="9729" max="9729" width="9.140625" style="557" customWidth="1"/>
    <col min="9730" max="9730" width="49" style="557" customWidth="1"/>
    <col min="9731" max="9732" width="20.5703125" style="557" customWidth="1"/>
    <col min="9733" max="9984" width="11.42578125" style="557"/>
    <col min="9985" max="9985" width="9.140625" style="557" customWidth="1"/>
    <col min="9986" max="9986" width="49" style="557" customWidth="1"/>
    <col min="9987" max="9988" width="20.5703125" style="557" customWidth="1"/>
    <col min="9989" max="10240" width="11.42578125" style="557"/>
    <col min="10241" max="10241" width="9.140625" style="557" customWidth="1"/>
    <col min="10242" max="10242" width="49" style="557" customWidth="1"/>
    <col min="10243" max="10244" width="20.5703125" style="557" customWidth="1"/>
    <col min="10245" max="10496" width="11.42578125" style="557"/>
    <col min="10497" max="10497" width="9.140625" style="557" customWidth="1"/>
    <col min="10498" max="10498" width="49" style="557" customWidth="1"/>
    <col min="10499" max="10500" width="20.5703125" style="557" customWidth="1"/>
    <col min="10501" max="10752" width="11.42578125" style="557"/>
    <col min="10753" max="10753" width="9.140625" style="557" customWidth="1"/>
    <col min="10754" max="10754" width="49" style="557" customWidth="1"/>
    <col min="10755" max="10756" width="20.5703125" style="557" customWidth="1"/>
    <col min="10757" max="11008" width="11.42578125" style="557"/>
    <col min="11009" max="11009" width="9.140625" style="557" customWidth="1"/>
    <col min="11010" max="11010" width="49" style="557" customWidth="1"/>
    <col min="11011" max="11012" width="20.5703125" style="557" customWidth="1"/>
    <col min="11013" max="11264" width="11.42578125" style="557"/>
    <col min="11265" max="11265" width="9.140625" style="557" customWidth="1"/>
    <col min="11266" max="11266" width="49" style="557" customWidth="1"/>
    <col min="11267" max="11268" width="20.5703125" style="557" customWidth="1"/>
    <col min="11269" max="11520" width="11.42578125" style="557"/>
    <col min="11521" max="11521" width="9.140625" style="557" customWidth="1"/>
    <col min="11522" max="11522" width="49" style="557" customWidth="1"/>
    <col min="11523" max="11524" width="20.5703125" style="557" customWidth="1"/>
    <col min="11525" max="11776" width="11.42578125" style="557"/>
    <col min="11777" max="11777" width="9.140625" style="557" customWidth="1"/>
    <col min="11778" max="11778" width="49" style="557" customWidth="1"/>
    <col min="11779" max="11780" width="20.5703125" style="557" customWidth="1"/>
    <col min="11781" max="12032" width="11.42578125" style="557"/>
    <col min="12033" max="12033" width="9.140625" style="557" customWidth="1"/>
    <col min="12034" max="12034" width="49" style="557" customWidth="1"/>
    <col min="12035" max="12036" width="20.5703125" style="557" customWidth="1"/>
    <col min="12037" max="12288" width="11.42578125" style="557"/>
    <col min="12289" max="12289" width="9.140625" style="557" customWidth="1"/>
    <col min="12290" max="12290" width="49" style="557" customWidth="1"/>
    <col min="12291" max="12292" width="20.5703125" style="557" customWidth="1"/>
    <col min="12293" max="12544" width="11.42578125" style="557"/>
    <col min="12545" max="12545" width="9.140625" style="557" customWidth="1"/>
    <col min="12546" max="12546" width="49" style="557" customWidth="1"/>
    <col min="12547" max="12548" width="20.5703125" style="557" customWidth="1"/>
    <col min="12549" max="12800" width="11.42578125" style="557"/>
    <col min="12801" max="12801" width="9.140625" style="557" customWidth="1"/>
    <col min="12802" max="12802" width="49" style="557" customWidth="1"/>
    <col min="12803" max="12804" width="20.5703125" style="557" customWidth="1"/>
    <col min="12805" max="13056" width="11.42578125" style="557"/>
    <col min="13057" max="13057" width="9.140625" style="557" customWidth="1"/>
    <col min="13058" max="13058" width="49" style="557" customWidth="1"/>
    <col min="13059" max="13060" width="20.5703125" style="557" customWidth="1"/>
    <col min="13061" max="13312" width="11.42578125" style="557"/>
    <col min="13313" max="13313" width="9.140625" style="557" customWidth="1"/>
    <col min="13314" max="13314" width="49" style="557" customWidth="1"/>
    <col min="13315" max="13316" width="20.5703125" style="557" customWidth="1"/>
    <col min="13317" max="13568" width="11.42578125" style="557"/>
    <col min="13569" max="13569" width="9.140625" style="557" customWidth="1"/>
    <col min="13570" max="13570" width="49" style="557" customWidth="1"/>
    <col min="13571" max="13572" width="20.5703125" style="557" customWidth="1"/>
    <col min="13573" max="13824" width="11.42578125" style="557"/>
    <col min="13825" max="13825" width="9.140625" style="557" customWidth="1"/>
    <col min="13826" max="13826" width="49" style="557" customWidth="1"/>
    <col min="13827" max="13828" width="20.5703125" style="557" customWidth="1"/>
    <col min="13829" max="14080" width="11.42578125" style="557"/>
    <col min="14081" max="14081" width="9.140625" style="557" customWidth="1"/>
    <col min="14082" max="14082" width="49" style="557" customWidth="1"/>
    <col min="14083" max="14084" width="20.5703125" style="557" customWidth="1"/>
    <col min="14085" max="14336" width="11.42578125" style="557"/>
    <col min="14337" max="14337" width="9.140625" style="557" customWidth="1"/>
    <col min="14338" max="14338" width="49" style="557" customWidth="1"/>
    <col min="14339" max="14340" width="20.5703125" style="557" customWidth="1"/>
    <col min="14341" max="14592" width="11.42578125" style="557"/>
    <col min="14593" max="14593" width="9.140625" style="557" customWidth="1"/>
    <col min="14594" max="14594" width="49" style="557" customWidth="1"/>
    <col min="14595" max="14596" width="20.5703125" style="557" customWidth="1"/>
    <col min="14597" max="14848" width="11.42578125" style="557"/>
    <col min="14849" max="14849" width="9.140625" style="557" customWidth="1"/>
    <col min="14850" max="14850" width="49" style="557" customWidth="1"/>
    <col min="14851" max="14852" width="20.5703125" style="557" customWidth="1"/>
    <col min="14853" max="15104" width="11.42578125" style="557"/>
    <col min="15105" max="15105" width="9.140625" style="557" customWidth="1"/>
    <col min="15106" max="15106" width="49" style="557" customWidth="1"/>
    <col min="15107" max="15108" width="20.5703125" style="557" customWidth="1"/>
    <col min="15109" max="15360" width="11.42578125" style="557"/>
    <col min="15361" max="15361" width="9.140625" style="557" customWidth="1"/>
    <col min="15362" max="15362" width="49" style="557" customWidth="1"/>
    <col min="15363" max="15364" width="20.5703125" style="557" customWidth="1"/>
    <col min="15365" max="15616" width="11.42578125" style="557"/>
    <col min="15617" max="15617" width="9.140625" style="557" customWidth="1"/>
    <col min="15618" max="15618" width="49" style="557" customWidth="1"/>
    <col min="15619" max="15620" width="20.5703125" style="557" customWidth="1"/>
    <col min="15621" max="15872" width="11.42578125" style="557"/>
    <col min="15873" max="15873" width="9.140625" style="557" customWidth="1"/>
    <col min="15874" max="15874" width="49" style="557" customWidth="1"/>
    <col min="15875" max="15876" width="20.5703125" style="557" customWidth="1"/>
    <col min="15877" max="16128" width="11.42578125" style="557"/>
    <col min="16129" max="16129" width="9.140625" style="557" customWidth="1"/>
    <col min="16130" max="16130" width="49" style="557" customWidth="1"/>
    <col min="16131" max="16132" width="20.5703125" style="557" customWidth="1"/>
    <col min="16133" max="16384" width="11.42578125" style="557"/>
  </cols>
  <sheetData>
    <row r="1" spans="1:7" ht="130.5" customHeight="1">
      <c r="A1" s="556"/>
      <c r="B1" s="556"/>
      <c r="C1" s="556"/>
      <c r="D1" s="556"/>
    </row>
    <row r="2" spans="1:7" s="559" customFormat="1">
      <c r="A2" s="910" t="s">
        <v>551</v>
      </c>
      <c r="B2" s="910"/>
      <c r="C2" s="910"/>
      <c r="D2" s="910"/>
      <c r="E2" s="558"/>
      <c r="F2" s="558"/>
      <c r="G2" s="558"/>
    </row>
    <row r="3" spans="1:7" s="559" customFormat="1">
      <c r="A3" s="910" t="s">
        <v>197</v>
      </c>
      <c r="B3" s="910"/>
      <c r="C3" s="910"/>
      <c r="D3" s="910"/>
      <c r="E3" s="558"/>
      <c r="F3" s="558"/>
      <c r="G3" s="558"/>
    </row>
    <row r="4" spans="1:7" s="559" customFormat="1" ht="15.75" customHeight="1" thickBot="1">
      <c r="A4" s="911" t="s">
        <v>568</v>
      </c>
      <c r="B4" s="911"/>
      <c r="C4" s="560" t="s">
        <v>246</v>
      </c>
      <c r="D4" s="560"/>
      <c r="E4" s="561"/>
      <c r="F4" s="561"/>
      <c r="G4" s="561"/>
    </row>
    <row r="5" spans="1:7" s="562" customFormat="1" ht="21" customHeight="1">
      <c r="A5" s="605"/>
      <c r="B5" s="606" t="s">
        <v>198</v>
      </c>
      <c r="C5" s="606" t="s">
        <v>199</v>
      </c>
      <c r="D5" s="606" t="s">
        <v>200</v>
      </c>
    </row>
    <row r="6" spans="1:7" s="559" customFormat="1">
      <c r="A6" s="607">
        <v>3000</v>
      </c>
      <c r="B6" s="608" t="s">
        <v>201</v>
      </c>
      <c r="C6" s="609">
        <f>SUM(C7+C33)</f>
        <v>35335128053</v>
      </c>
      <c r="D6" s="609">
        <f>SUM(D7+D33)</f>
        <v>39872461333</v>
      </c>
      <c r="E6" s="563" t="s">
        <v>246</v>
      </c>
    </row>
    <row r="7" spans="1:7" s="559" customFormat="1">
      <c r="A7" s="610">
        <v>3100</v>
      </c>
      <c r="B7" s="611" t="s">
        <v>202</v>
      </c>
      <c r="C7" s="612">
        <f>SUM(C8+C12)</f>
        <v>20533460100</v>
      </c>
      <c r="D7" s="612">
        <f>SUM(D8+D12)</f>
        <v>24024090712</v>
      </c>
    </row>
    <row r="8" spans="1:7" s="559" customFormat="1">
      <c r="A8" s="613">
        <v>3110</v>
      </c>
      <c r="B8" s="614" t="s">
        <v>203</v>
      </c>
      <c r="C8" s="615">
        <f>SUM(C9:C11)</f>
        <v>9133016496</v>
      </c>
      <c r="D8" s="615">
        <f>SUM(D9:D11)</f>
        <v>9048801721</v>
      </c>
    </row>
    <row r="9" spans="1:7" s="564" customFormat="1" ht="11.25">
      <c r="A9" s="616"/>
      <c r="B9" s="617" t="s">
        <v>204</v>
      </c>
      <c r="C9" s="618"/>
      <c r="D9" s="618"/>
    </row>
    <row r="10" spans="1:7" s="564" customFormat="1" ht="11.25">
      <c r="A10" s="616"/>
      <c r="B10" s="617" t="s">
        <v>205</v>
      </c>
      <c r="C10" s="618">
        <f>+'[3]INGRESOS A '!$D$9</f>
        <v>9133016496</v>
      </c>
      <c r="D10" s="618">
        <v>9048801721</v>
      </c>
    </row>
    <row r="11" spans="1:7" s="564" customFormat="1" ht="11.25">
      <c r="A11" s="616"/>
      <c r="B11" s="617" t="s">
        <v>206</v>
      </c>
      <c r="C11" s="618"/>
      <c r="D11" s="618"/>
    </row>
    <row r="12" spans="1:7" s="559" customFormat="1">
      <c r="A12" s="613">
        <v>3120</v>
      </c>
      <c r="B12" s="614" t="s">
        <v>207</v>
      </c>
      <c r="C12" s="615">
        <f>SUM(C13+C17+C18+C19+C20+C25)</f>
        <v>11400443604</v>
      </c>
      <c r="D12" s="615">
        <f>SUM(D13+D17+D18+D19+D20+D25)</f>
        <v>14975288991</v>
      </c>
    </row>
    <row r="13" spans="1:7" s="565" customFormat="1" ht="12">
      <c r="A13" s="616">
        <v>3121</v>
      </c>
      <c r="B13" s="619" t="s">
        <v>208</v>
      </c>
      <c r="C13" s="620">
        <f>SUM(C14:C16)</f>
        <v>907653683</v>
      </c>
      <c r="D13" s="620">
        <f>SUM(D14:D16)</f>
        <v>1195494047</v>
      </c>
    </row>
    <row r="14" spans="1:7" s="564" customFormat="1" ht="11.25">
      <c r="A14" s="616"/>
      <c r="B14" s="617" t="s">
        <v>208</v>
      </c>
      <c r="C14" s="618">
        <v>0</v>
      </c>
      <c r="D14" s="618">
        <v>0</v>
      </c>
    </row>
    <row r="15" spans="1:7" s="564" customFormat="1" ht="11.25">
      <c r="A15" s="616"/>
      <c r="B15" s="617" t="s">
        <v>209</v>
      </c>
      <c r="C15" s="618">
        <f>+'[3]INGRESOS A '!$D$17</f>
        <v>907653683</v>
      </c>
      <c r="D15" s="618">
        <v>1195494047</v>
      </c>
    </row>
    <row r="16" spans="1:7" s="564" customFormat="1" ht="11.25">
      <c r="A16" s="616"/>
      <c r="B16" s="617" t="s">
        <v>210</v>
      </c>
      <c r="C16" s="618">
        <v>0</v>
      </c>
      <c r="D16" s="618">
        <v>0</v>
      </c>
    </row>
    <row r="17" spans="1:4" s="565" customFormat="1" ht="12">
      <c r="A17" s="616">
        <v>3123</v>
      </c>
      <c r="B17" s="619" t="s">
        <v>211</v>
      </c>
      <c r="C17" s="620">
        <v>0</v>
      </c>
      <c r="D17" s="620">
        <v>0</v>
      </c>
    </row>
    <row r="18" spans="1:4" s="565" customFormat="1" ht="12">
      <c r="A18" s="616">
        <v>3124</v>
      </c>
      <c r="B18" s="619" t="s">
        <v>212</v>
      </c>
      <c r="C18" s="620">
        <v>0</v>
      </c>
      <c r="D18" s="620">
        <v>0</v>
      </c>
    </row>
    <row r="19" spans="1:4" s="565" customFormat="1" ht="12">
      <c r="A19" s="616">
        <v>3125</v>
      </c>
      <c r="B19" s="619" t="s">
        <v>213</v>
      </c>
      <c r="C19" s="620">
        <v>0</v>
      </c>
      <c r="D19" s="620">
        <v>0</v>
      </c>
    </row>
    <row r="20" spans="1:4" s="565" customFormat="1" ht="12">
      <c r="A20" s="616">
        <v>3126</v>
      </c>
      <c r="B20" s="619" t="s">
        <v>214</v>
      </c>
      <c r="C20" s="620">
        <f>SUM(C21:C24)</f>
        <v>7636056872</v>
      </c>
      <c r="D20" s="620">
        <f>SUM(D21:D24)</f>
        <v>10347358335</v>
      </c>
    </row>
    <row r="21" spans="1:4" s="564" customFormat="1" ht="11.25">
      <c r="A21" s="616"/>
      <c r="B21" s="617" t="s">
        <v>215</v>
      </c>
      <c r="C21" s="618">
        <f>+'[3]INGRESOS A '!$D$18</f>
        <v>7195334584</v>
      </c>
      <c r="D21" s="618">
        <v>9853737859</v>
      </c>
    </row>
    <row r="22" spans="1:4" s="564" customFormat="1" ht="11.25">
      <c r="A22" s="616"/>
      <c r="B22" s="617" t="s">
        <v>216</v>
      </c>
      <c r="C22" s="618"/>
      <c r="D22" s="618"/>
    </row>
    <row r="23" spans="1:4" s="564" customFormat="1" ht="11.25">
      <c r="A23" s="616"/>
      <c r="B23" s="617" t="s">
        <v>217</v>
      </c>
      <c r="C23" s="618">
        <v>440722288</v>
      </c>
      <c r="D23" s="618">
        <v>493620476</v>
      </c>
    </row>
    <row r="24" spans="1:4" s="564" customFormat="1" ht="11.25">
      <c r="A24" s="616"/>
      <c r="B24" s="617" t="s">
        <v>218</v>
      </c>
      <c r="C24" s="618">
        <v>0</v>
      </c>
      <c r="D24" s="618">
        <v>0</v>
      </c>
    </row>
    <row r="25" spans="1:4" s="565" customFormat="1" ht="12">
      <c r="A25" s="616">
        <v>3128</v>
      </c>
      <c r="B25" s="619" t="s">
        <v>219</v>
      </c>
      <c r="C25" s="620">
        <f>SUM(C26:C32)</f>
        <v>2856733049</v>
      </c>
      <c r="D25" s="620">
        <f>SUM(D26:D32)</f>
        <v>3432436609</v>
      </c>
    </row>
    <row r="26" spans="1:4" s="564" customFormat="1" ht="11.25">
      <c r="A26" s="616"/>
      <c r="B26" s="617" t="s">
        <v>220</v>
      </c>
      <c r="C26" s="618">
        <f>+'[3]INGRESOS A '!$D$14</f>
        <v>1070506847</v>
      </c>
      <c r="D26" s="618">
        <v>1370111793</v>
      </c>
    </row>
    <row r="27" spans="1:4" s="564" customFormat="1" ht="11.25">
      <c r="A27" s="616"/>
      <c r="B27" s="617" t="s">
        <v>221</v>
      </c>
      <c r="C27" s="618"/>
      <c r="D27" s="618"/>
    </row>
    <row r="28" spans="1:4" s="564" customFormat="1" ht="11.25">
      <c r="A28" s="616"/>
      <c r="B28" s="617" t="s">
        <v>222</v>
      </c>
      <c r="C28" s="618">
        <f>+'[3]INGRESOS A '!$F$13</f>
        <v>1324022079</v>
      </c>
      <c r="D28" s="618">
        <v>1434972675</v>
      </c>
    </row>
    <row r="29" spans="1:4" s="564" customFormat="1" ht="11.25">
      <c r="A29" s="616"/>
      <c r="B29" s="617" t="s">
        <v>223</v>
      </c>
      <c r="C29" s="618">
        <f>+'[3]INGRESOS A '!$D$16</f>
        <v>253747000</v>
      </c>
      <c r="D29" s="618">
        <v>401208601</v>
      </c>
    </row>
    <row r="30" spans="1:4" s="564" customFormat="1" ht="11.25">
      <c r="A30" s="616"/>
      <c r="B30" s="617" t="s">
        <v>224</v>
      </c>
      <c r="C30" s="618"/>
      <c r="D30" s="618"/>
    </row>
    <row r="31" spans="1:4" s="564" customFormat="1" ht="11.25">
      <c r="A31" s="616"/>
      <c r="B31" s="617" t="s">
        <v>225</v>
      </c>
      <c r="C31" s="618">
        <f>+'[3]INGRESOS A '!$D$15</f>
        <v>151754308</v>
      </c>
      <c r="D31" s="618">
        <v>36672147</v>
      </c>
    </row>
    <row r="32" spans="1:4" s="564" customFormat="1" ht="11.25">
      <c r="A32" s="616"/>
      <c r="B32" s="617" t="s">
        <v>219</v>
      </c>
      <c r="C32" s="618">
        <f>+'[3]INGRESOS A '!$D$19</f>
        <v>56702815</v>
      </c>
      <c r="D32" s="618">
        <v>189471393</v>
      </c>
    </row>
    <row r="33" spans="1:4" s="559" customFormat="1">
      <c r="A33" s="610">
        <v>3200</v>
      </c>
      <c r="B33" s="611" t="s">
        <v>226</v>
      </c>
      <c r="C33" s="612">
        <f>SUM(C34+C37+C40+C41+C47+C48)</f>
        <v>14801667953</v>
      </c>
      <c r="D33" s="612">
        <f>SUM(D34+D37+D40+D41+D47+D48)</f>
        <v>15848370621</v>
      </c>
    </row>
    <row r="34" spans="1:4" s="565" customFormat="1" ht="12">
      <c r="A34" s="616">
        <v>3210</v>
      </c>
      <c r="B34" s="621" t="s">
        <v>227</v>
      </c>
      <c r="C34" s="622">
        <v>0</v>
      </c>
      <c r="D34" s="622">
        <v>0</v>
      </c>
    </row>
    <row r="35" spans="1:4" s="564" customFormat="1" ht="11.25">
      <c r="A35" s="623">
        <v>3211</v>
      </c>
      <c r="B35" s="617" t="s">
        <v>228</v>
      </c>
      <c r="C35" s="618">
        <v>0</v>
      </c>
      <c r="D35" s="618">
        <v>0</v>
      </c>
    </row>
    <row r="36" spans="1:4" s="564" customFormat="1" ht="11.25">
      <c r="A36" s="623">
        <v>3212</v>
      </c>
      <c r="B36" s="617" t="s">
        <v>229</v>
      </c>
      <c r="C36" s="618">
        <v>0</v>
      </c>
      <c r="D36" s="618">
        <v>0</v>
      </c>
    </row>
    <row r="37" spans="1:4" s="565" customFormat="1" ht="12">
      <c r="A37" s="616">
        <v>3220</v>
      </c>
      <c r="B37" s="621" t="s">
        <v>230</v>
      </c>
      <c r="C37" s="622">
        <v>0</v>
      </c>
      <c r="D37" s="622">
        <v>0</v>
      </c>
    </row>
    <row r="38" spans="1:4" s="564" customFormat="1" ht="11.25">
      <c r="A38" s="623">
        <v>3221</v>
      </c>
      <c r="B38" s="617" t="s">
        <v>228</v>
      </c>
      <c r="C38" s="618">
        <v>0</v>
      </c>
      <c r="D38" s="618">
        <v>0</v>
      </c>
    </row>
    <row r="39" spans="1:4" s="564" customFormat="1" ht="11.25">
      <c r="A39" s="623">
        <v>3222</v>
      </c>
      <c r="B39" s="617" t="s">
        <v>229</v>
      </c>
      <c r="C39" s="618">
        <v>0</v>
      </c>
      <c r="D39" s="618">
        <v>0</v>
      </c>
    </row>
    <row r="40" spans="1:4" s="565" customFormat="1" ht="12">
      <c r="A40" s="616">
        <v>3230</v>
      </c>
      <c r="B40" s="621" t="s">
        <v>231</v>
      </c>
      <c r="C40" s="624">
        <f>+'[3]INGRESOS A '!$D$32</f>
        <v>720000000</v>
      </c>
      <c r="D40" s="624">
        <v>645309163</v>
      </c>
    </row>
    <row r="41" spans="1:4" s="565" customFormat="1" ht="12">
      <c r="A41" s="616">
        <v>3250</v>
      </c>
      <c r="B41" s="621" t="s">
        <v>232</v>
      </c>
      <c r="C41" s="624">
        <f>SUM(C42:C46)</f>
        <v>14081667953</v>
      </c>
      <c r="D41" s="624">
        <f>SUM(D42:D46)</f>
        <v>15203061458</v>
      </c>
    </row>
    <row r="42" spans="1:4" s="564" customFormat="1" ht="11.25">
      <c r="A42" s="623">
        <v>3251</v>
      </c>
      <c r="B42" s="617" t="s">
        <v>233</v>
      </c>
      <c r="C42" s="618">
        <v>0</v>
      </c>
      <c r="D42" s="618">
        <v>0</v>
      </c>
    </row>
    <row r="43" spans="1:4" s="564" customFormat="1" ht="11.25">
      <c r="A43" s="623">
        <v>3252</v>
      </c>
      <c r="B43" s="617" t="s">
        <v>234</v>
      </c>
      <c r="C43" s="618">
        <f>+'[3]INGRESOS A '!$E$30-1</f>
        <v>5210149324</v>
      </c>
      <c r="D43" s="618">
        <f>+C43</f>
        <v>5210149324</v>
      </c>
    </row>
    <row r="44" spans="1:4" s="564" customFormat="1" ht="11.25">
      <c r="A44" s="623">
        <v>3253</v>
      </c>
      <c r="B44" s="617" t="s">
        <v>235</v>
      </c>
      <c r="C44" s="618">
        <f>+'[3]INGRESOS A '!$E$31</f>
        <v>4828952214</v>
      </c>
      <c r="D44" s="618">
        <f>+C44</f>
        <v>4828952214</v>
      </c>
    </row>
    <row r="45" spans="1:4" s="564" customFormat="1" ht="11.25">
      <c r="A45" s="623">
        <v>3254</v>
      </c>
      <c r="B45" s="617" t="s">
        <v>236</v>
      </c>
      <c r="C45" s="618">
        <f>+'[3]INGRESOS A '!$D$33</f>
        <v>4042566415</v>
      </c>
      <c r="D45" s="618">
        <v>5163959920</v>
      </c>
    </row>
    <row r="46" spans="1:4" s="564" customFormat="1" ht="11.25">
      <c r="A46" s="623">
        <v>3255</v>
      </c>
      <c r="B46" s="617" t="s">
        <v>237</v>
      </c>
      <c r="C46" s="618">
        <v>0</v>
      </c>
      <c r="D46" s="618">
        <v>0</v>
      </c>
    </row>
    <row r="47" spans="1:4" s="565" customFormat="1" ht="12">
      <c r="A47" s="616">
        <v>3260</v>
      </c>
      <c r="B47" s="621" t="s">
        <v>238</v>
      </c>
      <c r="C47" s="622">
        <v>0</v>
      </c>
      <c r="D47" s="622">
        <v>0</v>
      </c>
    </row>
    <row r="48" spans="1:4" s="559" customFormat="1">
      <c r="A48" s="610">
        <v>3500</v>
      </c>
      <c r="B48" s="611" t="s">
        <v>239</v>
      </c>
      <c r="C48" s="612">
        <v>0</v>
      </c>
      <c r="D48" s="612">
        <v>0</v>
      </c>
    </row>
    <row r="49" spans="1:5" s="559" customFormat="1">
      <c r="A49" s="607">
        <v>4000</v>
      </c>
      <c r="B49" s="625" t="s">
        <v>240</v>
      </c>
      <c r="C49" s="609">
        <f>SUM(C50:C53)</f>
        <v>6709696189</v>
      </c>
      <c r="D49" s="609">
        <f>SUM(D50:D53)</f>
        <v>1898941563</v>
      </c>
    </row>
    <row r="50" spans="1:5" s="565" customFormat="1" ht="12">
      <c r="A50" s="626">
        <v>4100</v>
      </c>
      <c r="B50" s="627" t="s">
        <v>241</v>
      </c>
      <c r="C50" s="628">
        <f>3209696189-1074086189</f>
        <v>2135610000</v>
      </c>
      <c r="D50" s="628">
        <v>1898941563</v>
      </c>
    </row>
    <row r="51" spans="1:5" s="565" customFormat="1" ht="12">
      <c r="A51" s="626">
        <v>4200</v>
      </c>
      <c r="B51" s="627" t="s">
        <v>242</v>
      </c>
      <c r="C51" s="629">
        <v>0</v>
      </c>
      <c r="D51" s="629">
        <v>0</v>
      </c>
    </row>
    <row r="52" spans="1:5" s="565" customFormat="1" ht="12">
      <c r="A52" s="626">
        <v>4300</v>
      </c>
      <c r="B52" s="627" t="s">
        <v>243</v>
      </c>
      <c r="C52" s="629">
        <v>4574086189</v>
      </c>
      <c r="D52" s="629">
        <v>0</v>
      </c>
      <c r="E52" s="565" t="s">
        <v>552</v>
      </c>
    </row>
    <row r="53" spans="1:5" s="559" customFormat="1">
      <c r="A53" s="626">
        <v>41001</v>
      </c>
      <c r="B53" s="627" t="s">
        <v>244</v>
      </c>
      <c r="C53" s="629">
        <v>0</v>
      </c>
      <c r="D53" s="629">
        <v>0</v>
      </c>
    </row>
    <row r="54" spans="1:5" ht="23.25" customHeight="1">
      <c r="A54" s="607"/>
      <c r="B54" s="607" t="s">
        <v>245</v>
      </c>
      <c r="C54" s="609">
        <f>SUM(C6+C49)</f>
        <v>42044824242</v>
      </c>
      <c r="D54" s="609">
        <f>SUM(D6+D49)</f>
        <v>41771402896</v>
      </c>
    </row>
    <row r="55" spans="1:5" ht="7.5" customHeight="1"/>
    <row r="56" spans="1:5">
      <c r="C56" s="566" t="s">
        <v>246</v>
      </c>
    </row>
    <row r="57" spans="1:5">
      <c r="C57" s="566" t="s">
        <v>246</v>
      </c>
    </row>
  </sheetData>
  <mergeCells count="3">
    <mergeCell ref="A2:D2"/>
    <mergeCell ref="A3:D3"/>
    <mergeCell ref="A4:B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2" workbookViewId="0"/>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922"/>
      <c r="C1" s="922"/>
      <c r="D1" s="922"/>
      <c r="E1" s="922"/>
      <c r="F1" s="922"/>
      <c r="G1" s="922"/>
      <c r="H1" s="922"/>
      <c r="I1" s="922"/>
      <c r="J1" s="922"/>
      <c r="K1" s="922"/>
      <c r="L1" s="922"/>
      <c r="M1" s="923"/>
    </row>
    <row r="2" spans="1:14" ht="23.25">
      <c r="A2" s="21"/>
      <c r="B2" s="924"/>
      <c r="C2" s="924"/>
      <c r="D2" s="924"/>
      <c r="E2" s="924"/>
      <c r="F2" s="924"/>
      <c r="G2" s="924"/>
      <c r="H2" s="924"/>
      <c r="I2" s="924"/>
      <c r="J2" s="924"/>
      <c r="K2" s="924"/>
      <c r="L2" s="924"/>
      <c r="M2" s="925"/>
    </row>
    <row r="3" spans="1:14" ht="24" thickBot="1">
      <c r="A3" s="21"/>
      <c r="B3" s="924" t="s">
        <v>2</v>
      </c>
      <c r="C3" s="924"/>
      <c r="D3" s="924"/>
      <c r="E3" s="924"/>
      <c r="F3" s="924"/>
      <c r="G3" s="924"/>
      <c r="H3" s="924"/>
      <c r="I3" s="924"/>
      <c r="J3" s="924"/>
      <c r="K3" s="924"/>
      <c r="L3" s="924"/>
      <c r="M3" s="925"/>
    </row>
    <row r="4" spans="1:14" ht="24" hidden="1" thickBot="1">
      <c r="A4" s="21"/>
      <c r="B4" s="926" t="s">
        <v>160</v>
      </c>
      <c r="C4" s="926"/>
      <c r="D4" s="926"/>
      <c r="E4" s="926"/>
      <c r="F4" s="926"/>
      <c r="G4" s="926"/>
      <c r="H4" s="926"/>
      <c r="I4" s="926"/>
      <c r="J4" s="926"/>
      <c r="K4" s="926"/>
      <c r="L4" s="926"/>
      <c r="M4" s="927"/>
    </row>
    <row r="5" spans="1:14" ht="30.75" hidden="1" thickBot="1">
      <c r="A5" s="21"/>
      <c r="B5" s="17"/>
      <c r="C5" s="17"/>
      <c r="D5" s="17"/>
      <c r="E5" s="17"/>
      <c r="F5" s="17"/>
      <c r="G5" s="17"/>
      <c r="H5" s="17"/>
      <c r="I5" s="17"/>
      <c r="J5" s="17"/>
      <c r="K5" s="17"/>
      <c r="L5" s="17"/>
      <c r="M5" s="32"/>
    </row>
    <row r="6" spans="1:14" ht="20.25">
      <c r="A6" s="18"/>
      <c r="B6" s="19" t="s">
        <v>86</v>
      </c>
      <c r="C6" s="19" t="s">
        <v>87</v>
      </c>
      <c r="D6" s="19"/>
      <c r="E6" s="19" t="s">
        <v>86</v>
      </c>
      <c r="F6" s="19" t="s">
        <v>88</v>
      </c>
      <c r="G6" s="19" t="s">
        <v>89</v>
      </c>
      <c r="H6" s="19" t="s">
        <v>90</v>
      </c>
      <c r="I6" s="19" t="s">
        <v>91</v>
      </c>
      <c r="J6" s="19" t="s">
        <v>92</v>
      </c>
      <c r="K6" s="19" t="s">
        <v>93</v>
      </c>
      <c r="L6" s="19" t="s">
        <v>94</v>
      </c>
      <c r="M6" s="35" t="s">
        <v>163</v>
      </c>
    </row>
    <row r="7" spans="1:14" ht="126.75" customHeight="1">
      <c r="A7" s="52" t="s">
        <v>3</v>
      </c>
      <c r="B7" s="42" t="s">
        <v>4</v>
      </c>
      <c r="C7" s="22" t="s">
        <v>172</v>
      </c>
      <c r="D7" s="34" t="s">
        <v>173</v>
      </c>
      <c r="E7" s="34" t="s">
        <v>95</v>
      </c>
      <c r="F7" s="33" t="s">
        <v>152</v>
      </c>
      <c r="G7" s="33" t="s">
        <v>153</v>
      </c>
      <c r="H7" s="33" t="s">
        <v>154</v>
      </c>
      <c r="I7" s="33" t="s">
        <v>196</v>
      </c>
      <c r="J7" s="33" t="s">
        <v>155</v>
      </c>
      <c r="K7" s="33" t="s">
        <v>96</v>
      </c>
      <c r="L7" s="33" t="s">
        <v>97</v>
      </c>
      <c r="M7" s="26" t="s">
        <v>98</v>
      </c>
    </row>
    <row r="8" spans="1:14" ht="21.75" customHeight="1">
      <c r="A8" s="928" t="s">
        <v>17</v>
      </c>
      <c r="B8" s="929"/>
      <c r="C8" s="929"/>
      <c r="D8" s="929"/>
      <c r="E8" s="929"/>
      <c r="F8" s="929"/>
      <c r="G8" s="929"/>
      <c r="H8" s="929"/>
      <c r="I8" s="929"/>
      <c r="J8" s="929"/>
      <c r="K8" s="929"/>
      <c r="L8" s="929"/>
      <c r="M8" s="930"/>
    </row>
    <row r="9" spans="1:14" ht="129" customHeight="1">
      <c r="A9" s="39">
        <v>1</v>
      </c>
      <c r="B9" s="38" t="s">
        <v>99</v>
      </c>
      <c r="C9" s="40" t="s">
        <v>141</v>
      </c>
      <c r="D9" s="41">
        <v>106414</v>
      </c>
      <c r="E9" s="41" t="s">
        <v>125</v>
      </c>
      <c r="F9" s="41">
        <v>0</v>
      </c>
      <c r="G9" s="41">
        <v>56864</v>
      </c>
      <c r="H9" s="41">
        <v>50949</v>
      </c>
      <c r="I9" s="41">
        <v>3000</v>
      </c>
      <c r="J9" s="41">
        <f>AVERAGE(F9:I9)</f>
        <v>27703.25</v>
      </c>
      <c r="K9" s="42"/>
      <c r="L9" s="42"/>
      <c r="M9" s="43" t="s">
        <v>174</v>
      </c>
      <c r="N9" s="57"/>
    </row>
    <row r="10" spans="1:14" ht="51" customHeight="1">
      <c r="A10" s="39">
        <f>A9+1</f>
        <v>2</v>
      </c>
      <c r="B10" s="38" t="s">
        <v>100</v>
      </c>
      <c r="C10" s="40" t="s">
        <v>141</v>
      </c>
      <c r="D10" s="41">
        <f>+'[4]acumulado a dic 2014'!$C$8</f>
        <v>330314</v>
      </c>
      <c r="E10" s="41" t="s">
        <v>125</v>
      </c>
      <c r="F10" s="53">
        <v>330314</v>
      </c>
      <c r="G10" s="53">
        <v>330314</v>
      </c>
      <c r="H10" s="53">
        <v>330314</v>
      </c>
      <c r="I10" s="53">
        <v>300000</v>
      </c>
      <c r="J10" s="53">
        <f>AVERAGE(F10:I10)</f>
        <v>322735.5</v>
      </c>
      <c r="K10" s="44"/>
      <c r="L10" s="42"/>
      <c r="M10" s="45"/>
    </row>
    <row r="11" spans="1:14" ht="24.75" customHeight="1">
      <c r="A11" s="919" t="s">
        <v>142</v>
      </c>
      <c r="B11" s="920"/>
      <c r="C11" s="920"/>
      <c r="D11" s="920"/>
      <c r="E11" s="920"/>
      <c r="F11" s="920"/>
      <c r="G11" s="920"/>
      <c r="H11" s="920"/>
      <c r="I11" s="920"/>
      <c r="J11" s="920"/>
      <c r="K11" s="920"/>
      <c r="L11" s="920"/>
      <c r="M11" s="921"/>
    </row>
    <row r="12" spans="1:14" ht="106.5" customHeight="1">
      <c r="A12" s="39">
        <v>3</v>
      </c>
      <c r="B12" s="38" t="s">
        <v>101</v>
      </c>
      <c r="C12" s="40">
        <v>4.0999999999999996</v>
      </c>
      <c r="D12" s="41">
        <f>+'[4]acumulado a dic 2014'!$C$96</f>
        <v>100</v>
      </c>
      <c r="E12" s="24" t="s">
        <v>175</v>
      </c>
      <c r="F12" s="53">
        <v>0</v>
      </c>
      <c r="G12" s="53">
        <v>0</v>
      </c>
      <c r="H12" s="53">
        <v>20</v>
      </c>
      <c r="I12" s="53">
        <v>25</v>
      </c>
      <c r="J12" s="53">
        <f>AVERAGE(F12:I12)</f>
        <v>11.25</v>
      </c>
      <c r="K12" s="42"/>
      <c r="L12" s="42"/>
      <c r="M12" s="43" t="s">
        <v>194</v>
      </c>
    </row>
    <row r="13" spans="1:14" ht="35.25" customHeight="1">
      <c r="A13" s="39">
        <v>4</v>
      </c>
      <c r="B13" s="38" t="s">
        <v>144</v>
      </c>
      <c r="C13" s="40">
        <v>1.1000000000000001</v>
      </c>
      <c r="D13" s="41">
        <f>+'[4]acumulado a dic 2014'!$C$9</f>
        <v>120000</v>
      </c>
      <c r="E13" s="41" t="s">
        <v>125</v>
      </c>
      <c r="F13" s="53">
        <v>20000</v>
      </c>
      <c r="G13" s="53">
        <v>40000</v>
      </c>
      <c r="H13" s="53">
        <v>30000</v>
      </c>
      <c r="I13" s="53">
        <v>15000</v>
      </c>
      <c r="J13" s="53">
        <f>AVERAGE(F13:I13)</f>
        <v>26250</v>
      </c>
      <c r="K13" s="42"/>
      <c r="L13" s="42"/>
      <c r="M13" s="45"/>
    </row>
    <row r="14" spans="1:14" ht="54.75" customHeight="1">
      <c r="A14" s="39">
        <v>4</v>
      </c>
      <c r="B14" s="38" t="s">
        <v>145</v>
      </c>
      <c r="C14" s="40">
        <v>1.1000000000000001</v>
      </c>
      <c r="D14" s="41">
        <f>+'[4]acumulado a dic 2014'!$C$10</f>
        <v>4145</v>
      </c>
      <c r="E14" s="41" t="s">
        <v>125</v>
      </c>
      <c r="F14" s="53">
        <v>4145</v>
      </c>
      <c r="G14" s="53">
        <v>4145</v>
      </c>
      <c r="H14" s="53">
        <v>4145</v>
      </c>
      <c r="I14" s="53">
        <v>2000</v>
      </c>
      <c r="J14" s="53">
        <f>AVERAGE(F14:I14)</f>
        <v>3608.75</v>
      </c>
      <c r="K14" s="41"/>
      <c r="L14" s="42"/>
      <c r="M14" s="45"/>
    </row>
    <row r="15" spans="1:14" ht="60.75" customHeight="1">
      <c r="A15" s="39">
        <v>4</v>
      </c>
      <c r="B15" s="38" t="s">
        <v>146</v>
      </c>
      <c r="C15" s="40">
        <v>1.2</v>
      </c>
      <c r="D15" s="41">
        <f>+'[4]acumulado a dic 2014'!$C$20</f>
        <v>35356</v>
      </c>
      <c r="E15" s="41" t="s">
        <v>125</v>
      </c>
      <c r="F15" s="53">
        <v>35356</v>
      </c>
      <c r="G15" s="53">
        <v>35356</v>
      </c>
      <c r="H15" s="53">
        <v>35356</v>
      </c>
      <c r="I15" s="53">
        <v>35356</v>
      </c>
      <c r="J15" s="53">
        <f>AVERAGE(F15:I15)</f>
        <v>35356</v>
      </c>
      <c r="K15" s="42"/>
      <c r="L15" s="42"/>
      <c r="M15" s="43"/>
    </row>
    <row r="16" spans="1:14" ht="25.5" customHeight="1">
      <c r="A16" s="919" t="s">
        <v>18</v>
      </c>
      <c r="B16" s="920"/>
      <c r="C16" s="920"/>
      <c r="D16" s="920"/>
      <c r="E16" s="920"/>
      <c r="F16" s="920"/>
      <c r="G16" s="920"/>
      <c r="H16" s="920"/>
      <c r="I16" s="920"/>
      <c r="J16" s="920"/>
      <c r="K16" s="920"/>
      <c r="L16" s="920"/>
      <c r="M16" s="921"/>
    </row>
    <row r="17" spans="1:14" ht="54.75" customHeight="1">
      <c r="A17" s="39">
        <v>5</v>
      </c>
      <c r="B17" s="38" t="s">
        <v>102</v>
      </c>
      <c r="C17" s="40" t="s">
        <v>141</v>
      </c>
      <c r="D17" s="40">
        <v>3</v>
      </c>
      <c r="E17" s="41" t="s">
        <v>132</v>
      </c>
      <c r="F17" s="53">
        <v>3</v>
      </c>
      <c r="G17" s="53">
        <v>3</v>
      </c>
      <c r="H17" s="53">
        <v>3</v>
      </c>
      <c r="I17" s="53">
        <v>3</v>
      </c>
      <c r="J17" s="53">
        <f>AVERAGE(F17:I17)</f>
        <v>3</v>
      </c>
      <c r="K17" s="42"/>
      <c r="L17" s="42"/>
      <c r="M17" s="45"/>
    </row>
    <row r="18" spans="1:14" ht="25.5" customHeight="1">
      <c r="A18" s="919" t="s">
        <v>19</v>
      </c>
      <c r="B18" s="920"/>
      <c r="C18" s="920"/>
      <c r="D18" s="920"/>
      <c r="E18" s="920"/>
      <c r="F18" s="920"/>
      <c r="G18" s="920"/>
      <c r="H18" s="920"/>
      <c r="I18" s="920"/>
      <c r="J18" s="920"/>
      <c r="K18" s="920"/>
      <c r="L18" s="920"/>
      <c r="M18" s="921"/>
    </row>
    <row r="19" spans="1:14" ht="217.5" customHeight="1">
      <c r="A19" s="39">
        <v>6</v>
      </c>
      <c r="B19" s="38" t="s">
        <v>103</v>
      </c>
      <c r="C19" s="40" t="s">
        <v>156</v>
      </c>
      <c r="D19" s="41">
        <f>+'[4]acumulado a dic 2014'!$C$34</f>
        <v>2</v>
      </c>
      <c r="E19" s="41" t="s">
        <v>126</v>
      </c>
      <c r="F19" s="53">
        <v>0</v>
      </c>
      <c r="G19" s="53">
        <v>1</v>
      </c>
      <c r="H19" s="53">
        <v>1</v>
      </c>
      <c r="I19" s="53">
        <v>0</v>
      </c>
      <c r="J19" s="53">
        <f t="shared" ref="J19:J24" si="0">AVERAGE(F19:I19)</f>
        <v>0.5</v>
      </c>
      <c r="K19" s="42"/>
      <c r="L19" s="42"/>
      <c r="M19" s="43" t="s">
        <v>195</v>
      </c>
      <c r="N19" s="70"/>
    </row>
    <row r="20" spans="1:14" ht="51.75" customHeight="1">
      <c r="A20" s="39">
        <f>A19+1</f>
        <v>7</v>
      </c>
      <c r="B20" s="38" t="s">
        <v>104</v>
      </c>
      <c r="C20" s="40" t="s">
        <v>156</v>
      </c>
      <c r="D20" s="40">
        <v>6</v>
      </c>
      <c r="E20" s="41" t="s">
        <v>126</v>
      </c>
      <c r="F20" s="53">
        <v>6</v>
      </c>
      <c r="G20" s="53">
        <v>6</v>
      </c>
      <c r="H20" s="53">
        <v>6</v>
      </c>
      <c r="I20" s="53">
        <v>6</v>
      </c>
      <c r="J20" s="53">
        <f t="shared" si="0"/>
        <v>6</v>
      </c>
      <c r="K20" s="42"/>
      <c r="L20" s="42"/>
      <c r="M20" s="69"/>
    </row>
    <row r="21" spans="1:14" ht="51.75" customHeight="1">
      <c r="A21" s="39">
        <f>A20+1</f>
        <v>8</v>
      </c>
      <c r="B21" s="38" t="s">
        <v>157</v>
      </c>
      <c r="C21" s="40" t="s">
        <v>147</v>
      </c>
      <c r="D21" s="41">
        <f>+'[4]acumulado a dic 2014'!$C$38</f>
        <v>392</v>
      </c>
      <c r="E21" s="41" t="s">
        <v>125</v>
      </c>
      <c r="F21" s="53">
        <v>45</v>
      </c>
      <c r="G21" s="53">
        <v>160</v>
      </c>
      <c r="H21" s="53">
        <v>80</v>
      </c>
      <c r="I21" s="53">
        <v>0</v>
      </c>
      <c r="J21" s="53">
        <f t="shared" si="0"/>
        <v>71.25</v>
      </c>
      <c r="K21" s="42"/>
      <c r="L21" s="42"/>
      <c r="M21" s="45"/>
    </row>
    <row r="22" spans="1:14" ht="148.5" customHeight="1">
      <c r="A22" s="39"/>
      <c r="B22" s="38" t="s">
        <v>165</v>
      </c>
      <c r="C22" s="40" t="s">
        <v>147</v>
      </c>
      <c r="D22" s="41">
        <f>+'[4]acumulado a dic 2014'!$C$40</f>
        <v>2981</v>
      </c>
      <c r="E22" s="41" t="s">
        <v>125</v>
      </c>
      <c r="F22" s="53">
        <v>276</v>
      </c>
      <c r="G22" s="53">
        <v>1681</v>
      </c>
      <c r="H22" s="53">
        <v>6345</v>
      </c>
      <c r="I22" s="53">
        <v>0</v>
      </c>
      <c r="J22" s="53">
        <f t="shared" si="0"/>
        <v>2075.5</v>
      </c>
      <c r="K22" s="42"/>
      <c r="L22" s="42"/>
      <c r="M22" s="43" t="s">
        <v>176</v>
      </c>
    </row>
    <row r="23" spans="1:14" ht="59.25" customHeight="1">
      <c r="A23" s="39">
        <f>A21+1</f>
        <v>9</v>
      </c>
      <c r="B23" s="38" t="s">
        <v>158</v>
      </c>
      <c r="C23" s="40" t="s">
        <v>147</v>
      </c>
      <c r="D23" s="41">
        <f>+'[4]acumulado a dic 2014'!$C$39</f>
        <v>970</v>
      </c>
      <c r="E23" s="41" t="s">
        <v>125</v>
      </c>
      <c r="F23" s="53">
        <v>0</v>
      </c>
      <c r="G23" s="53">
        <v>147</v>
      </c>
      <c r="H23" s="53">
        <v>225</v>
      </c>
      <c r="I23" s="53">
        <v>0</v>
      </c>
      <c r="J23" s="53">
        <f t="shared" si="0"/>
        <v>93</v>
      </c>
      <c r="K23" s="42"/>
      <c r="L23" s="42"/>
      <c r="M23" s="45"/>
    </row>
    <row r="24" spans="1:14" ht="49.5" customHeight="1">
      <c r="A24" s="39"/>
      <c r="B24" s="38" t="s">
        <v>159</v>
      </c>
      <c r="C24" s="40" t="s">
        <v>147</v>
      </c>
      <c r="D24" s="41">
        <f>+'[4]acumulado a dic 2014'!$C$41</f>
        <v>3438</v>
      </c>
      <c r="E24" s="41" t="s">
        <v>125</v>
      </c>
      <c r="F24" s="53">
        <v>0</v>
      </c>
      <c r="G24" s="53">
        <v>1271</v>
      </c>
      <c r="H24" s="53">
        <v>829</v>
      </c>
      <c r="I24" s="53">
        <v>0</v>
      </c>
      <c r="J24" s="53">
        <f t="shared" si="0"/>
        <v>525</v>
      </c>
      <c r="K24" s="42"/>
      <c r="L24" s="42"/>
      <c r="M24" s="45"/>
    </row>
    <row r="25" spans="1:14" ht="200.25" customHeight="1">
      <c r="A25" s="39">
        <f>A23+1</f>
        <v>10</v>
      </c>
      <c r="B25" s="38" t="s">
        <v>105</v>
      </c>
      <c r="C25" s="40" t="s">
        <v>143</v>
      </c>
      <c r="D25" s="40"/>
      <c r="E25" s="41" t="s">
        <v>127</v>
      </c>
      <c r="F25" s="53">
        <v>0</v>
      </c>
      <c r="G25" s="53">
        <v>0</v>
      </c>
      <c r="H25" s="53">
        <v>0</v>
      </c>
      <c r="I25" s="53">
        <v>0</v>
      </c>
      <c r="J25" s="53">
        <f>+F25</f>
        <v>0</v>
      </c>
      <c r="K25" s="42"/>
      <c r="L25" s="42"/>
      <c r="M25" s="43" t="s">
        <v>177</v>
      </c>
    </row>
    <row r="26" spans="1:14" ht="21" customHeight="1">
      <c r="A26" s="919" t="s">
        <v>20</v>
      </c>
      <c r="B26" s="920"/>
      <c r="C26" s="920"/>
      <c r="D26" s="920"/>
      <c r="E26" s="920"/>
      <c r="F26" s="920"/>
      <c r="G26" s="920"/>
      <c r="H26" s="920"/>
      <c r="I26" s="920"/>
      <c r="J26" s="920"/>
      <c r="K26" s="920"/>
      <c r="L26" s="920"/>
      <c r="M26" s="921"/>
    </row>
    <row r="27" spans="1:14" ht="96.75" customHeight="1">
      <c r="A27" s="39">
        <v>11</v>
      </c>
      <c r="B27" s="38" t="s">
        <v>106</v>
      </c>
      <c r="C27" s="23" t="s">
        <v>143</v>
      </c>
      <c r="D27" s="23">
        <v>37</v>
      </c>
      <c r="E27" s="56" t="s">
        <v>166</v>
      </c>
      <c r="F27" s="54">
        <v>37</v>
      </c>
      <c r="G27" s="53">
        <v>37</v>
      </c>
      <c r="H27" s="53">
        <v>37</v>
      </c>
      <c r="I27" s="53">
        <v>0</v>
      </c>
      <c r="J27" s="53">
        <f>AVERAGE(F27:I27)</f>
        <v>27.75</v>
      </c>
      <c r="K27" s="42"/>
      <c r="L27" s="42"/>
      <c r="M27" s="43" t="s">
        <v>134</v>
      </c>
    </row>
    <row r="28" spans="1:14" ht="104.25" customHeight="1">
      <c r="A28" s="39">
        <v>12</v>
      </c>
      <c r="B28" s="38" t="s">
        <v>148</v>
      </c>
      <c r="C28" s="23" t="s">
        <v>149</v>
      </c>
      <c r="D28" s="24">
        <f>+'[4]acumulado a dic 2014'!$C$58</f>
        <v>13.75</v>
      </c>
      <c r="E28" s="24" t="s">
        <v>128</v>
      </c>
      <c r="F28" s="54">
        <v>13</v>
      </c>
      <c r="G28" s="53">
        <v>14</v>
      </c>
      <c r="H28" s="53">
        <v>14</v>
      </c>
      <c r="I28" s="53">
        <v>0</v>
      </c>
      <c r="J28" s="53">
        <f>AVERAGE(F28:I28)</f>
        <v>10.25</v>
      </c>
      <c r="K28" s="42"/>
      <c r="L28" s="42"/>
      <c r="M28" s="43" t="s">
        <v>171</v>
      </c>
    </row>
    <row r="29" spans="1:14" ht="102" customHeight="1">
      <c r="A29" s="39">
        <f>A27+1</f>
        <v>12</v>
      </c>
      <c r="B29" s="38" t="s">
        <v>133</v>
      </c>
      <c r="C29" s="23" t="s">
        <v>149</v>
      </c>
      <c r="D29" s="24">
        <f>+'[4]acumulado a dic 2014'!$C$59</f>
        <v>12.75</v>
      </c>
      <c r="E29" s="24" t="s">
        <v>128</v>
      </c>
      <c r="F29" s="54">
        <v>12</v>
      </c>
      <c r="G29" s="53">
        <v>13</v>
      </c>
      <c r="H29" s="53">
        <v>13</v>
      </c>
      <c r="I29" s="53">
        <v>0</v>
      </c>
      <c r="J29" s="53">
        <f>AVERAGE(F29:I29)</f>
        <v>9.5</v>
      </c>
      <c r="K29" s="42"/>
      <c r="L29" s="42"/>
      <c r="M29" s="43" t="s">
        <v>171</v>
      </c>
    </row>
    <row r="30" spans="1:14" ht="21.75" customHeight="1">
      <c r="A30" s="919" t="s">
        <v>23</v>
      </c>
      <c r="B30" s="920"/>
      <c r="C30" s="920"/>
      <c r="D30" s="920"/>
      <c r="E30" s="920"/>
      <c r="F30" s="920"/>
      <c r="G30" s="920"/>
      <c r="H30" s="920"/>
      <c r="I30" s="920"/>
      <c r="J30" s="920"/>
      <c r="K30" s="920"/>
      <c r="L30" s="920"/>
      <c r="M30" s="921"/>
    </row>
    <row r="31" spans="1:14" ht="111" customHeight="1">
      <c r="A31" s="39">
        <f>A29+1</f>
        <v>13</v>
      </c>
      <c r="B31" s="38" t="s">
        <v>107</v>
      </c>
      <c r="C31" s="23" t="s">
        <v>149</v>
      </c>
      <c r="D31" s="24">
        <f>+'[4]acumulado a dic 2014'!$C$60</f>
        <v>87</v>
      </c>
      <c r="E31" s="24" t="s">
        <v>128</v>
      </c>
      <c r="F31" s="54">
        <v>50</v>
      </c>
      <c r="G31" s="53">
        <v>71</v>
      </c>
      <c r="H31" s="53">
        <v>87</v>
      </c>
      <c r="I31" s="53">
        <v>45</v>
      </c>
      <c r="J31" s="53">
        <f>AVERAGE(F31:I31)</f>
        <v>63.25</v>
      </c>
      <c r="K31" s="46"/>
      <c r="L31" s="46"/>
      <c r="M31" s="43" t="s">
        <v>134</v>
      </c>
    </row>
    <row r="32" spans="1:14" ht="104.25" customHeight="1">
      <c r="A32" s="39">
        <f>A31+1</f>
        <v>14</v>
      </c>
      <c r="B32" s="38" t="s">
        <v>108</v>
      </c>
      <c r="C32" s="23" t="s">
        <v>143</v>
      </c>
      <c r="D32" s="24">
        <f>+'[4]acumulado a dic 2014'!$C$47</f>
        <v>68</v>
      </c>
      <c r="E32" s="24" t="s">
        <v>128</v>
      </c>
      <c r="F32" s="54">
        <v>44</v>
      </c>
      <c r="G32" s="53">
        <v>62</v>
      </c>
      <c r="H32" s="53">
        <v>62</v>
      </c>
      <c r="I32" s="53">
        <v>37</v>
      </c>
      <c r="J32" s="53">
        <f>AVERAGE(F32:I32)</f>
        <v>51.25</v>
      </c>
      <c r="K32" s="46"/>
      <c r="L32" s="46"/>
      <c r="M32" s="43" t="s">
        <v>134</v>
      </c>
    </row>
    <row r="33" spans="1:13" ht="21" customHeight="1">
      <c r="A33" s="919" t="s">
        <v>5</v>
      </c>
      <c r="B33" s="920"/>
      <c r="C33" s="920"/>
      <c r="D33" s="920"/>
      <c r="E33" s="920"/>
      <c r="F33" s="920"/>
      <c r="G33" s="920"/>
      <c r="H33" s="920"/>
      <c r="I33" s="920"/>
      <c r="J33" s="920"/>
      <c r="K33" s="920"/>
      <c r="L33" s="920"/>
      <c r="M33" s="921"/>
    </row>
    <row r="34" spans="1:13" ht="93" customHeight="1">
      <c r="A34" s="39">
        <f>A32+1</f>
        <v>15</v>
      </c>
      <c r="B34" s="38" t="s">
        <v>109</v>
      </c>
      <c r="C34" s="40" t="s">
        <v>151</v>
      </c>
      <c r="D34" s="41">
        <f>+'[4]acumulado a dic 2014'!$C$86</f>
        <v>1</v>
      </c>
      <c r="E34" s="40" t="s">
        <v>140</v>
      </c>
      <c r="F34" s="55">
        <v>1</v>
      </c>
      <c r="G34" s="53">
        <v>1</v>
      </c>
      <c r="H34" s="53">
        <v>1</v>
      </c>
      <c r="I34" s="53">
        <v>1</v>
      </c>
      <c r="J34" s="53">
        <f>AVERAGE(F34:I34)</f>
        <v>1</v>
      </c>
      <c r="K34" s="47"/>
      <c r="L34" s="47"/>
      <c r="M34" s="43"/>
    </row>
    <row r="35" spans="1:13" ht="108.75" customHeight="1">
      <c r="A35" s="39">
        <f>A34+1</f>
        <v>16</v>
      </c>
      <c r="B35" s="38" t="s">
        <v>110</v>
      </c>
      <c r="C35" s="40" t="s">
        <v>151</v>
      </c>
      <c r="D35" s="41">
        <f>+'[4]acumulado a dic 2014'!$C$82</f>
        <v>37</v>
      </c>
      <c r="E35" s="40" t="s">
        <v>130</v>
      </c>
      <c r="F35" s="55">
        <v>37</v>
      </c>
      <c r="G35" s="53">
        <v>37</v>
      </c>
      <c r="H35" s="53">
        <v>37</v>
      </c>
      <c r="I35" s="53">
        <v>37</v>
      </c>
      <c r="J35" s="53">
        <f>AVERAGE(F35:I35)</f>
        <v>37</v>
      </c>
      <c r="K35" s="47"/>
      <c r="L35" s="47"/>
      <c r="M35" s="43" t="s">
        <v>134</v>
      </c>
    </row>
    <row r="36" spans="1:13" ht="117" customHeight="1">
      <c r="A36" s="39">
        <f>A35+1</f>
        <v>17</v>
      </c>
      <c r="B36" s="38" t="s">
        <v>111</v>
      </c>
      <c r="C36" s="40" t="s">
        <v>151</v>
      </c>
      <c r="D36" s="41">
        <v>63</v>
      </c>
      <c r="E36" s="40" t="s">
        <v>128</v>
      </c>
      <c r="F36" s="55">
        <v>64</v>
      </c>
      <c r="G36" s="53">
        <v>72</v>
      </c>
      <c r="H36" s="53">
        <v>73</v>
      </c>
      <c r="I36" s="53">
        <v>0</v>
      </c>
      <c r="J36" s="53">
        <f>AVERAGE(F36:I36)</f>
        <v>52.25</v>
      </c>
      <c r="K36" s="47"/>
      <c r="L36" s="47"/>
      <c r="M36" s="43" t="s">
        <v>134</v>
      </c>
    </row>
    <row r="37" spans="1:13" ht="53.25" customHeight="1">
      <c r="A37" s="39">
        <f>A36+1</f>
        <v>18</v>
      </c>
      <c r="B37" s="38" t="s">
        <v>112</v>
      </c>
      <c r="C37" s="40" t="s">
        <v>151</v>
      </c>
      <c r="D37" s="41">
        <v>73</v>
      </c>
      <c r="E37" s="40" t="s">
        <v>1</v>
      </c>
      <c r="F37" s="55">
        <v>94</v>
      </c>
      <c r="G37" s="53">
        <v>120</v>
      </c>
      <c r="H37" s="53">
        <v>70</v>
      </c>
      <c r="I37" s="53">
        <v>20</v>
      </c>
      <c r="J37" s="53">
        <f>AVERAGE(F37:I37)</f>
        <v>76</v>
      </c>
      <c r="K37" s="47"/>
      <c r="L37" s="47"/>
      <c r="M37" s="48"/>
    </row>
    <row r="38" spans="1:13" ht="23.25" customHeight="1">
      <c r="A38" s="919" t="s">
        <v>21</v>
      </c>
      <c r="B38" s="920"/>
      <c r="C38" s="920"/>
      <c r="D38" s="920"/>
      <c r="E38" s="920"/>
      <c r="F38" s="920"/>
      <c r="G38" s="920"/>
      <c r="H38" s="920"/>
      <c r="I38" s="920"/>
      <c r="J38" s="920"/>
      <c r="K38" s="920"/>
      <c r="L38" s="920"/>
      <c r="M38" s="921"/>
    </row>
    <row r="39" spans="1:13" ht="72.75" customHeight="1">
      <c r="A39" s="39">
        <f>A37+1</f>
        <v>19</v>
      </c>
      <c r="B39" s="38" t="s">
        <v>113</v>
      </c>
      <c r="C39" s="40" t="s">
        <v>136</v>
      </c>
      <c r="D39" s="41">
        <f>+'[4]acumulado a dic 2014'!$C$25</f>
        <v>7</v>
      </c>
      <c r="E39" s="40" t="s">
        <v>135</v>
      </c>
      <c r="F39" s="55">
        <v>1</v>
      </c>
      <c r="G39" s="53">
        <v>2</v>
      </c>
      <c r="H39" s="53">
        <v>2</v>
      </c>
      <c r="I39" s="53">
        <v>2</v>
      </c>
      <c r="J39" s="53">
        <f>+F39+G39+H39+I39</f>
        <v>7</v>
      </c>
      <c r="K39" s="47"/>
      <c r="L39" s="47"/>
      <c r="M39" s="48"/>
    </row>
    <row r="40" spans="1:13" ht="55.5" customHeight="1">
      <c r="A40" s="39">
        <f>A39+1</f>
        <v>20</v>
      </c>
      <c r="B40" s="38" t="s">
        <v>114</v>
      </c>
      <c r="C40" s="40" t="s">
        <v>137</v>
      </c>
      <c r="D40" s="41">
        <f>+'[4]acumulado a dic 2014'!$C$136</f>
        <v>1.75</v>
      </c>
      <c r="E40" s="40" t="s">
        <v>129</v>
      </c>
      <c r="F40" s="55">
        <v>1</v>
      </c>
      <c r="G40" s="53">
        <v>2</v>
      </c>
      <c r="H40" s="53">
        <v>2</v>
      </c>
      <c r="I40" s="53">
        <v>2</v>
      </c>
      <c r="J40" s="53">
        <f>AVERAGE(F40:I40)</f>
        <v>1.75</v>
      </c>
      <c r="K40" s="47"/>
      <c r="L40" s="47"/>
      <c r="M40" s="48"/>
    </row>
    <row r="41" spans="1:13" ht="105.75" customHeight="1">
      <c r="A41" s="39">
        <f>A40+1</f>
        <v>21</v>
      </c>
      <c r="B41" s="38" t="s">
        <v>115</v>
      </c>
      <c r="C41" s="40" t="s">
        <v>137</v>
      </c>
      <c r="D41" s="41">
        <v>55</v>
      </c>
      <c r="E41" s="40" t="s">
        <v>128</v>
      </c>
      <c r="F41" s="55">
        <v>20</v>
      </c>
      <c r="G41" s="53">
        <v>40</v>
      </c>
      <c r="H41" s="53">
        <v>60</v>
      </c>
      <c r="I41" s="53">
        <v>30</v>
      </c>
      <c r="J41" s="53">
        <f>AVERAGE(F41:I41)</f>
        <v>37.5</v>
      </c>
      <c r="K41" s="47"/>
      <c r="L41" s="47"/>
      <c r="M41" s="43" t="s">
        <v>134</v>
      </c>
    </row>
    <row r="42" spans="1:13" ht="21.75" customHeight="1">
      <c r="A42" s="919" t="s">
        <v>22</v>
      </c>
      <c r="B42" s="920"/>
      <c r="C42" s="920"/>
      <c r="D42" s="920"/>
      <c r="E42" s="920"/>
      <c r="F42" s="920"/>
      <c r="G42" s="920"/>
      <c r="H42" s="920"/>
      <c r="I42" s="920"/>
      <c r="J42" s="920"/>
      <c r="K42" s="920"/>
      <c r="L42" s="920"/>
      <c r="M42" s="921"/>
    </row>
    <row r="43" spans="1:13" ht="54.75" customHeight="1">
      <c r="A43" s="39">
        <f>A41+1</f>
        <v>22</v>
      </c>
      <c r="B43" s="38" t="s">
        <v>116</v>
      </c>
      <c r="C43" s="40" t="s">
        <v>150</v>
      </c>
      <c r="D43" s="41">
        <f>+'[4]acumulado a dic 2014'!$C$66</f>
        <v>37</v>
      </c>
      <c r="E43" s="40" t="s">
        <v>130</v>
      </c>
      <c r="F43" s="55">
        <v>37</v>
      </c>
      <c r="G43" s="53">
        <v>37</v>
      </c>
      <c r="H43" s="53">
        <v>37</v>
      </c>
      <c r="I43" s="53">
        <v>17</v>
      </c>
      <c r="J43" s="53">
        <f>AVERAGE(F43:I43)</f>
        <v>32</v>
      </c>
      <c r="K43" s="47"/>
      <c r="L43" s="47"/>
      <c r="M43" s="48"/>
    </row>
    <row r="44" spans="1:13" ht="69.75" customHeight="1">
      <c r="A44" s="39">
        <f>A43+1</f>
        <v>23</v>
      </c>
      <c r="B44" s="38" t="s">
        <v>117</v>
      </c>
      <c r="C44" s="40" t="s">
        <v>138</v>
      </c>
      <c r="D44" s="41">
        <f>+'[4]acumulado a dic 2014'!$C$74</f>
        <v>37</v>
      </c>
      <c r="E44" s="40" t="s">
        <v>130</v>
      </c>
      <c r="F44" s="55">
        <v>37</v>
      </c>
      <c r="G44" s="53">
        <v>37</v>
      </c>
      <c r="H44" s="53">
        <v>37</v>
      </c>
      <c r="I44" s="53">
        <v>16</v>
      </c>
      <c r="J44" s="53">
        <f>AVERAGE(F44:I44)</f>
        <v>31.75</v>
      </c>
      <c r="K44" s="47"/>
      <c r="L44" s="47"/>
      <c r="M44" s="48"/>
    </row>
    <row r="45" spans="1:13" ht="21.75" customHeight="1">
      <c r="A45" s="919">
        <v>38</v>
      </c>
      <c r="B45" s="920"/>
      <c r="C45" s="920"/>
      <c r="D45" s="920"/>
      <c r="E45" s="920"/>
      <c r="F45" s="920"/>
      <c r="G45" s="920"/>
      <c r="H45" s="920"/>
      <c r="I45" s="920"/>
      <c r="J45" s="920"/>
      <c r="K45" s="920"/>
      <c r="L45" s="920"/>
      <c r="M45" s="921"/>
    </row>
    <row r="46" spans="1:13" ht="108.75" customHeight="1">
      <c r="A46" s="39">
        <f>A44+1</f>
        <v>24</v>
      </c>
      <c r="B46" s="38" t="s">
        <v>118</v>
      </c>
      <c r="C46" s="40" t="s">
        <v>151</v>
      </c>
      <c r="D46" s="41">
        <v>38</v>
      </c>
      <c r="E46" s="40" t="s">
        <v>128</v>
      </c>
      <c r="F46" s="55">
        <v>100</v>
      </c>
      <c r="G46" s="53">
        <v>100</v>
      </c>
      <c r="H46" s="53">
        <v>75</v>
      </c>
      <c r="I46" s="53">
        <v>32</v>
      </c>
      <c r="J46" s="53">
        <f>AVERAGE(F46:I46)</f>
        <v>76.75</v>
      </c>
      <c r="K46" s="47"/>
      <c r="L46" s="47"/>
      <c r="M46" s="43" t="s">
        <v>134</v>
      </c>
    </row>
    <row r="47" spans="1:13" ht="69" customHeight="1" thickBot="1">
      <c r="A47" s="49">
        <f>A46+1</f>
        <v>25</v>
      </c>
      <c r="B47" s="50" t="s">
        <v>119</v>
      </c>
      <c r="C47" s="51" t="s">
        <v>139</v>
      </c>
      <c r="D47" s="41">
        <v>60</v>
      </c>
      <c r="E47" s="40" t="s">
        <v>131</v>
      </c>
      <c r="F47" s="55">
        <v>35</v>
      </c>
      <c r="G47" s="53">
        <v>60</v>
      </c>
      <c r="H47" s="53">
        <v>60</v>
      </c>
      <c r="I47" s="53">
        <v>60</v>
      </c>
      <c r="J47" s="53">
        <f>AVERAGE(F47:I47)</f>
        <v>53.75</v>
      </c>
      <c r="K47" s="47"/>
      <c r="L47" s="47"/>
      <c r="M47" s="47"/>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B1:M1"/>
    <mergeCell ref="B2:M2"/>
    <mergeCell ref="B3:M3"/>
    <mergeCell ref="B4:M4"/>
    <mergeCell ref="A8:M8"/>
    <mergeCell ref="A42:M42"/>
    <mergeCell ref="A45:M45"/>
    <mergeCell ref="A16:M16"/>
    <mergeCell ref="A18:M18"/>
    <mergeCell ref="A26:M26"/>
    <mergeCell ref="A30:M30"/>
    <mergeCell ref="A33:M33"/>
    <mergeCell ref="A38:M38"/>
  </mergeCells>
  <pageMargins left="0.19685039370078741" right="0.19685039370078741" top="0.39370078740157483" bottom="0.19685039370078741" header="0" footer="0"/>
  <pageSetup scale="5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heetViews>
  <sheetFormatPr baseColWidth="10" defaultRowHeight="12.75"/>
  <cols>
    <col min="1" max="1" width="41.42578125" style="77" customWidth="1"/>
    <col min="2" max="2" width="21.140625" style="77" customWidth="1"/>
    <col min="3" max="3" width="17.85546875" style="77" customWidth="1"/>
    <col min="4" max="4" width="16.7109375" style="77" customWidth="1"/>
    <col min="5" max="6" width="18.5703125" style="77" customWidth="1"/>
    <col min="7" max="7" width="18.140625" style="77" customWidth="1"/>
    <col min="8" max="8" width="16.85546875" style="77" bestFit="1" customWidth="1"/>
    <col min="9" max="16384" width="11.42578125" style="77"/>
  </cols>
  <sheetData>
    <row r="1" spans="1:8" ht="16.5" customHeight="1">
      <c r="A1" s="76"/>
      <c r="B1" s="76"/>
      <c r="C1" s="76"/>
      <c r="D1" s="76"/>
      <c r="E1" s="76"/>
      <c r="F1" s="76"/>
      <c r="G1" s="76"/>
    </row>
    <row r="2" spans="1:8">
      <c r="A2" s="76"/>
      <c r="B2" s="76"/>
      <c r="C2" s="76"/>
      <c r="D2" s="76"/>
      <c r="E2" s="76"/>
      <c r="F2" s="76"/>
      <c r="G2" s="76"/>
    </row>
    <row r="3" spans="1:8">
      <c r="A3" s="78" t="s">
        <v>247</v>
      </c>
      <c r="B3" s="78"/>
      <c r="C3" s="78"/>
      <c r="D3" s="78"/>
      <c r="E3" s="78"/>
      <c r="F3" s="78"/>
      <c r="G3" s="78"/>
    </row>
    <row r="4" spans="1:8">
      <c r="A4" s="79" t="s">
        <v>248</v>
      </c>
      <c r="B4" s="79"/>
      <c r="C4" s="79"/>
      <c r="D4" s="79"/>
      <c r="E4" s="79"/>
      <c r="F4" s="79"/>
      <c r="G4" s="79"/>
    </row>
    <row r="5" spans="1:8">
      <c r="A5" s="79" t="s">
        <v>249</v>
      </c>
      <c r="B5" s="79"/>
      <c r="C5" s="79"/>
      <c r="D5" s="79"/>
      <c r="E5" s="79"/>
      <c r="F5" s="79"/>
      <c r="G5" s="79"/>
    </row>
    <row r="6" spans="1:8" ht="17.25" customHeight="1" thickBot="1">
      <c r="A6" s="80" t="s">
        <v>250</v>
      </c>
      <c r="B6" s="81"/>
      <c r="C6" s="81"/>
      <c r="D6" s="81"/>
      <c r="E6" s="81"/>
      <c r="F6" s="81"/>
      <c r="G6" s="81"/>
    </row>
    <row r="7" spans="1:8" ht="33" customHeight="1">
      <c r="A7" s="931" t="s">
        <v>251</v>
      </c>
      <c r="B7" s="933" t="s">
        <v>252</v>
      </c>
      <c r="C7" s="934"/>
      <c r="D7" s="933" t="s">
        <v>253</v>
      </c>
      <c r="E7" s="934"/>
      <c r="F7" s="933" t="s">
        <v>254</v>
      </c>
      <c r="G7" s="935"/>
    </row>
    <row r="8" spans="1:8" ht="21.75" customHeight="1">
      <c r="A8" s="932"/>
      <c r="B8" s="82" t="s">
        <v>255</v>
      </c>
      <c r="C8" s="82" t="s">
        <v>256</v>
      </c>
      <c r="D8" s="82" t="s">
        <v>255</v>
      </c>
      <c r="E8" s="82" t="s">
        <v>256</v>
      </c>
      <c r="F8" s="82" t="s">
        <v>255</v>
      </c>
      <c r="G8" s="83" t="s">
        <v>256</v>
      </c>
    </row>
    <row r="9" spans="1:8">
      <c r="A9" s="84" t="s">
        <v>257</v>
      </c>
      <c r="B9" s="85">
        <v>2005872393</v>
      </c>
      <c r="C9" s="85">
        <v>844359454</v>
      </c>
      <c r="D9" s="85">
        <v>1708062000</v>
      </c>
      <c r="E9" s="85">
        <v>957550419</v>
      </c>
      <c r="F9" s="85">
        <f>+B9+D9</f>
        <v>3713934393</v>
      </c>
      <c r="G9" s="86">
        <f>+C9+E9</f>
        <v>1801909873</v>
      </c>
      <c r="H9" s="87" t="s">
        <v>246</v>
      </c>
    </row>
    <row r="10" spans="1:8">
      <c r="A10" s="84" t="s">
        <v>258</v>
      </c>
      <c r="B10" s="85">
        <f t="shared" ref="B10:G10" si="0">+B11+B12+B13</f>
        <v>1757668695</v>
      </c>
      <c r="C10" s="85">
        <f t="shared" si="0"/>
        <v>656590451</v>
      </c>
      <c r="D10" s="85">
        <f t="shared" si="0"/>
        <v>22374000</v>
      </c>
      <c r="E10" s="85">
        <f t="shared" si="0"/>
        <v>21140000</v>
      </c>
      <c r="F10" s="85">
        <f t="shared" si="0"/>
        <v>1780042695</v>
      </c>
      <c r="G10" s="86">
        <f t="shared" si="0"/>
        <v>677730451</v>
      </c>
    </row>
    <row r="11" spans="1:8">
      <c r="A11" s="88" t="s">
        <v>259</v>
      </c>
      <c r="B11" s="89">
        <v>535384974</v>
      </c>
      <c r="C11" s="89">
        <v>192326440</v>
      </c>
      <c r="D11" s="89">
        <v>0</v>
      </c>
      <c r="E11" s="89"/>
      <c r="F11" s="89">
        <f t="shared" ref="F11:G13" si="1">+B11+D11</f>
        <v>535384974</v>
      </c>
      <c r="G11" s="90">
        <f t="shared" si="1"/>
        <v>192326440</v>
      </c>
    </row>
    <row r="12" spans="1:8">
      <c r="A12" s="88" t="s">
        <v>260</v>
      </c>
      <c r="B12" s="89">
        <v>1175742721</v>
      </c>
      <c r="C12" s="89">
        <v>424028731</v>
      </c>
      <c r="D12" s="89">
        <v>21140000</v>
      </c>
      <c r="E12" s="89">
        <v>21140000</v>
      </c>
      <c r="F12" s="89">
        <f t="shared" si="1"/>
        <v>1196882721</v>
      </c>
      <c r="G12" s="90">
        <f t="shared" si="1"/>
        <v>445168731</v>
      </c>
    </row>
    <row r="13" spans="1:8">
      <c r="A13" s="88" t="s">
        <v>261</v>
      </c>
      <c r="B13" s="89">
        <v>46541000</v>
      </c>
      <c r="C13" s="89">
        <v>40235280</v>
      </c>
      <c r="D13" s="89">
        <v>1234000</v>
      </c>
      <c r="E13" s="89">
        <v>0</v>
      </c>
      <c r="F13" s="89">
        <f t="shared" si="1"/>
        <v>47775000</v>
      </c>
      <c r="G13" s="90">
        <f t="shared" si="1"/>
        <v>40235280</v>
      </c>
    </row>
    <row r="14" spans="1:8">
      <c r="A14" s="84" t="s">
        <v>262</v>
      </c>
      <c r="B14" s="85">
        <f t="shared" ref="B14:G14" si="2">+B15</f>
        <v>1333533655</v>
      </c>
      <c r="C14" s="85">
        <f t="shared" si="2"/>
        <v>484265261</v>
      </c>
      <c r="D14" s="85">
        <f t="shared" si="2"/>
        <v>9866000</v>
      </c>
      <c r="E14" s="85">
        <f t="shared" si="2"/>
        <v>0</v>
      </c>
      <c r="F14" s="85">
        <f t="shared" si="2"/>
        <v>1343399655</v>
      </c>
      <c r="G14" s="86">
        <f t="shared" si="2"/>
        <v>484265261</v>
      </c>
    </row>
    <row r="15" spans="1:8">
      <c r="A15" s="84" t="s">
        <v>263</v>
      </c>
      <c r="B15" s="85">
        <f t="shared" ref="B15:G15" si="3">+B16+B17+B18</f>
        <v>1333533655</v>
      </c>
      <c r="C15" s="85">
        <f t="shared" si="3"/>
        <v>484265261</v>
      </c>
      <c r="D15" s="85">
        <f t="shared" si="3"/>
        <v>9866000</v>
      </c>
      <c r="E15" s="85">
        <f t="shared" si="3"/>
        <v>0</v>
      </c>
      <c r="F15" s="85">
        <f t="shared" si="3"/>
        <v>1343399655</v>
      </c>
      <c r="G15" s="86">
        <f t="shared" si="3"/>
        <v>484265261</v>
      </c>
    </row>
    <row r="16" spans="1:8">
      <c r="A16" s="88" t="s">
        <v>264</v>
      </c>
      <c r="B16" s="89">
        <v>20134000</v>
      </c>
      <c r="C16" s="89">
        <v>0</v>
      </c>
      <c r="D16" s="89">
        <v>9866000</v>
      </c>
      <c r="E16" s="89">
        <f>+[5]FUNCIONAMIENTO!$T$64</f>
        <v>0</v>
      </c>
      <c r="F16" s="89">
        <f t="shared" ref="F16:G18" si="4">+B16+D16</f>
        <v>30000000</v>
      </c>
      <c r="G16" s="90">
        <f t="shared" si="4"/>
        <v>0</v>
      </c>
    </row>
    <row r="17" spans="1:8">
      <c r="A17" s="88" t="s">
        <v>265</v>
      </c>
      <c r="B17" s="89">
        <v>1290399655</v>
      </c>
      <c r="C17" s="89">
        <v>462256104</v>
      </c>
      <c r="D17" s="89"/>
      <c r="E17" s="89"/>
      <c r="F17" s="89">
        <f t="shared" si="4"/>
        <v>1290399655</v>
      </c>
      <c r="G17" s="90">
        <f t="shared" si="4"/>
        <v>462256104</v>
      </c>
    </row>
    <row r="18" spans="1:8">
      <c r="A18" s="88" t="s">
        <v>206</v>
      </c>
      <c r="B18" s="89">
        <f>+[5]FUNCIONAMIENTO!$I$30</f>
        <v>23000000</v>
      </c>
      <c r="C18" s="89">
        <v>22009157</v>
      </c>
      <c r="D18" s="89"/>
      <c r="E18" s="89"/>
      <c r="F18" s="89">
        <f t="shared" si="4"/>
        <v>23000000</v>
      </c>
      <c r="G18" s="90">
        <f t="shared" si="4"/>
        <v>22009157</v>
      </c>
    </row>
    <row r="19" spans="1:8">
      <c r="A19" s="84" t="s">
        <v>266</v>
      </c>
      <c r="B19" s="85">
        <f t="shared" ref="B19:G19" si="5">+B20+B21</f>
        <v>0</v>
      </c>
      <c r="C19" s="85">
        <f t="shared" si="5"/>
        <v>0</v>
      </c>
      <c r="D19" s="85">
        <f t="shared" si="5"/>
        <v>0</v>
      </c>
      <c r="E19" s="85">
        <f t="shared" si="5"/>
        <v>0</v>
      </c>
      <c r="F19" s="85">
        <f t="shared" si="5"/>
        <v>0</v>
      </c>
      <c r="G19" s="86">
        <f t="shared" si="5"/>
        <v>0</v>
      </c>
    </row>
    <row r="20" spans="1:8">
      <c r="A20" s="88" t="s">
        <v>267</v>
      </c>
      <c r="B20" s="89"/>
      <c r="C20" s="89"/>
      <c r="D20" s="89"/>
      <c r="E20" s="89"/>
      <c r="F20" s="89">
        <f>+B20+D20</f>
        <v>0</v>
      </c>
      <c r="G20" s="90">
        <f>+C20+E20</f>
        <v>0</v>
      </c>
    </row>
    <row r="21" spans="1:8">
      <c r="A21" s="88" t="s">
        <v>268</v>
      </c>
      <c r="B21" s="89"/>
      <c r="C21" s="89"/>
      <c r="D21" s="89"/>
      <c r="E21" s="89"/>
      <c r="F21" s="89">
        <f>+B21+D21</f>
        <v>0</v>
      </c>
      <c r="G21" s="90">
        <f>+C21+E21</f>
        <v>0</v>
      </c>
    </row>
    <row r="22" spans="1:8">
      <c r="A22" s="84" t="s">
        <v>269</v>
      </c>
      <c r="B22" s="85">
        <v>0</v>
      </c>
      <c r="C22" s="85">
        <v>0</v>
      </c>
      <c r="D22" s="85">
        <v>0</v>
      </c>
      <c r="E22" s="85">
        <v>0</v>
      </c>
      <c r="F22" s="85">
        <v>0</v>
      </c>
      <c r="G22" s="86">
        <v>0</v>
      </c>
    </row>
    <row r="23" spans="1:8">
      <c r="A23" s="84" t="s">
        <v>270</v>
      </c>
      <c r="B23" s="85">
        <f t="shared" ref="B23:G23" si="6">+B24</f>
        <v>310000000</v>
      </c>
      <c r="C23" s="85">
        <f t="shared" si="6"/>
        <v>58580659</v>
      </c>
      <c r="D23" s="85">
        <f t="shared" si="6"/>
        <v>0</v>
      </c>
      <c r="E23" s="85">
        <f t="shared" si="6"/>
        <v>0</v>
      </c>
      <c r="F23" s="85">
        <f t="shared" si="6"/>
        <v>310000000</v>
      </c>
      <c r="G23" s="86">
        <f t="shared" si="6"/>
        <v>58580659</v>
      </c>
    </row>
    <row r="24" spans="1:8">
      <c r="A24" s="88" t="s">
        <v>271</v>
      </c>
      <c r="B24" s="89">
        <v>310000000</v>
      </c>
      <c r="C24" s="89">
        <v>58580659</v>
      </c>
      <c r="D24" s="89"/>
      <c r="E24" s="89"/>
      <c r="F24" s="89">
        <f>+B24+D24</f>
        <v>310000000</v>
      </c>
      <c r="G24" s="90">
        <f>+C24+E24</f>
        <v>58580659</v>
      </c>
    </row>
    <row r="25" spans="1:8">
      <c r="A25" s="84" t="s">
        <v>272</v>
      </c>
      <c r="B25" s="85">
        <v>0</v>
      </c>
      <c r="C25" s="85">
        <v>0</v>
      </c>
      <c r="D25" s="85">
        <v>0</v>
      </c>
      <c r="E25" s="85">
        <v>0</v>
      </c>
      <c r="F25" s="85">
        <v>0</v>
      </c>
      <c r="G25" s="86">
        <v>0</v>
      </c>
    </row>
    <row r="26" spans="1:8">
      <c r="A26" s="84" t="s">
        <v>273</v>
      </c>
      <c r="B26" s="85">
        <f>+B9+B10+B14+B19+B22+B23+B25</f>
        <v>5407074743</v>
      </c>
      <c r="C26" s="85">
        <f>+C9+C10+C14+C19+C22+C23+C25</f>
        <v>2043795825</v>
      </c>
      <c r="D26" s="85">
        <f>+D9+D10+D14+D19+D22+D23+D25</f>
        <v>1740302000</v>
      </c>
      <c r="E26" s="85">
        <f>+E9+E10+E14+E19+E22+E23+E25</f>
        <v>978690419</v>
      </c>
      <c r="F26" s="85">
        <f>+F9+F10+F14+F19+F22+F23+F25</f>
        <v>7147376743</v>
      </c>
      <c r="G26" s="90">
        <f t="shared" ref="G26:G53" si="7">+C26+E26</f>
        <v>3022486244</v>
      </c>
      <c r="H26" s="91" t="s">
        <v>246</v>
      </c>
    </row>
    <row r="27" spans="1:8" ht="13.5" thickBot="1">
      <c r="A27" s="92" t="s">
        <v>246</v>
      </c>
      <c r="B27" s="93" t="s">
        <v>246</v>
      </c>
      <c r="C27" s="93" t="s">
        <v>246</v>
      </c>
      <c r="D27" s="93" t="s">
        <v>246</v>
      </c>
      <c r="E27" s="93"/>
      <c r="F27" s="94"/>
      <c r="G27" s="95" t="s">
        <v>246</v>
      </c>
    </row>
    <row r="28" spans="1:8">
      <c r="A28" s="96" t="s">
        <v>274</v>
      </c>
      <c r="B28" s="97">
        <f>+B29+B34+B40+B44+B47+B49</f>
        <v>22346335128</v>
      </c>
      <c r="C28" s="97">
        <f>+C29+C34+C40+C44+C47+C49</f>
        <v>9448616230</v>
      </c>
      <c r="D28" s="97">
        <f>+D29+D34+D40+D44+D47+D49</f>
        <v>1540000000</v>
      </c>
      <c r="E28" s="97">
        <f>+E29+E34+E40+E44+E47+E49</f>
        <v>786270865</v>
      </c>
      <c r="F28" s="97">
        <f t="shared" ref="F28:F53" si="8">+B28+D28</f>
        <v>23886335128</v>
      </c>
      <c r="G28" s="98">
        <f t="shared" si="7"/>
        <v>10234887095</v>
      </c>
      <c r="H28" s="77" t="s">
        <v>246</v>
      </c>
    </row>
    <row r="29" spans="1:8">
      <c r="A29" s="99" t="s">
        <v>275</v>
      </c>
      <c r="B29" s="100">
        <f>+B31+B32+B33</f>
        <v>2439541574</v>
      </c>
      <c r="C29" s="100">
        <f>+C31+C32+C33</f>
        <v>1241009471</v>
      </c>
      <c r="D29" s="100">
        <f>+D31+D32+D33</f>
        <v>0</v>
      </c>
      <c r="E29" s="100">
        <f>+E31+E32+E33</f>
        <v>0</v>
      </c>
      <c r="F29" s="100">
        <f>+F31+F32+F33</f>
        <v>2439541574</v>
      </c>
      <c r="G29" s="86">
        <f t="shared" si="7"/>
        <v>1241009471</v>
      </c>
    </row>
    <row r="30" spans="1:8" ht="39" customHeight="1" thickBot="1">
      <c r="A30" s="101" t="s">
        <v>276</v>
      </c>
      <c r="B30" s="100"/>
      <c r="C30" s="100"/>
      <c r="D30" s="100"/>
      <c r="E30" s="100"/>
      <c r="F30" s="85">
        <f t="shared" si="8"/>
        <v>0</v>
      </c>
      <c r="G30" s="86">
        <f t="shared" si="7"/>
        <v>0</v>
      </c>
    </row>
    <row r="31" spans="1:8" ht="24.75" customHeight="1">
      <c r="A31" s="102" t="s">
        <v>277</v>
      </c>
      <c r="B31" s="103">
        <v>1864541574</v>
      </c>
      <c r="C31" s="103">
        <v>1113376773</v>
      </c>
      <c r="D31" s="103"/>
      <c r="E31" s="103"/>
      <c r="F31" s="89">
        <f t="shared" si="8"/>
        <v>1864541574</v>
      </c>
      <c r="G31" s="90">
        <f t="shared" si="7"/>
        <v>1113376773</v>
      </c>
    </row>
    <row r="32" spans="1:8" ht="21">
      <c r="A32" s="102" t="s">
        <v>278</v>
      </c>
      <c r="B32" s="103">
        <v>350000000</v>
      </c>
      <c r="C32" s="103">
        <v>95715832</v>
      </c>
      <c r="D32" s="103"/>
      <c r="E32" s="103"/>
      <c r="F32" s="89">
        <f t="shared" si="8"/>
        <v>350000000</v>
      </c>
      <c r="G32" s="90">
        <f t="shared" si="7"/>
        <v>95715832</v>
      </c>
    </row>
    <row r="33" spans="1:8">
      <c r="A33" s="102" t="s">
        <v>279</v>
      </c>
      <c r="B33" s="103">
        <v>225000000</v>
      </c>
      <c r="C33" s="104">
        <v>31916866</v>
      </c>
      <c r="D33" s="103"/>
      <c r="E33" s="103"/>
      <c r="F33" s="89">
        <f t="shared" si="8"/>
        <v>225000000</v>
      </c>
      <c r="G33" s="90">
        <f t="shared" si="7"/>
        <v>31916866</v>
      </c>
    </row>
    <row r="34" spans="1:8">
      <c r="A34" s="99" t="s">
        <v>280</v>
      </c>
      <c r="B34" s="100">
        <f t="shared" ref="B34:G34" si="9">+B36+B37+B38+B39</f>
        <v>8072344572</v>
      </c>
      <c r="C34" s="100">
        <f t="shared" si="9"/>
        <v>3760932435</v>
      </c>
      <c r="D34" s="100">
        <f t="shared" si="9"/>
        <v>1540000000</v>
      </c>
      <c r="E34" s="100">
        <f t="shared" si="9"/>
        <v>786270865</v>
      </c>
      <c r="F34" s="100">
        <f t="shared" si="9"/>
        <v>9612344572</v>
      </c>
      <c r="G34" s="105">
        <f t="shared" si="9"/>
        <v>4547203300</v>
      </c>
    </row>
    <row r="35" spans="1:8" ht="24.75" thickBot="1">
      <c r="A35" s="101" t="s">
        <v>281</v>
      </c>
      <c r="B35" s="100"/>
      <c r="C35" s="100"/>
      <c r="D35" s="100"/>
      <c r="E35" s="100"/>
      <c r="F35" s="89">
        <f t="shared" si="8"/>
        <v>0</v>
      </c>
      <c r="G35" s="90">
        <f t="shared" si="7"/>
        <v>0</v>
      </c>
    </row>
    <row r="36" spans="1:8" ht="21">
      <c r="A36" s="102" t="s">
        <v>282</v>
      </c>
      <c r="B36" s="103">
        <v>2713871379</v>
      </c>
      <c r="C36" s="103">
        <v>2134860420</v>
      </c>
      <c r="D36" s="103">
        <v>0</v>
      </c>
      <c r="E36" s="103">
        <v>0</v>
      </c>
      <c r="F36" s="89">
        <f t="shared" si="8"/>
        <v>2713871379</v>
      </c>
      <c r="G36" s="90">
        <f t="shared" si="7"/>
        <v>2134860420</v>
      </c>
    </row>
    <row r="37" spans="1:8" ht="27" customHeight="1">
      <c r="A37" s="102" t="s">
        <v>283</v>
      </c>
      <c r="B37" s="103">
        <v>2103012723</v>
      </c>
      <c r="C37" s="103">
        <v>643283684</v>
      </c>
      <c r="D37" s="103">
        <v>1540000000</v>
      </c>
      <c r="E37" s="103">
        <v>786270865</v>
      </c>
      <c r="F37" s="89">
        <f t="shared" si="8"/>
        <v>3643012723</v>
      </c>
      <c r="G37" s="90">
        <f t="shared" si="7"/>
        <v>1429554549</v>
      </c>
      <c r="H37" s="77" t="s">
        <v>246</v>
      </c>
    </row>
    <row r="38" spans="1:8" ht="21">
      <c r="A38" s="102" t="s">
        <v>284</v>
      </c>
      <c r="B38" s="103">
        <v>2211505468</v>
      </c>
      <c r="C38" s="103">
        <v>373546701</v>
      </c>
      <c r="D38" s="103"/>
      <c r="E38" s="103"/>
      <c r="F38" s="89">
        <f t="shared" si="8"/>
        <v>2211505468</v>
      </c>
      <c r="G38" s="90">
        <f t="shared" si="7"/>
        <v>373546701</v>
      </c>
    </row>
    <row r="39" spans="1:8" ht="21">
      <c r="A39" s="102" t="s">
        <v>285</v>
      </c>
      <c r="B39" s="103">
        <v>1043955002</v>
      </c>
      <c r="C39" s="103">
        <v>609241630</v>
      </c>
      <c r="D39" s="103"/>
      <c r="E39" s="103"/>
      <c r="F39" s="89">
        <f t="shared" si="8"/>
        <v>1043955002</v>
      </c>
      <c r="G39" s="90">
        <f t="shared" si="7"/>
        <v>609241630</v>
      </c>
    </row>
    <row r="40" spans="1:8">
      <c r="A40" s="99" t="s">
        <v>286</v>
      </c>
      <c r="B40" s="100">
        <f t="shared" ref="B40:G40" si="10">+B42+B43</f>
        <v>2015527581</v>
      </c>
      <c r="C40" s="100">
        <f t="shared" si="10"/>
        <v>1256815079</v>
      </c>
      <c r="D40" s="100">
        <f t="shared" si="10"/>
        <v>0</v>
      </c>
      <c r="E40" s="100">
        <f t="shared" si="10"/>
        <v>0</v>
      </c>
      <c r="F40" s="100">
        <f t="shared" si="10"/>
        <v>2015527581</v>
      </c>
      <c r="G40" s="105">
        <f t="shared" si="10"/>
        <v>1256815079</v>
      </c>
    </row>
    <row r="41" spans="1:8" ht="54" customHeight="1" thickBot="1">
      <c r="A41" s="101" t="s">
        <v>287</v>
      </c>
      <c r="B41" s="100"/>
      <c r="C41" s="100"/>
      <c r="D41" s="100"/>
      <c r="E41" s="100"/>
      <c r="F41" s="89">
        <f t="shared" si="8"/>
        <v>0</v>
      </c>
      <c r="G41" s="90">
        <f t="shared" si="7"/>
        <v>0</v>
      </c>
    </row>
    <row r="42" spans="1:8">
      <c r="A42" s="102" t="s">
        <v>288</v>
      </c>
      <c r="B42" s="103">
        <v>320000000</v>
      </c>
      <c r="C42" s="103">
        <v>221420184</v>
      </c>
      <c r="D42" s="103"/>
      <c r="E42" s="103"/>
      <c r="F42" s="89">
        <f t="shared" si="8"/>
        <v>320000000</v>
      </c>
      <c r="G42" s="90">
        <f t="shared" si="7"/>
        <v>221420184</v>
      </c>
    </row>
    <row r="43" spans="1:8">
      <c r="A43" s="102" t="s">
        <v>289</v>
      </c>
      <c r="B43" s="103">
        <v>1695527581</v>
      </c>
      <c r="C43" s="103">
        <v>1035394895</v>
      </c>
      <c r="D43" s="103"/>
      <c r="E43" s="103"/>
      <c r="F43" s="89">
        <f t="shared" si="8"/>
        <v>1695527581</v>
      </c>
      <c r="G43" s="90">
        <f t="shared" si="7"/>
        <v>1035394895</v>
      </c>
    </row>
    <row r="44" spans="1:8" ht="36" customHeight="1" thickBot="1">
      <c r="A44" s="101" t="s">
        <v>290</v>
      </c>
      <c r="B44" s="106">
        <f t="shared" ref="B44:G44" si="11">+B45+B46</f>
        <v>5266813192</v>
      </c>
      <c r="C44" s="106">
        <f t="shared" si="11"/>
        <v>1652307925</v>
      </c>
      <c r="D44" s="106">
        <f t="shared" si="11"/>
        <v>0</v>
      </c>
      <c r="E44" s="106">
        <f t="shared" si="11"/>
        <v>0</v>
      </c>
      <c r="F44" s="106">
        <f t="shared" si="11"/>
        <v>5266813192</v>
      </c>
      <c r="G44" s="107">
        <f t="shared" si="11"/>
        <v>1652307925</v>
      </c>
    </row>
    <row r="45" spans="1:8" ht="23.25" customHeight="1">
      <c r="A45" s="102" t="s">
        <v>291</v>
      </c>
      <c r="B45" s="103">
        <v>3711050806</v>
      </c>
      <c r="C45" s="103">
        <v>1403140857</v>
      </c>
      <c r="D45" s="103"/>
      <c r="E45" s="103"/>
      <c r="F45" s="89">
        <f t="shared" si="8"/>
        <v>3711050806</v>
      </c>
      <c r="G45" s="90">
        <f t="shared" si="7"/>
        <v>1403140857</v>
      </c>
    </row>
    <row r="46" spans="1:8" ht="30" customHeight="1">
      <c r="A46" s="102" t="s">
        <v>292</v>
      </c>
      <c r="B46" s="103">
        <v>1555762386</v>
      </c>
      <c r="C46" s="103">
        <v>249167068</v>
      </c>
      <c r="D46" s="103"/>
      <c r="E46" s="103"/>
      <c r="F46" s="89">
        <f t="shared" si="8"/>
        <v>1555762386</v>
      </c>
      <c r="G46" s="90">
        <f t="shared" si="7"/>
        <v>249167068</v>
      </c>
    </row>
    <row r="47" spans="1:8" ht="36.75" customHeight="1" thickBot="1">
      <c r="A47" s="101" t="s">
        <v>293</v>
      </c>
      <c r="B47" s="106">
        <f t="shared" ref="B47:G47" si="12">+B48</f>
        <v>410231113</v>
      </c>
      <c r="C47" s="106">
        <f t="shared" si="12"/>
        <v>38867961</v>
      </c>
      <c r="D47" s="106">
        <f t="shared" si="12"/>
        <v>0</v>
      </c>
      <c r="E47" s="106">
        <f t="shared" si="12"/>
        <v>0</v>
      </c>
      <c r="F47" s="106">
        <f t="shared" si="12"/>
        <v>410231113</v>
      </c>
      <c r="G47" s="107">
        <f t="shared" si="12"/>
        <v>38867961</v>
      </c>
    </row>
    <row r="48" spans="1:8" ht="21">
      <c r="A48" s="108" t="s">
        <v>294</v>
      </c>
      <c r="B48" s="103">
        <v>410231113</v>
      </c>
      <c r="C48" s="103">
        <v>38867961</v>
      </c>
      <c r="D48" s="103"/>
      <c r="E48" s="103"/>
      <c r="F48" s="89">
        <f t="shared" si="8"/>
        <v>410231113</v>
      </c>
      <c r="G48" s="90">
        <f t="shared" si="7"/>
        <v>38867961</v>
      </c>
    </row>
    <row r="49" spans="1:7" ht="27" customHeight="1" thickBot="1">
      <c r="A49" s="101" t="s">
        <v>295</v>
      </c>
      <c r="B49" s="100">
        <f t="shared" ref="B49:G49" si="13">+B50+B51</f>
        <v>4141877096</v>
      </c>
      <c r="C49" s="100">
        <f t="shared" si="13"/>
        <v>1498683359</v>
      </c>
      <c r="D49" s="100">
        <f t="shared" si="13"/>
        <v>0</v>
      </c>
      <c r="E49" s="100">
        <f t="shared" si="13"/>
        <v>0</v>
      </c>
      <c r="F49" s="100">
        <f t="shared" si="13"/>
        <v>4141877096</v>
      </c>
      <c r="G49" s="105">
        <f t="shared" si="13"/>
        <v>1498683359</v>
      </c>
    </row>
    <row r="50" spans="1:7" ht="21">
      <c r="A50" s="109" t="s">
        <v>296</v>
      </c>
      <c r="B50" s="103">
        <v>1266511705</v>
      </c>
      <c r="C50" s="103">
        <v>173510984</v>
      </c>
      <c r="D50" s="103"/>
      <c r="E50" s="103"/>
      <c r="F50" s="89">
        <f t="shared" si="8"/>
        <v>1266511705</v>
      </c>
      <c r="G50" s="90">
        <f t="shared" si="7"/>
        <v>173510984</v>
      </c>
    </row>
    <row r="51" spans="1:7">
      <c r="A51" s="109" t="s">
        <v>297</v>
      </c>
      <c r="B51" s="103">
        <v>2875365391</v>
      </c>
      <c r="C51" s="103">
        <v>1325172375</v>
      </c>
      <c r="D51" s="103"/>
      <c r="E51" s="103"/>
      <c r="F51" s="89">
        <f t="shared" si="8"/>
        <v>2875365391</v>
      </c>
      <c r="G51" s="90">
        <f t="shared" si="7"/>
        <v>1325172375</v>
      </c>
    </row>
    <row r="52" spans="1:7">
      <c r="A52" s="99" t="s">
        <v>246</v>
      </c>
      <c r="B52" s="100">
        <v>0</v>
      </c>
      <c r="C52" s="100">
        <v>0</v>
      </c>
      <c r="D52" s="100">
        <v>0</v>
      </c>
      <c r="E52" s="100">
        <v>0</v>
      </c>
      <c r="F52" s="89">
        <f t="shared" si="8"/>
        <v>0</v>
      </c>
      <c r="G52" s="90">
        <f t="shared" si="7"/>
        <v>0</v>
      </c>
    </row>
    <row r="53" spans="1:7">
      <c r="A53" s="110" t="s">
        <v>298</v>
      </c>
      <c r="B53" s="85">
        <v>0</v>
      </c>
      <c r="C53" s="85">
        <v>0</v>
      </c>
      <c r="D53" s="85">
        <v>0</v>
      </c>
      <c r="E53" s="85">
        <v>0</v>
      </c>
      <c r="F53" s="89">
        <f t="shared" si="8"/>
        <v>0</v>
      </c>
      <c r="G53" s="90">
        <f t="shared" si="7"/>
        <v>0</v>
      </c>
    </row>
    <row r="54" spans="1:7">
      <c r="A54" s="111">
        <v>0</v>
      </c>
      <c r="B54" s="112">
        <v>0</v>
      </c>
      <c r="C54" s="112"/>
      <c r="D54" s="112"/>
      <c r="E54" s="112"/>
      <c r="F54" s="85"/>
      <c r="G54" s="86"/>
    </row>
    <row r="55" spans="1:7" ht="13.5" thickBot="1">
      <c r="A55" s="113" t="s">
        <v>299</v>
      </c>
      <c r="B55" s="114">
        <f t="shared" ref="B55:G55" si="14">+B26+B28+B53</f>
        <v>27753409871</v>
      </c>
      <c r="C55" s="114">
        <f t="shared" si="14"/>
        <v>11492412055</v>
      </c>
      <c r="D55" s="114">
        <f t="shared" si="14"/>
        <v>3280302000</v>
      </c>
      <c r="E55" s="114">
        <f t="shared" si="14"/>
        <v>1764961284</v>
      </c>
      <c r="F55" s="114">
        <f t="shared" si="14"/>
        <v>31033711871</v>
      </c>
      <c r="G55" s="115">
        <f t="shared" si="14"/>
        <v>13257373339</v>
      </c>
    </row>
    <row r="56" spans="1:7" ht="27.75" customHeight="1">
      <c r="A56" s="116"/>
      <c r="B56" s="117" t="s">
        <v>246</v>
      </c>
      <c r="C56" s="118" t="s">
        <v>246</v>
      </c>
      <c r="D56" s="117"/>
      <c r="E56" s="117" t="s">
        <v>246</v>
      </c>
      <c r="F56" s="117"/>
      <c r="G56" s="117" t="s">
        <v>246</v>
      </c>
    </row>
    <row r="57" spans="1:7" ht="32.25" customHeight="1">
      <c r="A57" s="119"/>
      <c r="B57" s="119" t="s">
        <v>246</v>
      </c>
      <c r="C57" s="119"/>
      <c r="D57" s="119" t="s">
        <v>246</v>
      </c>
      <c r="E57" s="119"/>
      <c r="F57" s="119"/>
      <c r="G57" s="119"/>
    </row>
    <row r="58" spans="1:7">
      <c r="A58" s="120"/>
      <c r="B58" s="121" t="s">
        <v>246</v>
      </c>
      <c r="C58" s="122"/>
      <c r="D58" s="122"/>
      <c r="E58" s="121" t="s">
        <v>246</v>
      </c>
      <c r="F58" s="121">
        <f>+F55-[6]Hoja1!$F$37</f>
        <v>0</v>
      </c>
      <c r="G58" s="121" t="s">
        <v>246</v>
      </c>
    </row>
    <row r="59" spans="1:7">
      <c r="A59" s="120"/>
      <c r="B59" s="123" t="s">
        <v>246</v>
      </c>
      <c r="C59" s="122"/>
      <c r="D59" s="122"/>
      <c r="E59" s="122"/>
      <c r="F59" s="121" t="e">
        <f>+[6]Hoja1!$J$207</f>
        <v>#REF!</v>
      </c>
      <c r="G59" s="121" t="s">
        <v>246</v>
      </c>
    </row>
    <row r="60" spans="1:7">
      <c r="A60" s="120"/>
      <c r="B60" s="122"/>
      <c r="C60" s="122"/>
      <c r="D60" s="122"/>
      <c r="E60" s="122"/>
      <c r="F60" s="121" t="e">
        <f>+F58-F59</f>
        <v>#REF!</v>
      </c>
      <c r="G60" s="122"/>
    </row>
    <row r="61" spans="1:7">
      <c r="A61" s="124"/>
    </row>
    <row r="62" spans="1:7">
      <c r="A62" s="125"/>
    </row>
    <row r="63" spans="1:7">
      <c r="A63" s="125"/>
    </row>
    <row r="64" spans="1:7">
      <c r="A64" s="125"/>
    </row>
    <row r="65" spans="1:1">
      <c r="A65" s="126"/>
    </row>
    <row r="66" spans="1:1" ht="15.75" customHeight="1">
      <c r="A66" s="126"/>
    </row>
    <row r="67" spans="1:1">
      <c r="A67" s="126"/>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MATRIZ GENERAL CONSOLIDADA</vt:lpstr>
      <vt:lpstr>Anexo 1 Matriz SINA Inf Gestión</vt:lpstr>
      <vt:lpstr>Anexo 2 Matriz Inf. Ejecución</vt:lpstr>
      <vt:lpstr>CUATRIENIO</vt:lpstr>
      <vt:lpstr>INGRESOS </vt:lpstr>
      <vt:lpstr>GASTOS </vt:lpstr>
      <vt:lpstr>ANEXO 5.1 ING</vt:lpstr>
      <vt:lpstr>Anexo 3 Matriz Ind Min Jun</vt:lpstr>
      <vt:lpstr>Anexo 5-2 Gastos</vt:lpstr>
      <vt:lpstr>Anexo 2 Protocolo Inf Gestión</vt:lpstr>
      <vt:lpstr>Anexo 4 ProtocoloMatrizINdica</vt:lpstr>
      <vt:lpstr>Hoja1</vt:lpstr>
      <vt:lpstr>Hoja2</vt:lpstr>
      <vt:lpstr>'Anexo 1 Matriz SINA Inf Gestión'!Área_de_impresión</vt:lpstr>
      <vt:lpstr>'Anexo 2 Matriz Inf. Ejecución'!Área_de_impresión</vt:lpstr>
      <vt:lpstr>'Anexo 2 Protocolo Inf Gestión'!Área_de_impresión</vt:lpstr>
      <vt:lpstr>'Anexo 4 ProtocoloMatrizINdica'!Área_de_impresión</vt:lpstr>
      <vt:lpstr>'Anexo 5-2 Gastos'!Área_de_impresión</vt:lpstr>
      <vt:lpstr>CUATRIENIO!Área_de_impresión</vt:lpstr>
      <vt:lpstr>'Anexo 1 Matriz SINA Inf Gestión'!Títulos_a_imprimir</vt:lpstr>
      <vt:lpstr>'Anexo 2 Matriz Inf. Ejecución'!Títulos_a_imprimir</vt:lpstr>
      <vt:lpstr>'Anexo 3 Matriz Ind Min Jun'!Títulos_a_imprimir</vt:lpstr>
      <vt:lpstr>'Anexo 5-2 Gastos'!Títulos_a_imprimir</vt:lpstr>
      <vt:lpstr>'MATRIZ GENERAL CONSOLIDADA'!Títulos_a_imprimir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Ronal Estith Dussan Quiacha</cp:lastModifiedBy>
  <cp:lastPrinted>2020-01-30T19:31:54Z</cp:lastPrinted>
  <dcterms:created xsi:type="dcterms:W3CDTF">2004-01-28T22:51:19Z</dcterms:created>
  <dcterms:modified xsi:type="dcterms:W3CDTF">2020-01-31T20:43:49Z</dcterms:modified>
</cp:coreProperties>
</file>